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hidePivotFieldList="1"/>
  <mc:AlternateContent xmlns:mc="http://schemas.openxmlformats.org/markup-compatibility/2006">
    <mc:Choice Requires="x15">
      <x15ac:absPath xmlns:x15ac="http://schemas.microsoft.com/office/spreadsheetml/2010/11/ac" url="/Users/AdamV/Desktop/Bachelor/GitHub/Bachelor_Git/TIMES-DE/"/>
    </mc:Choice>
  </mc:AlternateContent>
  <xr:revisionPtr revIDLastSave="0" documentId="13_ncr:1_{A368BFD3-B930-564A-B093-4995C76C8B43}" xr6:coauthVersionLast="47" xr6:coauthVersionMax="47" xr10:uidLastSave="{00000000-0000-0000-0000-000000000000}"/>
  <bookViews>
    <workbookView xWindow="0" yWindow="460" windowWidth="19420" windowHeight="10420" tabRatio="757" firstSheet="2" activeTab="4" xr2:uid="{00000000-000D-0000-FFFF-FFFF00000000}"/>
  </bookViews>
  <sheets>
    <sheet name="LOG" sheetId="236" r:id="rId1"/>
    <sheet name="Intro" sheetId="243" r:id="rId2"/>
    <sheet name="Commodities" sheetId="216" r:id="rId3"/>
    <sheet name="Processes" sheetId="231" r:id="rId4"/>
    <sheet name="Trade" sheetId="261" r:id="rId5"/>
    <sheet name="Distribution" sheetId="265" r:id="rId6"/>
    <sheet name="MIN-IMP-EXP" sheetId="245" r:id="rId7"/>
    <sheet name="ETS_NETS_Prices" sheetId="242" r:id="rId8"/>
    <sheet name="Refineries" sheetId="246" r:id="rId9"/>
    <sheet name="Emis" sheetId="244" r:id="rId10"/>
    <sheet name="35 (2)" sheetId="264" r:id="rId11"/>
    <sheet name="Fuel Tech" sheetId="237" r:id="rId12"/>
    <sheet name="ENG_Balance" sheetId="269" r:id="rId13"/>
    <sheet name="Structure" sheetId="270" r:id="rId14"/>
    <sheet name="Summary" sheetId="271" r:id="rId15"/>
    <sheet name="2010" sheetId="259" r:id="rId16"/>
    <sheet name="2015" sheetId="260" r:id="rId17"/>
    <sheet name="2019" sheetId="258" r:id="rId18"/>
    <sheet name="3.10" sheetId="256" r:id="rId19"/>
    <sheet name="Data_by_sector" sheetId="262" r:id="rId20"/>
    <sheet name="BiomassCost" sheetId="241" r:id="rId21"/>
    <sheet name="MIN-IMP-EXP_Data" sheetId="235" r:id="rId22"/>
    <sheet name="Refinery_data" sheetId="238" r:id="rId23"/>
    <sheet name="Oil &amp; Gas Data" sheetId="247" r:id="rId24"/>
    <sheet name="Eurostat_EB-2010" sheetId="248" r:id="rId25"/>
    <sheet name="Eurostat_EB-2011" sheetId="249" r:id="rId26"/>
    <sheet name="Eurostat_EB-2012" sheetId="250" r:id="rId27"/>
    <sheet name="Eurostat_EB-2013" sheetId="251" r:id="rId28"/>
    <sheet name="Eurostat_EB-2014" sheetId="252" r:id="rId29"/>
    <sheet name="NETP 2016 (Balmorel)" sheetId="253" r:id="rId30"/>
    <sheet name="Flex4RES fuel prices" sheetId="254" r:id="rId31"/>
    <sheet name="BiomassCost (2)" sheetId="255"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_xlnm._FilterDatabase" localSheetId="2" hidden="1">Commodities!$C$5:$K$15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 localSheetId="24">#REF!,#REF!,#REF!</definedName>
    <definedName name="All_TP" localSheetId="25">#REF!,#REF!,#REF!</definedName>
    <definedName name="All_TP" localSheetId="26">#REF!,#REF!,#REF!</definedName>
    <definedName name="All_TP" localSheetId="27">#REF!,#REF!,#REF!</definedName>
    <definedName name="All_TP">#REF!,#REF!,#REF!</definedName>
    <definedName name="All_US" localSheetId="24">#REF!,#REF!,#REF!</definedName>
    <definedName name="All_US" localSheetId="25">#REF!,#REF!,#REF!</definedName>
    <definedName name="All_US" localSheetId="26">#REF!,#REF!,#REF!</definedName>
    <definedName name="All_US" localSheetId="27">#REF!,#REF!,#REF!</definedName>
    <definedName name="All_US">#REF!,#REF!,#REF!</definedName>
    <definedName name="AnnualProd_1">[1]Plants1!$N$14:$N$1884</definedName>
    <definedName name="BaseYear">[1]Start!$D$22</definedName>
    <definedName name="BiomassLargeCHP" localSheetId="17">[2]TechnologyData!$A$14:$M$41</definedName>
    <definedName name="BiomassLargeCHP" localSheetId="5">[2]TechnologyData!$A$14:$M$41</definedName>
    <definedName name="BiomassLargeCHP">[2]TechnologyData!$A$14:$M$41</definedName>
    <definedName name="body1ea" localSheetId="24">#REF!</definedName>
    <definedName name="body1ea" localSheetId="25">#REF!</definedName>
    <definedName name="body1ea" localSheetId="26">#REF!</definedName>
    <definedName name="body1ea" localSheetId="27">#REF!</definedName>
    <definedName name="body1ea">#REF!</definedName>
    <definedName name="body1eb" localSheetId="24">#REF!</definedName>
    <definedName name="body1eb" localSheetId="25">#REF!</definedName>
    <definedName name="body1eb" localSheetId="26">#REF!</definedName>
    <definedName name="body1eb" localSheetId="27">#REF!</definedName>
    <definedName name="body1eb">#REF!</definedName>
    <definedName name="body1fa" localSheetId="24">#REF!</definedName>
    <definedName name="body1fa" localSheetId="25">#REF!</definedName>
    <definedName name="body1fa" localSheetId="26">#REF!</definedName>
    <definedName name="body1fa" localSheetId="27">#REF!</definedName>
    <definedName name="body1fa">#REF!</definedName>
    <definedName name="body1fb" localSheetId="24">#REF!</definedName>
    <definedName name="body1fb" localSheetId="25">#REF!</definedName>
    <definedName name="body1fb" localSheetId="26">#REF!</definedName>
    <definedName name="body1fb" localSheetId="27">#REF!</definedName>
    <definedName name="body1fb">#REF!</definedName>
    <definedName name="body1ga" localSheetId="24">#REF!</definedName>
    <definedName name="body1ga" localSheetId="25">#REF!</definedName>
    <definedName name="body1ga" localSheetId="26">#REF!</definedName>
    <definedName name="body1ga" localSheetId="27">#REF!</definedName>
    <definedName name="body1ga">#REF!</definedName>
    <definedName name="body1gb" localSheetId="24">#REF!</definedName>
    <definedName name="body1gb" localSheetId="25">#REF!</definedName>
    <definedName name="body1gb" localSheetId="26">#REF!</definedName>
    <definedName name="body1gb" localSheetId="27">#REF!</definedName>
    <definedName name="body1gb">#REF!</definedName>
    <definedName name="body2ea" localSheetId="24">#REF!</definedName>
    <definedName name="body2ea" localSheetId="25">#REF!</definedName>
    <definedName name="body2ea" localSheetId="26">#REF!</definedName>
    <definedName name="body2ea" localSheetId="27">#REF!</definedName>
    <definedName name="body2ea">#REF!</definedName>
    <definedName name="body2eb" localSheetId="24">#REF!</definedName>
    <definedName name="body2eb" localSheetId="25">#REF!</definedName>
    <definedName name="body2eb" localSheetId="26">#REF!</definedName>
    <definedName name="body2eb" localSheetId="27">#REF!</definedName>
    <definedName name="body2eb">#REF!</definedName>
    <definedName name="body2f" localSheetId="24">#REF!</definedName>
    <definedName name="body2f" localSheetId="25">#REF!</definedName>
    <definedName name="body2f" localSheetId="26">#REF!</definedName>
    <definedName name="body2f" localSheetId="27">#REF!</definedName>
    <definedName name="body2f">#REF!</definedName>
    <definedName name="body2fa" localSheetId="24">#REF!</definedName>
    <definedName name="body2fa" localSheetId="25">#REF!</definedName>
    <definedName name="body2fa" localSheetId="26">#REF!</definedName>
    <definedName name="body2fa" localSheetId="27">#REF!</definedName>
    <definedName name="body2fa">#REF!</definedName>
    <definedName name="body2fb" localSheetId="24">#REF!</definedName>
    <definedName name="body2fb" localSheetId="25">#REF!</definedName>
    <definedName name="body2fb" localSheetId="26">#REF!</definedName>
    <definedName name="body2fb" localSheetId="27">#REF!</definedName>
    <definedName name="body2fb">#REF!</definedName>
    <definedName name="body2ga" localSheetId="24">#REF!</definedName>
    <definedName name="body2ga" localSheetId="25">#REF!</definedName>
    <definedName name="body2ga" localSheetId="26">#REF!</definedName>
    <definedName name="body2ga" localSheetId="27">#REF!</definedName>
    <definedName name="body2ga">#REF!</definedName>
    <definedName name="body2gb" localSheetId="24">#REF!</definedName>
    <definedName name="body2gb" localSheetId="25">#REF!</definedName>
    <definedName name="body2gb" localSheetId="26">#REF!</definedName>
    <definedName name="body2gb" localSheetId="27">#REF!</definedName>
    <definedName name="body2gb">#REF!</definedName>
    <definedName name="body3ea" localSheetId="24">#REF!</definedName>
    <definedName name="body3ea" localSheetId="25">#REF!</definedName>
    <definedName name="body3ea" localSheetId="26">#REF!</definedName>
    <definedName name="body3ea" localSheetId="27">#REF!</definedName>
    <definedName name="body3ea">#REF!</definedName>
    <definedName name="body3eb" localSheetId="24">#REF!</definedName>
    <definedName name="body3eb" localSheetId="25">#REF!</definedName>
    <definedName name="body3eb" localSheetId="26">#REF!</definedName>
    <definedName name="body3eb" localSheetId="27">#REF!</definedName>
    <definedName name="body3eb">#REF!</definedName>
    <definedName name="body3fa" localSheetId="24">#REF!</definedName>
    <definedName name="body3fa" localSheetId="25">#REF!</definedName>
    <definedName name="body3fa" localSheetId="26">#REF!</definedName>
    <definedName name="body3fa" localSheetId="27">#REF!</definedName>
    <definedName name="body3fa">#REF!</definedName>
    <definedName name="body3fb" localSheetId="24">#REF!</definedName>
    <definedName name="body3fb" localSheetId="25">#REF!</definedName>
    <definedName name="body3fb" localSheetId="26">#REF!</definedName>
    <definedName name="body3fb" localSheetId="27">#REF!</definedName>
    <definedName name="body3fb">#REF!</definedName>
    <definedName name="body3ga" localSheetId="24">#REF!</definedName>
    <definedName name="body3ga" localSheetId="25">#REF!</definedName>
    <definedName name="body3ga" localSheetId="26">#REF!</definedName>
    <definedName name="body3ga" localSheetId="27">#REF!</definedName>
    <definedName name="body3ga">#REF!</definedName>
    <definedName name="body3gb" localSheetId="24">#REF!</definedName>
    <definedName name="body3gb" localSheetId="25">#REF!</definedName>
    <definedName name="body3gb" localSheetId="26">#REF!</definedName>
    <definedName name="body3gb" localSheetId="27">#REF!</definedName>
    <definedName name="body3gb">#REF!</definedName>
    <definedName name="body4ea" localSheetId="24">#REF!</definedName>
    <definedName name="body4ea" localSheetId="25">#REF!</definedName>
    <definedName name="body4ea" localSheetId="26">#REF!</definedName>
    <definedName name="body4ea" localSheetId="27">#REF!</definedName>
    <definedName name="body4ea">#REF!</definedName>
    <definedName name="body4eb" localSheetId="24">#REF!</definedName>
    <definedName name="body4eb" localSheetId="25">#REF!</definedName>
    <definedName name="body4eb" localSheetId="26">#REF!</definedName>
    <definedName name="body4eb" localSheetId="27">#REF!</definedName>
    <definedName name="body4eb">#REF!</definedName>
    <definedName name="body4f" localSheetId="24">#REF!</definedName>
    <definedName name="body4f" localSheetId="25">#REF!</definedName>
    <definedName name="body4f" localSheetId="26">#REF!</definedName>
    <definedName name="body4f" localSheetId="27">#REF!</definedName>
    <definedName name="body4f">#REF!</definedName>
    <definedName name="body4fa" localSheetId="24">#REF!</definedName>
    <definedName name="body4fa" localSheetId="25">#REF!</definedName>
    <definedName name="body4fa" localSheetId="26">#REF!</definedName>
    <definedName name="body4fa" localSheetId="27">#REF!</definedName>
    <definedName name="body4fa">#REF!</definedName>
    <definedName name="body4fb" localSheetId="24">#REF!</definedName>
    <definedName name="body4fb" localSheetId="25">#REF!</definedName>
    <definedName name="body4fb" localSheetId="26">#REF!</definedName>
    <definedName name="body4fb" localSheetId="27">#REF!</definedName>
    <definedName name="body4fb">#REF!</definedName>
    <definedName name="body4ga" localSheetId="24">#REF!</definedName>
    <definedName name="body4ga" localSheetId="25">#REF!</definedName>
    <definedName name="body4ga" localSheetId="26">#REF!</definedName>
    <definedName name="body4ga" localSheetId="27">#REF!</definedName>
    <definedName name="body4ga">#REF!</definedName>
    <definedName name="body4gb" localSheetId="24">#REF!</definedName>
    <definedName name="body4gb" localSheetId="25">#REF!</definedName>
    <definedName name="body4gb" localSheetId="26">#REF!</definedName>
    <definedName name="body4gb" localSheetId="27">#REF!</definedName>
    <definedName name="body4gb">#REF!</definedName>
    <definedName name="BPslut" localSheetId="17">[2]Plants!$J$2</definedName>
    <definedName name="BPslut" localSheetId="5">[2]Plants!$J$2</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C_DATA" localSheetId="5">OFFSET(#REF!,0,COUNTA(#REF!)-1,8,1),OFFSET(#REF!,0,COUNTA(#REF!)-1,2,1), OFFSET(#REF!,0,COUNTA(#REF!)-1,1,1), OFFSET(#REF!,0,COUNTA(#REF!)-1,1,1), OFFSET(#REF!,0,COUNTA(#REF!)-1,1,1)</definedName>
    <definedName name="CC_DATA">OFFSET(Data_by_sector!$A$11,0,COUNTA(Data_by_sector!$1:$1)-1,8,1),OFFSET(Data_by_sector!$A$26,0,COUNTA(Data_by_sector!$1:$1)-1,2,1), OFFSET(Data_by_sector!$A$35,0,COUNTA(Data_by_sector!$1:$1)-1,1,1), OFFSET(Data_by_sector!$A$41,0,COUNTA(Data_by_sector!$1:$1)-1,1,1), OFFSET(Data_by_sector!$A$46,0,COUNTA(Data_by_sector!$1:$1)-1,1,1)</definedName>
    <definedName name="CEH_3a">#REF!</definedName>
    <definedName name="CEH_3b">#REF!</definedName>
    <definedName name="chosenYear" localSheetId="5">[3]Cockpit!$B$5</definedName>
    <definedName name="chosenYear">[3]Cockpit!$B$5</definedName>
    <definedName name="CHPR_3a">#REF!</definedName>
    <definedName name="CHPR_3b">#REF!</definedName>
    <definedName name="CHPR_UP_3a">#REF!</definedName>
    <definedName name="CHPR_UP_3b">#REF!</definedName>
    <definedName name="CO2Price">ETS_NETS_Prices!$F$13:$AT$14</definedName>
    <definedName name="Comm_IN_3a">#REF!</definedName>
    <definedName name="Comm_IN_3b">#REF!</definedName>
    <definedName name="Comm_OUT_3a">#REF!</definedName>
    <definedName name="Comm_OUT_3b">#REF!</definedName>
    <definedName name="countrye" localSheetId="24">#REF!</definedName>
    <definedName name="countrye" localSheetId="25">#REF!</definedName>
    <definedName name="countrye" localSheetId="26">#REF!</definedName>
    <definedName name="countrye" localSheetId="27">#REF!</definedName>
    <definedName name="countrye">#REF!</definedName>
    <definedName name="countryf" localSheetId="24">#REF!</definedName>
    <definedName name="countryf" localSheetId="25">#REF!</definedName>
    <definedName name="countryf" localSheetId="26">#REF!</definedName>
    <definedName name="countryf" localSheetId="27">#REF!</definedName>
    <definedName name="countryf">#REF!</definedName>
    <definedName name="countryg" localSheetId="24">#REF!</definedName>
    <definedName name="countryg" localSheetId="25">#REF!</definedName>
    <definedName name="countryg" localSheetId="26">#REF!</definedName>
    <definedName name="countryg" localSheetId="27">#REF!</definedName>
    <definedName name="countryg">#REF!</definedName>
    <definedName name="CRF_CountryName" localSheetId="5">[4]Sheet1!$C$4</definedName>
    <definedName name="CRF_CountryName">[4]Sheet1!$C$4</definedName>
    <definedName name="dkkPerEUR" localSheetId="5">'[5]Centrale data'!$C$34</definedName>
    <definedName name="dkkPerEUR">'[5]Centrale data'!$C$34</definedName>
    <definedName name="E_waste">#REF!</definedName>
    <definedName name="EFF_3a">#REF!</definedName>
    <definedName name="EFF_3b">#REF!</definedName>
    <definedName name="Eksportstigning" localSheetId="17">[2]Plants!$J$6</definedName>
    <definedName name="Eksportstigning" localSheetId="5">[2]Plants!$J$6</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 localSheetId="17">[2]TechnologyData!$O$72:$AA$99</definedName>
    <definedName name="ElBoiler" localSheetId="5">[2]TechnologyData!$O$72:$AA$99</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17">[2]Subsidy!#REF!</definedName>
    <definedName name="ElPriceMix" localSheetId="5">[2]Subsidy!#REF!</definedName>
    <definedName name="ElPriceMix" localSheetId="8">[2]Subsidy!#REF!</definedName>
    <definedName name="ElPriceMix">[2]Subsidy!#REF!</definedName>
    <definedName name="Euro">#REF!</definedName>
    <definedName name="Fastprisår" localSheetId="17">[6]Forside!$B$5</definedName>
    <definedName name="Fastprisår" localSheetId="5">[6]Forside!$B$5</definedName>
    <definedName name="Fastprisår">[6]Forside!$B$5</definedName>
    <definedName name="FID_1" localSheetId="17">[7]AGR_Fuels!$A$2</definedName>
    <definedName name="FID_1" localSheetId="5">[8]AGR_Fuels!$A$2</definedName>
    <definedName name="FID_1" localSheetId="0">[8]AGR_Fuels!$A$2</definedName>
    <definedName name="FID_1">[8]AGR_Fuels!$A$2</definedName>
    <definedName name="FID_2" localSheetId="5">#REF!</definedName>
    <definedName name="FID_2" localSheetId="7">[9]LOG!#REF!</definedName>
    <definedName name="FID_2" localSheetId="8">[10]LOG!#REF!</definedName>
    <definedName name="FID_2">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 localSheetId="5">'[11]O&amp;M waste and WIN '!$K$13</definedName>
    <definedName name="FIXWINOFF">'[11]O&amp;M waste and WIN '!$K$13</definedName>
    <definedName name="FIXWINON" localSheetId="5">'[11]O&amp;M waste and WIN '!$K$14</definedName>
    <definedName name="FIXWINON">'[11]O&amp;M waste and WIN '!$K$14</definedName>
    <definedName name="FIXWSTBO" localSheetId="5">'[12]O&amp;M waste and WIN '!$E$5</definedName>
    <definedName name="FIXWSTBO">'[12]O&amp;M waste and WIN '!$E$5</definedName>
    <definedName name="FIXWSTBP" localSheetId="5">'[13]Adjusted O&amp;M waste and wind '!$C$4</definedName>
    <definedName name="FIXWSTBP">'[13]Adjusted O&amp;M waste and wind '!$C$4</definedName>
    <definedName name="FuelDesc">[1]Fuel!$T$12:$U$34</definedName>
    <definedName name="FuelPrices" localSheetId="7">#REF!</definedName>
    <definedName name="FuelPrices" localSheetId="8">#REF!</definedName>
    <definedName name="FuelPrices">#REF!</definedName>
    <definedName name="GHG_W_LULUCF_CO2" localSheetId="5">OFFSET([14]Data_by_gas!$A$14,0,1,1,COUNTA([14]Data_by_gas!$1:$1)-1)</definedName>
    <definedName name="GHG_W_LULUCF_CO2">OFFSET([14]Data_by_gas!$A$14,0,1,1,COUNTA([14]Data_by_gas!$1:$1)-1)</definedName>
    <definedName name="GHG_W_LULUCF_NONCO2" localSheetId="5">OFFSET([14]Data_by_gas!$A$21,0,1,1,COUNTA([14]Data_by_gas!$1:$1)-1)</definedName>
    <definedName name="GHG_W_LULUCF_NONCO2">OFFSET([14]Data_by_gas!$A$21,0,1,1,COUNTA([14]Data_by_gas!$1:$1)-1)</definedName>
    <definedName name="GHG_W_LULUCF_TOTALGHG" localSheetId="5">OFFSET([14]Data_by_gas!$A$22,0,1,1,COUNTA([14]Data_by_gas!$1:$1)-1)</definedName>
    <definedName name="GHG_W_LULUCF_TOTALGHG">OFFSET([14]Data_by_gas!$A$22,0,1,1,COUNTA([14]Data_by_gas!$1:$1)-1)</definedName>
    <definedName name="GHG_WO_LULUCF_CO2" localSheetId="5">OFFSET([14]Data_by_gas!$A$3,0,1,1,COUNTA([14]Data_by_gas!$1:$1)-1)</definedName>
    <definedName name="GHG_WO_LULUCF_CO2">OFFSET([14]Data_by_gas!$A$3,0,1,1,COUNTA([14]Data_by_gas!$1:$1)-1)</definedName>
    <definedName name="GHG_WO_LULUCF_NONCO2" localSheetId="5">OFFSET([14]Data_by_gas!$A$10,0,1,1,COUNTA([14]Data_by_gas!$1:$1)-1)</definedName>
    <definedName name="GHG_WO_LULUCF_NONCO2">OFFSET([14]Data_by_gas!$A$10,0,1,1,COUNTA([14]Data_by_gas!$1:$1)-1)</definedName>
    <definedName name="GHG_WO_LULUCF_TOTALGHG" localSheetId="5">OFFSET([14]Data_by_gas!$A$11,0,1,1,COUNTA([14]Data_by_gas!$1:$1)-1)</definedName>
    <definedName name="GHG_WO_LULUCF_TOTALGHG">OFFSET([14]Data_by_gas!$A$11,0,1,1,COUNTA([14]Data_by_gas!$1:$1)-1)</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 localSheetId="17">[2]TechnologyData!$O$101:$AA$128</definedName>
    <definedName name="HeatPump_Large" localSheetId="5">[2]TechnologyData!$O$101:$AA$128</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17">[2]General!#REF!</definedName>
    <definedName name="Inflation" localSheetId="5">[2]General!#REF!</definedName>
    <definedName name="Inflation" localSheetId="8">[2]General!#REF!</definedName>
    <definedName name="Inflation">[2]General!#REF!</definedName>
    <definedName name="LastPSOYear" localSheetId="17">[2]Plants!$H$2</definedName>
    <definedName name="LastPSOYear" localSheetId="5">[2]Plants!$H$2</definedName>
    <definedName name="LastPSOYear">[2]Plants!$H$2</definedName>
    <definedName name="LBL_CAT" localSheetId="5">#REF!,#REF!,#REF!,#REF!,#REF!,#REF!</definedName>
    <definedName name="LBL_CAT">Data_by_sector!$A$11:$A$18,Data_by_sector!$A$26,Data_by_sector!$A$27,Data_by_sector!$A$35,Data_by_sector!$A$41,Data_by_sector!$A$46</definedName>
    <definedName name="LBL_GAS_YEARS" localSheetId="5">OFFSET([14]Data_by_gas!$A$1,0,1,1,COUNTA([14]Data_by_gas!$1:$1)-1)</definedName>
    <definedName name="LBL_GAS_YEARS">OFFSET([14]Data_by_gas!$A$1,0,1,1,COUNTA([14]Data_by_gas!$1:$1)-1)</definedName>
    <definedName name="LIFE_3a">#REF!</definedName>
    <definedName name="LIFE_3b">#REF!</definedName>
    <definedName name="MINCRD" comment="Activity bound for DK crude oil production based on projection from DEA." localSheetId="7">'[9]Mining NGA&amp;CRD'!$N$13:$O$93</definedName>
    <definedName name="MINCRD" comment="Activity bound for DK crude oil production based on projection from DEA." localSheetId="8">#REF!</definedName>
    <definedName name="MINCRD" comment="Activity bound for DK crude oil production based on projection from DEA.">#REF!</definedName>
    <definedName name="MINNGA" comment="Activity bound for DK natural gas  production based on projection from DEA." localSheetId="7">'[9]Mining NGA&amp;CRD'!$P$13:$Q$93</definedName>
    <definedName name="MINNGA" comment="Activity bound for DK natural gas  production based on projection from DEA." localSheetId="8">#REF!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 localSheetId="17">[2]TechnologyData!$F$11</definedName>
    <definedName name="Nettarif" localSheetId="5">[2]TechnologyData!$F$11</definedName>
    <definedName name="Nettarif">[2]TechnologyData!$F$11</definedName>
    <definedName name="NGCC_SmallBP" localSheetId="17">[2]TechnologyData!$A$72:$M$99</definedName>
    <definedName name="NGCC_SmallBP" localSheetId="5">[2]TechnologyData!$A$72:$M$99</definedName>
    <definedName name="NGCC_SmallBP">[2]TechnologyData!$A$72:$M$99</definedName>
    <definedName name="nhydro" localSheetId="17">[2]General!#REF!</definedName>
    <definedName name="nhydro" localSheetId="5">[2]General!#REF!</definedName>
    <definedName name="nhydro" localSheetId="8">[2]General!#REF!</definedName>
    <definedName name="nhydro">[2]General!#REF!</definedName>
    <definedName name="NyeNGCC" localSheetId="17">[2]Plants!$J$5</definedName>
    <definedName name="NyeNGCC" localSheetId="5">[2]Plants!$J$5</definedName>
    <definedName name="NyeNGCC">[2]Plants!$J$5</definedName>
    <definedName name="OffshoreWindPark" localSheetId="17">[2]TechnologyData!$O$43:$AA$70</definedName>
    <definedName name="OffshoreWindPark" localSheetId="5">[2]TechnologyData!$O$43:$AA$70</definedName>
    <definedName name="OffshoreWindPark">[2]TechnologyData!$O$43:$AA$70</definedName>
    <definedName name="OnshoreWindPark" localSheetId="17">[2]TechnologyData!$O$14:$AA$41</definedName>
    <definedName name="OnshoreWindPark" localSheetId="5">[2]TechnologyData!$O$14:$AA$41</definedName>
    <definedName name="OnshoreWindPark">[2]TechnologyData!$O$14:$AA$41</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 localSheetId="5">#REF!</definedName>
    <definedName name="Prisår_Til_Ramses" localSheetId="8">#REF!</definedName>
    <definedName name="Prisår_Til_Ramses">#REF!</definedName>
    <definedName name="Raggr1" localSheetId="5">[15]Rækker!$A$4:$A$4</definedName>
    <definedName name="Raggr1">[15]Rækker!$A$4:$A$4</definedName>
    <definedName name="Raggr2" localSheetId="5">[15]Rækker!$B$4:$B$4</definedName>
    <definedName name="Raggr2">[15]Rækker!$B$4:$B$4</definedName>
    <definedName name="Raggr3" localSheetId="5">[15]Rækker!$C$4:$C$4</definedName>
    <definedName name="Raggr3">[15]Rækker!$C$4:$C$4</definedName>
    <definedName name="Raggr4" localSheetId="8">#REF!</definedName>
    <definedName name="Raggr4">'MIN-IMP-EXP_Data'!$D$4:$D$4</definedName>
    <definedName name="Raggr5" localSheetId="8">#REF!</definedName>
    <definedName name="Raggr5">'MIN-IMP-EXP_Data'!$E$4:$E$4</definedName>
    <definedName name="Real_interest_rate" localSheetId="17">[16]TechnologyData!$B$37</definedName>
    <definedName name="Real_interest_rate" localSheetId="5">[16]TechnologyData!$B$37</definedName>
    <definedName name="Real_interest_rate">[16]TechnologyData!$B$37</definedName>
    <definedName name="RefurbishedCoalBioCHP" localSheetId="17">[2]TechnologyData!$A$43:$M$70</definedName>
    <definedName name="RefurbishedCoalBioCHP" localSheetId="5">[2]TechnologyData!$A$43:$M$70</definedName>
    <definedName name="RefurbishedCoalBioCHP">[2]TechnologyData!$A$43:$M$70</definedName>
    <definedName name="Region_3a">#REF!</definedName>
    <definedName name="Region_3b">#REF!</definedName>
    <definedName name="Region_Pa">#REF!</definedName>
    <definedName name="Region_Pb">#REF!</definedName>
    <definedName name="RenovCKV" localSheetId="17">[2]Plants!$J$4</definedName>
    <definedName name="RenovCKV" localSheetId="5">[2]Plants!$J$4</definedName>
    <definedName name="RenovCKV">[2]Plants!$J$4</definedName>
    <definedName name="RetBE" localSheetId="5">[17]Macro1!#REF!</definedName>
    <definedName name="RetBE" localSheetId="24">[17]Macro1!#REF!</definedName>
    <definedName name="RetBE" localSheetId="25">[17]Macro1!#REF!</definedName>
    <definedName name="RetBE" localSheetId="26">[17]Macro1!#REF!</definedName>
    <definedName name="RetBE" localSheetId="27">[17]Macro1!#REF!</definedName>
    <definedName name="RetBE">[17]Macro1!#REF!</definedName>
    <definedName name="rSØK" localSheetId="5">'[5]Centrale data'!$C$32</definedName>
    <definedName name="rSØK">'[5]Centrale data'!$C$32</definedName>
    <definedName name="Saggr1" localSheetId="5">[15]Søjler!$A$4:$A$7</definedName>
    <definedName name="Saggr1">[15]Søjler!$A$4:$A$7</definedName>
    <definedName name="Saggr2" localSheetId="5">[15]Søjler!$B$4:$B$7</definedName>
    <definedName name="Saggr2">[15]Søjler!$B$4:$B$7</definedName>
    <definedName name="Saggr3" localSheetId="5">[15]Søjler!$C$4:$C$7</definedName>
    <definedName name="Saggr3">[15]Søjler!$C$4:$C$7</definedName>
    <definedName name="Saggr4" localSheetId="5">[15]Søjler!$D$4:$D$7</definedName>
    <definedName name="Saggr4">[15]Søjler!$D$4:$D$7</definedName>
    <definedName name="Saggr5" localSheetId="5">[15]Søjler!$E$4:$E$7</definedName>
    <definedName name="Saggr5">[15]Søjler!$E$4:$E$7</definedName>
    <definedName name="Saggr6" localSheetId="5">[15]Søjler!$F$4:$F$7</definedName>
    <definedName name="Saggr6">[15]Søjler!$F$4:$F$7</definedName>
    <definedName name="Saggr7" localSheetId="5">[15]Søjler!$G$4:$G$7</definedName>
    <definedName name="Saggr7">[15]Søjler!$G$4:$G$7</definedName>
    <definedName name="Saggr8" localSheetId="5">[15]Søjler!$H$4:$H$7</definedName>
    <definedName name="Saggr8">[15]Søjler!$H$4:$H$7</definedName>
    <definedName name="SECTOR_CHANGE_TOTAL" localSheetId="19">(Data_by_sector!XFD1-Data_by_sector!$B1)/Data_by_sector!$B1</definedName>
    <definedName name="SECTOR_AAC" localSheetId="19">POWER(Data_by_sector!A1048531/Data_by_sector!XFD1048531, 1/(Data_by_sector!A$1-Data_by_sector!XFD$1))-1</definedName>
    <definedName name="SECTOR_AAC_TOTAL" localSheetId="19">POWER(Data_by_sector!XFD1048531/Data_by_sector!$B1048531, 1/(Data_by_sector!XFD$1-Data_by_sector!$B$1))-1</definedName>
    <definedName name="Set_Pa" localSheetId="5">#REF!</definedName>
    <definedName name="Set_Pa">#REF!</definedName>
    <definedName name="Set_Pb" localSheetId="5">#REF!</definedName>
    <definedName name="Set_Pb">#REF!</definedName>
    <definedName name="Share_I_UP_3" localSheetId="5">[18]Tech!#REF!</definedName>
    <definedName name="Share_I_UP_3">[19]Tech!#REF!</definedName>
    <definedName name="Share_I_UP_3a" localSheetId="5">#REF!</definedName>
    <definedName name="Share_I_UP_3a">#REF!</definedName>
    <definedName name="Share_I_UP_3b" localSheetId="5">#REF!</definedName>
    <definedName name="Share_I_UP_3b">#REF!</definedName>
    <definedName name="STOCK_HET_3" localSheetId="5">[18]Tech!#REF!</definedName>
    <definedName name="STOCK_HET_3">[19]Tech!#REF!</definedName>
    <definedName name="STOCK_HET_3a" localSheetId="5">#REF!</definedName>
    <definedName name="STOCK_HET_3a">#REF!</definedName>
    <definedName name="STOCK_HET_3b" localSheetId="5">#REF!</definedName>
    <definedName name="STOCK_HET_3b">#REF!</definedName>
    <definedName name="TechDesc_3a" localSheetId="5">#REF!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 localSheetId="24">#REF!</definedName>
    <definedName name="TP.Electricity_and_RES" localSheetId="25">#REF!</definedName>
    <definedName name="TP.Electricity_and_RES" localSheetId="26">#REF!</definedName>
    <definedName name="TP.Electricity_and_RES" localSheetId="27">#REF!</definedName>
    <definedName name="TP.Electricity_and_RES">#REF!</definedName>
    <definedName name="TP.Petroleum" localSheetId="24">#REF!</definedName>
    <definedName name="TP.Petroleum" localSheetId="25">#REF!</definedName>
    <definedName name="TP.Petroleum" localSheetId="26">#REF!</definedName>
    <definedName name="TP.Petroleum" localSheetId="27">#REF!</definedName>
    <definedName name="TP.Petroleum">#REF!</definedName>
    <definedName name="TP.Solids_and_Gases" localSheetId="24">#REF!</definedName>
    <definedName name="TP.Solids_and_Gases" localSheetId="25">#REF!</definedName>
    <definedName name="TP.Solids_and_Gases" localSheetId="26">#REF!</definedName>
    <definedName name="TP.Solids_and_Gases" localSheetId="27">#REF!</definedName>
    <definedName name="TP.Solids_and_Gases">#REF!</definedName>
    <definedName name="Translate">'[1]Plants Translate 1'!$E$12:$K$55</definedName>
    <definedName name="_xlnm.Print_Area" localSheetId="24">'Eurostat_EB-2010'!$A$1:$BT$179</definedName>
    <definedName name="_xlnm.Print_Area" localSheetId="25">'Eurostat_EB-2011'!$A$1:$BT$179</definedName>
    <definedName name="_xlnm.Print_Area" localSheetId="26">'Eurostat_EB-2012'!$A$1:$BT$179</definedName>
    <definedName name="_xlnm.Print_Area" localSheetId="27">'Eurostat_EB-2013'!$A$1:$BT$179</definedName>
    <definedName name="_xlnm.Print_Area" localSheetId="28">'Eurostat_EB-2014'!$A$1:$BT$179</definedName>
    <definedName name="_xlnm.Print_Titles" localSheetId="24">'Eurostat_EB-2010'!$A:$F,'Eurostat_EB-2010'!$1:$3</definedName>
    <definedName name="_xlnm.Print_Titles" localSheetId="25">'Eurostat_EB-2011'!$A:$F,'Eurostat_EB-2011'!$1:$3</definedName>
    <definedName name="_xlnm.Print_Titles" localSheetId="26">'Eurostat_EB-2012'!$A:$F,'Eurostat_EB-2012'!$1:$3</definedName>
    <definedName name="_xlnm.Print_Titles" localSheetId="27">'Eurostat_EB-2013'!$A:$F,'Eurostat_EB-2013'!$1:$3</definedName>
    <definedName name="_xlnm.Print_Titles" localSheetId="28">'Eurostat_EB-2014'!$A:$F,'Eurostat_EB-2014'!$1:$3</definedName>
    <definedName name="US.Electricity_and_RES" localSheetId="24">#REF!</definedName>
    <definedName name="US.Electricity_and_RES" localSheetId="25">#REF!</definedName>
    <definedName name="US.Electricity_and_RES" localSheetId="26">#REF!</definedName>
    <definedName name="US.Electricity_and_RES" localSheetId="27">#REF!</definedName>
    <definedName name="US.Electricity_and_RES">#REF!</definedName>
    <definedName name="US.Petroleum" localSheetId="24">#REF!</definedName>
    <definedName name="US.Petroleum" localSheetId="25">#REF!</definedName>
    <definedName name="US.Petroleum" localSheetId="26">#REF!</definedName>
    <definedName name="US.Petroleum" localSheetId="27">#REF!</definedName>
    <definedName name="US.Petroleum">#REF!</definedName>
    <definedName name="US.Solids_and_Gases" localSheetId="24">#REF!</definedName>
    <definedName name="US.Solids_and_Gases" localSheetId="25">#REF!</definedName>
    <definedName name="US.Solids_and_Gases" localSheetId="26">#REF!</definedName>
    <definedName name="US.Solids_and_Gases" localSheetId="27">#REF!</definedName>
    <definedName name="US.Solids_and_Gases">#REF!</definedName>
    <definedName name="VAROM_3a">#REF!</definedName>
    <definedName name="VAROM_3b">#REF!</definedName>
    <definedName name="VARWINOFF" localSheetId="5">'[11]O&amp;M waste and WIN '!$L$13</definedName>
    <definedName name="VARWINOFF">'[11]O&amp;M waste and WIN '!$L$13</definedName>
    <definedName name="VARWINON" localSheetId="5">'[11]O&amp;M waste and WIN '!$L$14</definedName>
    <definedName name="VARWINON">'[11]O&amp;M waste and WIN '!$L$14</definedName>
    <definedName name="VARWSTBO" localSheetId="5">'[13]Adjusted O&amp;M waste and wind '!$D$5</definedName>
    <definedName name="VARWSTBO">'[13]Adjusted O&amp;M waste and wind '!$D$5</definedName>
    <definedName name="VARWSTBP" localSheetId="5">'[13]Adjusted O&amp;M waste and wind '!$D$4</definedName>
    <definedName name="VARWSTBP">'[13]Adjusted O&amp;M waste and wind '!$D$4</definedName>
    <definedName name="WasteCHP" localSheetId="17">[2]TechnologyData!$A$101:$M$129</definedName>
    <definedName name="WasteCHP" localSheetId="5">[2]TechnologyData!$A$101:$M$129</definedName>
    <definedName name="WasteCHP">[2]TechnologyData!$A$101:$M$129</definedName>
    <definedName name="Wood_SmallBP" localSheetId="17">[2]TechnologyData!$A$131:$M$158</definedName>
    <definedName name="Wood_SmallBP" localSheetId="5">[2]TechnologyData!$A$131:$M$158</definedName>
    <definedName name="Wood_SmallBP">[2]TechnologyData!$A$131:$M$158</definedName>
    <definedName name="x" localSheetId="2">[20]AGR_Fuels!$A$2</definedName>
    <definedName name="x" localSheetId="5">[20]AGR_Fuels!$A$2</definedName>
    <definedName name="x">[20]AGR_Fuels!$A$2</definedName>
    <definedName name="yeare" localSheetId="24">#REF!</definedName>
    <definedName name="yeare" localSheetId="25">#REF!</definedName>
    <definedName name="yeare" localSheetId="26">#REF!</definedName>
    <definedName name="yeare" localSheetId="27">#REF!</definedName>
    <definedName name="yeare">#REF!</definedName>
    <definedName name="yearf" localSheetId="24">#REF!</definedName>
    <definedName name="yearf" localSheetId="25">#REF!</definedName>
    <definedName name="yearf" localSheetId="26">#REF!</definedName>
    <definedName name="yearf" localSheetId="27">#REF!</definedName>
    <definedName name="yearf">#REF!</definedName>
    <definedName name="yearg" localSheetId="24">#REF!</definedName>
    <definedName name="yearg" localSheetId="25">#REF!</definedName>
    <definedName name="yearg" localSheetId="26">#REF!</definedName>
    <definedName name="yearg" localSheetId="27">#REF!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 i="269" l="1"/>
  <c r="I30" i="265"/>
  <c r="J30" i="265"/>
  <c r="K30" i="265"/>
  <c r="L30" i="265"/>
  <c r="I31" i="265"/>
  <c r="J31" i="265"/>
  <c r="K31" i="265"/>
  <c r="L31" i="265"/>
  <c r="I32" i="265"/>
  <c r="J32" i="265"/>
  <c r="K32" i="265"/>
  <c r="L32" i="265"/>
  <c r="I33" i="265"/>
  <c r="J33" i="265"/>
  <c r="K33" i="265"/>
  <c r="L33" i="265"/>
  <c r="I34" i="265"/>
  <c r="J34" i="265"/>
  <c r="K34" i="265"/>
  <c r="L34" i="265"/>
  <c r="H30" i="265"/>
  <c r="H31" i="265"/>
  <c r="H32" i="265"/>
  <c r="H33" i="265"/>
  <c r="H34" i="265"/>
  <c r="H10" i="265" l="1"/>
  <c r="I10" i="265"/>
  <c r="J10" i="265"/>
  <c r="K10" i="265"/>
  <c r="L10" i="265"/>
  <c r="H11" i="265"/>
  <c r="I11" i="265"/>
  <c r="J11" i="265"/>
  <c r="K11" i="265"/>
  <c r="L11" i="265"/>
  <c r="H12" i="265"/>
  <c r="I12" i="265"/>
  <c r="J12" i="265"/>
  <c r="K12" i="265"/>
  <c r="L12" i="265"/>
  <c r="H13" i="265"/>
  <c r="I13" i="265"/>
  <c r="J13" i="265"/>
  <c r="K13" i="265"/>
  <c r="L13" i="265"/>
  <c r="H14" i="265"/>
  <c r="I14" i="265"/>
  <c r="J14" i="265"/>
  <c r="K14" i="265"/>
  <c r="L14" i="265"/>
  <c r="AC8" i="246" l="1"/>
  <c r="AB8" i="246"/>
  <c r="AA8" i="246"/>
  <c r="Z8" i="246"/>
  <c r="Q13" i="265" l="1"/>
  <c r="V13" i="265" s="1"/>
  <c r="Q14" i="265"/>
  <c r="V14" i="265" s="1"/>
  <c r="N13" i="265"/>
  <c r="S13" i="265" s="1"/>
  <c r="O13" i="265"/>
  <c r="T13" i="265" s="1"/>
  <c r="P13" i="265"/>
  <c r="U13" i="265" s="1"/>
  <c r="N14" i="265"/>
  <c r="S14" i="265" s="1"/>
  <c r="O14" i="265"/>
  <c r="T14" i="265" s="1"/>
  <c r="P14" i="265"/>
  <c r="U14" i="265" s="1"/>
  <c r="E118" i="216" l="1"/>
  <c r="N12" i="265"/>
  <c r="S12" i="265" s="1"/>
  <c r="O12" i="265"/>
  <c r="T12" i="265" s="1"/>
  <c r="P12" i="265"/>
  <c r="U12" i="265" s="1"/>
  <c r="Q12" i="265"/>
  <c r="V12" i="265" s="1"/>
  <c r="U11" i="265"/>
  <c r="U10" i="265"/>
  <c r="U9" i="265"/>
  <c r="U8" i="265"/>
  <c r="U7" i="265"/>
  <c r="T11" i="265"/>
  <c r="T10" i="265"/>
  <c r="T9" i="265"/>
  <c r="T8" i="265"/>
  <c r="T7" i="265"/>
  <c r="I31" i="261"/>
  <c r="I32" i="261"/>
  <c r="I33" i="261"/>
  <c r="I34" i="261"/>
  <c r="I35" i="261"/>
  <c r="C31" i="261"/>
  <c r="C32" i="261"/>
  <c r="C33" i="261"/>
  <c r="C34" i="261"/>
  <c r="C35" i="261"/>
  <c r="B31" i="261"/>
  <c r="B32" i="261"/>
  <c r="B33" i="261"/>
  <c r="B34" i="261"/>
  <c r="B35" i="261"/>
  <c r="I17" i="261"/>
  <c r="I18" i="261"/>
  <c r="I19" i="261"/>
  <c r="I20" i="261"/>
  <c r="C18" i="261"/>
  <c r="C19" i="261"/>
  <c r="C20" i="261"/>
  <c r="C17" i="261"/>
  <c r="AC10" i="265"/>
  <c r="AB10" i="265"/>
  <c r="G12" i="265"/>
  <c r="G10" i="265"/>
  <c r="D143" i="231" l="1"/>
  <c r="D144" i="231"/>
  <c r="D145" i="231"/>
  <c r="D175" i="231"/>
  <c r="D176" i="231"/>
  <c r="D177" i="231"/>
  <c r="D178" i="231"/>
  <c r="D179" i="231"/>
  <c r="D186" i="231"/>
  <c r="D187" i="231"/>
  <c r="D188" i="231"/>
  <c r="D189" i="231"/>
  <c r="D190" i="231"/>
  <c r="D191" i="231"/>
  <c r="D192" i="231"/>
  <c r="D193" i="231"/>
  <c r="D194" i="231"/>
  <c r="E188" i="231" l="1"/>
  <c r="E189" i="231"/>
  <c r="E190" i="231"/>
  <c r="E191" i="231"/>
  <c r="E192" i="231"/>
  <c r="E193" i="231"/>
  <c r="E194" i="231"/>
  <c r="E187" i="231"/>
  <c r="E122" i="216"/>
  <c r="E121" i="216"/>
  <c r="E120" i="216"/>
  <c r="E119" i="216"/>
  <c r="V7" i="265"/>
  <c r="Y7" i="265"/>
  <c r="S8" i="265"/>
  <c r="V8" i="265" s="1"/>
  <c r="Y8" i="265"/>
  <c r="AS8" i="265"/>
  <c r="G7" i="265" s="1"/>
  <c r="S9" i="265"/>
  <c r="V9" i="265" s="1"/>
  <c r="Y9" i="265"/>
  <c r="S10" i="265"/>
  <c r="V10" i="265" s="1"/>
  <c r="Z10" i="265"/>
  <c r="G11" i="265"/>
  <c r="AC11" i="265" s="1"/>
  <c r="S11" i="265"/>
  <c r="V11" i="265" s="1"/>
  <c r="M12" i="265"/>
  <c r="R12" i="265" s="1"/>
  <c r="G13" i="265"/>
  <c r="M13" i="265"/>
  <c r="R13" i="265" s="1"/>
  <c r="G14" i="265"/>
  <c r="M14" i="265"/>
  <c r="R14" i="265" s="1"/>
  <c r="B21" i="261"/>
  <c r="C21" i="261"/>
  <c r="I21" i="261"/>
  <c r="B22" i="261"/>
  <c r="C22" i="261"/>
  <c r="I22" i="261"/>
  <c r="B23" i="261"/>
  <c r="C23" i="261"/>
  <c r="I23" i="261"/>
  <c r="B24" i="261"/>
  <c r="C24" i="261"/>
  <c r="I24" i="261"/>
  <c r="B25" i="261"/>
  <c r="C25" i="261"/>
  <c r="I25" i="261"/>
  <c r="B26" i="261"/>
  <c r="C26" i="261"/>
  <c r="I26" i="261"/>
  <c r="B27" i="261"/>
  <c r="C27" i="261"/>
  <c r="I27" i="261"/>
  <c r="B28" i="261"/>
  <c r="C28" i="261"/>
  <c r="I28" i="261"/>
  <c r="B29" i="261"/>
  <c r="C29" i="261"/>
  <c r="I29" i="261"/>
  <c r="B30" i="261"/>
  <c r="C30" i="261"/>
  <c r="I30" i="261"/>
  <c r="C13" i="261"/>
  <c r="I13" i="261"/>
  <c r="C14" i="261"/>
  <c r="I14" i="261"/>
  <c r="C15" i="261"/>
  <c r="I15" i="261"/>
  <c r="C16" i="261"/>
  <c r="I16" i="261"/>
  <c r="C7" i="261"/>
  <c r="I7" i="261"/>
  <c r="C8" i="261"/>
  <c r="I8" i="261"/>
  <c r="C9" i="261"/>
  <c r="I9" i="261"/>
  <c r="C10" i="261"/>
  <c r="I10" i="261"/>
  <c r="C11" i="261"/>
  <c r="I11" i="261"/>
  <c r="C12" i="261"/>
  <c r="I12" i="261"/>
  <c r="I28" i="265" l="1"/>
  <c r="I8" i="265" s="1"/>
  <c r="H28" i="265"/>
  <c r="H8" i="265" s="1"/>
  <c r="K28" i="265"/>
  <c r="K8" i="265" s="1"/>
  <c r="J28" i="265"/>
  <c r="J8" i="265" s="1"/>
  <c r="L28" i="265"/>
  <c r="L8" i="265" s="1"/>
  <c r="I29" i="265"/>
  <c r="I9" i="265" s="1"/>
  <c r="L29" i="265"/>
  <c r="L9" i="265" s="1"/>
  <c r="J29" i="265"/>
  <c r="J9" i="265" s="1"/>
  <c r="H29" i="265"/>
  <c r="H9" i="265" s="1"/>
  <c r="K29" i="265"/>
  <c r="K9" i="265" s="1"/>
  <c r="I27" i="265"/>
  <c r="I7" i="265" s="1"/>
  <c r="L27" i="265"/>
  <c r="L7" i="265" s="1"/>
  <c r="H27" i="265"/>
  <c r="H7" i="265" s="1"/>
  <c r="J27" i="265"/>
  <c r="J7" i="265" s="1"/>
  <c r="K27" i="265"/>
  <c r="K7" i="265" s="1"/>
  <c r="G9" i="265"/>
  <c r="M10" i="265"/>
  <c r="P10" i="265" s="1"/>
  <c r="G8" i="265"/>
  <c r="M7" i="265"/>
  <c r="P7" i="265" s="1"/>
  <c r="M8" i="265"/>
  <c r="P8" i="265" s="1"/>
  <c r="M9" i="265"/>
  <c r="P9" i="265" s="1"/>
  <c r="M11" i="265"/>
  <c r="P11" i="265" s="1"/>
  <c r="AB11" i="265"/>
  <c r="N7" i="265" l="1"/>
  <c r="Q7" i="265" s="1"/>
  <c r="O7" i="265"/>
  <c r="N9" i="265"/>
  <c r="Q9" i="265" s="1"/>
  <c r="O9" i="265"/>
  <c r="N11" i="265"/>
  <c r="Q11" i="265" s="1"/>
  <c r="O11" i="265"/>
  <c r="N8" i="265"/>
  <c r="Q8" i="265" s="1"/>
  <c r="O8" i="265"/>
  <c r="N10" i="265"/>
  <c r="Q10" i="265" s="1"/>
  <c r="O10" i="265"/>
  <c r="AZ35" i="238"/>
  <c r="AZ33" i="238"/>
  <c r="AZ32" i="238"/>
  <c r="D188" i="245" l="1"/>
  <c r="Z92" i="262"/>
  <c r="Y92" i="262"/>
  <c r="X92" i="262"/>
  <c r="W92" i="262"/>
  <c r="V92" i="262"/>
  <c r="U92" i="262"/>
  <c r="T92" i="262"/>
  <c r="S92" i="262"/>
  <c r="R92" i="262"/>
  <c r="Q92" i="262"/>
  <c r="P92" i="262"/>
  <c r="O92" i="262"/>
  <c r="N92" i="262"/>
  <c r="M92" i="262"/>
  <c r="L92" i="262"/>
  <c r="K92" i="262"/>
  <c r="J92" i="262"/>
  <c r="I92" i="262"/>
  <c r="H92" i="262"/>
  <c r="G92" i="262"/>
  <c r="F92" i="262"/>
  <c r="E92" i="262"/>
  <c r="D92" i="262"/>
  <c r="C92" i="262"/>
  <c r="B92" i="262"/>
  <c r="Z91" i="262"/>
  <c r="Y91" i="262"/>
  <c r="X91" i="262"/>
  <c r="W91" i="262"/>
  <c r="V91" i="262"/>
  <c r="U91" i="262"/>
  <c r="T91" i="262"/>
  <c r="S91" i="262"/>
  <c r="R91" i="262"/>
  <c r="Q91" i="262"/>
  <c r="P91" i="262"/>
  <c r="O91" i="262"/>
  <c r="N91" i="262"/>
  <c r="M91" i="262"/>
  <c r="L91" i="262"/>
  <c r="K91" i="262"/>
  <c r="J91" i="262"/>
  <c r="I91" i="262"/>
  <c r="H91" i="262"/>
  <c r="G91" i="262"/>
  <c r="F91" i="262"/>
  <c r="E91" i="262"/>
  <c r="D91" i="262"/>
  <c r="C91" i="262"/>
  <c r="B91" i="262"/>
  <c r="Z90" i="262"/>
  <c r="Y90" i="262"/>
  <c r="X90" i="262"/>
  <c r="W90" i="262"/>
  <c r="V90" i="262"/>
  <c r="U90" i="262"/>
  <c r="T90" i="262"/>
  <c r="S90" i="262"/>
  <c r="R90" i="262"/>
  <c r="Q90" i="262"/>
  <c r="P90" i="262"/>
  <c r="O90" i="262"/>
  <c r="N90" i="262"/>
  <c r="M90" i="262"/>
  <c r="L90" i="262"/>
  <c r="K90" i="262"/>
  <c r="J90" i="262"/>
  <c r="I90" i="262"/>
  <c r="H90" i="262"/>
  <c r="G90" i="262"/>
  <c r="F90" i="262"/>
  <c r="E90" i="262"/>
  <c r="D90" i="262"/>
  <c r="C90" i="262"/>
  <c r="B90" i="262"/>
  <c r="Z89" i="262"/>
  <c r="Y89" i="262"/>
  <c r="X89" i="262"/>
  <c r="W89" i="262"/>
  <c r="V89" i="262"/>
  <c r="U89" i="262"/>
  <c r="T89" i="262"/>
  <c r="S89" i="262"/>
  <c r="R89" i="262"/>
  <c r="Q89" i="262"/>
  <c r="P89" i="262"/>
  <c r="O89" i="262"/>
  <c r="N89" i="262"/>
  <c r="M89" i="262"/>
  <c r="L89" i="262"/>
  <c r="K89" i="262"/>
  <c r="J89" i="262"/>
  <c r="I89" i="262"/>
  <c r="H89" i="262"/>
  <c r="G89" i="262"/>
  <c r="F89" i="262"/>
  <c r="E89" i="262"/>
  <c r="D89" i="262"/>
  <c r="C89" i="262"/>
  <c r="B89" i="262"/>
  <c r="Z88" i="262"/>
  <c r="Y88" i="262"/>
  <c r="X88" i="262"/>
  <c r="W88" i="262"/>
  <c r="V88" i="262"/>
  <c r="U88" i="262"/>
  <c r="T88" i="262"/>
  <c r="S88" i="262"/>
  <c r="R88" i="262"/>
  <c r="Q88" i="262"/>
  <c r="P88" i="262"/>
  <c r="O88" i="262"/>
  <c r="N88" i="262"/>
  <c r="M88" i="262"/>
  <c r="L88" i="262"/>
  <c r="K88" i="262"/>
  <c r="J88" i="262"/>
  <c r="I88" i="262"/>
  <c r="H88" i="262"/>
  <c r="G88" i="262"/>
  <c r="F88" i="262"/>
  <c r="E88" i="262"/>
  <c r="D88" i="262"/>
  <c r="C88" i="262"/>
  <c r="B88" i="262"/>
  <c r="Z87" i="262"/>
  <c r="Y87" i="262"/>
  <c r="X87" i="262"/>
  <c r="W87" i="262"/>
  <c r="V87" i="262"/>
  <c r="U87" i="262"/>
  <c r="T87" i="262"/>
  <c r="S87" i="262"/>
  <c r="R87" i="262"/>
  <c r="Q87" i="262"/>
  <c r="P87" i="262"/>
  <c r="O87" i="262"/>
  <c r="N87" i="262"/>
  <c r="M87" i="262"/>
  <c r="L87" i="262"/>
  <c r="K87" i="262"/>
  <c r="J87" i="262"/>
  <c r="I87" i="262"/>
  <c r="H87" i="262"/>
  <c r="G87" i="262"/>
  <c r="F87" i="262"/>
  <c r="E87" i="262"/>
  <c r="D87" i="262"/>
  <c r="C87" i="262"/>
  <c r="B87" i="262"/>
  <c r="Z86" i="262"/>
  <c r="Y86" i="262"/>
  <c r="X86" i="262"/>
  <c r="W86" i="262"/>
  <c r="V86" i="262"/>
  <c r="U86" i="262"/>
  <c r="T86" i="262"/>
  <c r="S86" i="262"/>
  <c r="R86" i="262"/>
  <c r="Q86" i="262"/>
  <c r="P86" i="262"/>
  <c r="O86" i="262"/>
  <c r="N86" i="262"/>
  <c r="M86" i="262"/>
  <c r="L86" i="262"/>
  <c r="K86" i="262"/>
  <c r="J86" i="262"/>
  <c r="I86" i="262"/>
  <c r="H86" i="262"/>
  <c r="G86" i="262"/>
  <c r="F86" i="262"/>
  <c r="E86" i="262"/>
  <c r="D86" i="262"/>
  <c r="C86" i="262"/>
  <c r="B86" i="262"/>
  <c r="Z85" i="262"/>
  <c r="Y85" i="262"/>
  <c r="X85" i="262"/>
  <c r="W85" i="262"/>
  <c r="V85" i="262"/>
  <c r="U85" i="262"/>
  <c r="T85" i="262"/>
  <c r="S85" i="262"/>
  <c r="R85" i="262"/>
  <c r="Q85" i="262"/>
  <c r="P85" i="262"/>
  <c r="O85" i="262"/>
  <c r="N85" i="262"/>
  <c r="M85" i="262"/>
  <c r="L85" i="262"/>
  <c r="K85" i="262"/>
  <c r="J85" i="262"/>
  <c r="I85" i="262"/>
  <c r="H85" i="262"/>
  <c r="G85" i="262"/>
  <c r="F85" i="262"/>
  <c r="E85" i="262"/>
  <c r="D85" i="262"/>
  <c r="C85" i="262"/>
  <c r="B85" i="262"/>
  <c r="Z84" i="262"/>
  <c r="Y84" i="262"/>
  <c r="X84" i="262"/>
  <c r="W84" i="262"/>
  <c r="V84" i="262"/>
  <c r="U84" i="262"/>
  <c r="T84" i="262"/>
  <c r="S84" i="262"/>
  <c r="R84" i="262"/>
  <c r="Q84" i="262"/>
  <c r="P84" i="262"/>
  <c r="O84" i="262"/>
  <c r="N84" i="262"/>
  <c r="M84" i="262"/>
  <c r="L84" i="262"/>
  <c r="K84" i="262"/>
  <c r="J84" i="262"/>
  <c r="I84" i="262"/>
  <c r="H84" i="262"/>
  <c r="G84" i="262"/>
  <c r="F84" i="262"/>
  <c r="E84" i="262"/>
  <c r="D84" i="262"/>
  <c r="C84" i="262"/>
  <c r="B84" i="262"/>
  <c r="Z83" i="262"/>
  <c r="Y83" i="262"/>
  <c r="X83" i="262"/>
  <c r="W83" i="262"/>
  <c r="V83" i="262"/>
  <c r="U83" i="262"/>
  <c r="T83" i="262"/>
  <c r="S83" i="262"/>
  <c r="R83" i="262"/>
  <c r="Q83" i="262"/>
  <c r="P83" i="262"/>
  <c r="O83" i="262"/>
  <c r="N83" i="262"/>
  <c r="M83" i="262"/>
  <c r="L83" i="262"/>
  <c r="K83" i="262"/>
  <c r="J83" i="262"/>
  <c r="I83" i="262"/>
  <c r="H83" i="262"/>
  <c r="G83" i="262"/>
  <c r="F83" i="262"/>
  <c r="E83" i="262"/>
  <c r="D83" i="262"/>
  <c r="C83" i="262"/>
  <c r="B83" i="262"/>
  <c r="Z82" i="262"/>
  <c r="Y82" i="262"/>
  <c r="X82" i="262"/>
  <c r="W82" i="262"/>
  <c r="V82" i="262"/>
  <c r="U82" i="262"/>
  <c r="T82" i="262"/>
  <c r="S82" i="262"/>
  <c r="R82" i="262"/>
  <c r="Q82" i="262"/>
  <c r="P82" i="262"/>
  <c r="O82" i="262"/>
  <c r="N82" i="262"/>
  <c r="M82" i="262"/>
  <c r="L82" i="262"/>
  <c r="K82" i="262"/>
  <c r="J82" i="262"/>
  <c r="I82" i="262"/>
  <c r="H82" i="262"/>
  <c r="G82" i="262"/>
  <c r="F82" i="262"/>
  <c r="E82" i="262"/>
  <c r="D82" i="262"/>
  <c r="C82" i="262"/>
  <c r="B82" i="262"/>
  <c r="Z81" i="262"/>
  <c r="Y81" i="262"/>
  <c r="X81" i="262"/>
  <c r="W81" i="262"/>
  <c r="V81" i="262"/>
  <c r="U81" i="262"/>
  <c r="T81" i="262"/>
  <c r="S81" i="262"/>
  <c r="R81" i="262"/>
  <c r="Q81" i="262"/>
  <c r="P81" i="262"/>
  <c r="O81" i="262"/>
  <c r="N81" i="262"/>
  <c r="M81" i="262"/>
  <c r="L81" i="262"/>
  <c r="K81" i="262"/>
  <c r="J81" i="262"/>
  <c r="I81" i="262"/>
  <c r="H81" i="262"/>
  <c r="G81" i="262"/>
  <c r="F81" i="262"/>
  <c r="E81" i="262"/>
  <c r="D81" i="262"/>
  <c r="C81" i="262"/>
  <c r="B81" i="262"/>
  <c r="Z80" i="262"/>
  <c r="Y80" i="262"/>
  <c r="X80" i="262"/>
  <c r="W80" i="262"/>
  <c r="V80" i="262"/>
  <c r="U80" i="262"/>
  <c r="T80" i="262"/>
  <c r="S80" i="262"/>
  <c r="R80" i="262"/>
  <c r="Q80" i="262"/>
  <c r="P80" i="262"/>
  <c r="O80" i="262"/>
  <c r="N80" i="262"/>
  <c r="M80" i="262"/>
  <c r="L80" i="262"/>
  <c r="K80" i="262"/>
  <c r="J80" i="262"/>
  <c r="I80" i="262"/>
  <c r="H80" i="262"/>
  <c r="G80" i="262"/>
  <c r="F80" i="262"/>
  <c r="E80" i="262"/>
  <c r="D80" i="262"/>
  <c r="C80" i="262"/>
  <c r="B80" i="262"/>
  <c r="Z79" i="262"/>
  <c r="Y79" i="262"/>
  <c r="X79" i="262"/>
  <c r="W79" i="262"/>
  <c r="V79" i="262"/>
  <c r="U79" i="262"/>
  <c r="T79" i="262"/>
  <c r="S79" i="262"/>
  <c r="R79" i="262"/>
  <c r="Q79" i="262"/>
  <c r="P79" i="262"/>
  <c r="O79" i="262"/>
  <c r="N79" i="262"/>
  <c r="M79" i="262"/>
  <c r="L79" i="262"/>
  <c r="K79" i="262"/>
  <c r="J79" i="262"/>
  <c r="I79" i="262"/>
  <c r="H79" i="262"/>
  <c r="G79" i="262"/>
  <c r="F79" i="262"/>
  <c r="E79" i="262"/>
  <c r="D79" i="262"/>
  <c r="C79" i="262"/>
  <c r="B79" i="262"/>
  <c r="Z78" i="262"/>
  <c r="Y78" i="262"/>
  <c r="X78" i="262"/>
  <c r="W78" i="262"/>
  <c r="V78" i="262"/>
  <c r="U78" i="262"/>
  <c r="T78" i="262"/>
  <c r="S78" i="262"/>
  <c r="R78" i="262"/>
  <c r="Q78" i="262"/>
  <c r="P78" i="262"/>
  <c r="O78" i="262"/>
  <c r="N78" i="262"/>
  <c r="M78" i="262"/>
  <c r="L78" i="262"/>
  <c r="K78" i="262"/>
  <c r="J78" i="262"/>
  <c r="I78" i="262"/>
  <c r="H78" i="262"/>
  <c r="G78" i="262"/>
  <c r="F78" i="262"/>
  <c r="E78" i="262"/>
  <c r="D78" i="262"/>
  <c r="C78" i="262"/>
  <c r="B78" i="262"/>
  <c r="Z77" i="262"/>
  <c r="Y77" i="262"/>
  <c r="X77" i="262"/>
  <c r="W77" i="262"/>
  <c r="V77" i="262"/>
  <c r="U77" i="262"/>
  <c r="T77" i="262"/>
  <c r="S77" i="262"/>
  <c r="R77" i="262"/>
  <c r="Q77" i="262"/>
  <c r="P77" i="262"/>
  <c r="O77" i="262"/>
  <c r="N77" i="262"/>
  <c r="M77" i="262"/>
  <c r="L77" i="262"/>
  <c r="K77" i="262"/>
  <c r="J77" i="262"/>
  <c r="I77" i="262"/>
  <c r="H77" i="262"/>
  <c r="G77" i="262"/>
  <c r="F77" i="262"/>
  <c r="E77" i="262"/>
  <c r="D77" i="262"/>
  <c r="C77" i="262"/>
  <c r="B77" i="262"/>
  <c r="Z76" i="262"/>
  <c r="Y76" i="262"/>
  <c r="X76" i="262"/>
  <c r="W76" i="262"/>
  <c r="V76" i="262"/>
  <c r="U76" i="262"/>
  <c r="T76" i="262"/>
  <c r="S76" i="262"/>
  <c r="R76" i="262"/>
  <c r="Q76" i="262"/>
  <c r="P76" i="262"/>
  <c r="O76" i="262"/>
  <c r="N76" i="262"/>
  <c r="M76" i="262"/>
  <c r="L76" i="262"/>
  <c r="K76" i="262"/>
  <c r="J76" i="262"/>
  <c r="I76" i="262"/>
  <c r="H76" i="262"/>
  <c r="G76" i="262"/>
  <c r="F76" i="262"/>
  <c r="E76" i="262"/>
  <c r="D76" i="262"/>
  <c r="C76" i="262"/>
  <c r="B76" i="262"/>
  <c r="Z75" i="262"/>
  <c r="Y75" i="262"/>
  <c r="X75" i="262"/>
  <c r="W75" i="262"/>
  <c r="V75" i="262"/>
  <c r="U75" i="262"/>
  <c r="T75" i="262"/>
  <c r="S75" i="262"/>
  <c r="R75" i="262"/>
  <c r="Q75" i="262"/>
  <c r="P75" i="262"/>
  <c r="O75" i="262"/>
  <c r="N75" i="262"/>
  <c r="M75" i="262"/>
  <c r="L75" i="262"/>
  <c r="K75" i="262"/>
  <c r="J75" i="262"/>
  <c r="I75" i="262"/>
  <c r="H75" i="262"/>
  <c r="G75" i="262"/>
  <c r="F75" i="262"/>
  <c r="E75" i="262"/>
  <c r="D75" i="262"/>
  <c r="C75" i="262"/>
  <c r="B75" i="262"/>
  <c r="Z74" i="262"/>
  <c r="Y74" i="262"/>
  <c r="X74" i="262"/>
  <c r="W74" i="262"/>
  <c r="V74" i="262"/>
  <c r="U74" i="262"/>
  <c r="T74" i="262"/>
  <c r="S74" i="262"/>
  <c r="R74" i="262"/>
  <c r="Q74" i="262"/>
  <c r="P74" i="262"/>
  <c r="O74" i="262"/>
  <c r="N74" i="262"/>
  <c r="M74" i="262"/>
  <c r="L74" i="262"/>
  <c r="K74" i="262"/>
  <c r="J74" i="262"/>
  <c r="I74" i="262"/>
  <c r="H74" i="262"/>
  <c r="G74" i="262"/>
  <c r="F74" i="262"/>
  <c r="E74" i="262"/>
  <c r="D74" i="262"/>
  <c r="C74" i="262"/>
  <c r="B74" i="262"/>
  <c r="Z73" i="262"/>
  <c r="Y73" i="262"/>
  <c r="X73" i="262"/>
  <c r="W73" i="262"/>
  <c r="V73" i="262"/>
  <c r="U73" i="262"/>
  <c r="T73" i="262"/>
  <c r="S73" i="262"/>
  <c r="R73" i="262"/>
  <c r="Q73" i="262"/>
  <c r="P73" i="262"/>
  <c r="O73" i="262"/>
  <c r="N73" i="262"/>
  <c r="M73" i="262"/>
  <c r="L73" i="262"/>
  <c r="K73" i="262"/>
  <c r="J73" i="262"/>
  <c r="I73" i="262"/>
  <c r="H73" i="262"/>
  <c r="G73" i="262"/>
  <c r="F73" i="262"/>
  <c r="E73" i="262"/>
  <c r="D73" i="262"/>
  <c r="C73" i="262"/>
  <c r="B73" i="262"/>
  <c r="Z72" i="262"/>
  <c r="Y72" i="262"/>
  <c r="X72" i="262"/>
  <c r="W72" i="262"/>
  <c r="V72" i="262"/>
  <c r="U72" i="262"/>
  <c r="T72" i="262"/>
  <c r="S72" i="262"/>
  <c r="R72" i="262"/>
  <c r="Q72" i="262"/>
  <c r="P72" i="262"/>
  <c r="O72" i="262"/>
  <c r="N72" i="262"/>
  <c r="M72" i="262"/>
  <c r="L72" i="262"/>
  <c r="K72" i="262"/>
  <c r="J72" i="262"/>
  <c r="I72" i="262"/>
  <c r="H72" i="262"/>
  <c r="G72" i="262"/>
  <c r="F72" i="262"/>
  <c r="E72" i="262"/>
  <c r="D72" i="262"/>
  <c r="C72" i="262"/>
  <c r="B72" i="262"/>
  <c r="Z71" i="262"/>
  <c r="Y71" i="262"/>
  <c r="X71" i="262"/>
  <c r="W71" i="262"/>
  <c r="V71" i="262"/>
  <c r="U71" i="262"/>
  <c r="T71" i="262"/>
  <c r="S71" i="262"/>
  <c r="R71" i="262"/>
  <c r="Q71" i="262"/>
  <c r="P71" i="262"/>
  <c r="O71" i="262"/>
  <c r="N71" i="262"/>
  <c r="M71" i="262"/>
  <c r="L71" i="262"/>
  <c r="K71" i="262"/>
  <c r="J71" i="262"/>
  <c r="I71" i="262"/>
  <c r="H71" i="262"/>
  <c r="G71" i="262"/>
  <c r="F71" i="262"/>
  <c r="E71" i="262"/>
  <c r="D71" i="262"/>
  <c r="C71" i="262"/>
  <c r="B71" i="262"/>
  <c r="Z70" i="262"/>
  <c r="Y70" i="262"/>
  <c r="X70" i="262"/>
  <c r="W70" i="262"/>
  <c r="V70" i="262"/>
  <c r="U70" i="262"/>
  <c r="T70" i="262"/>
  <c r="S70" i="262"/>
  <c r="R70" i="262"/>
  <c r="Q70" i="262"/>
  <c r="P70" i="262"/>
  <c r="O70" i="262"/>
  <c r="N70" i="262"/>
  <c r="M70" i="262"/>
  <c r="L70" i="262"/>
  <c r="K70" i="262"/>
  <c r="J70" i="262"/>
  <c r="I70" i="262"/>
  <c r="H70" i="262"/>
  <c r="G70" i="262"/>
  <c r="F70" i="262"/>
  <c r="E70" i="262"/>
  <c r="D70" i="262"/>
  <c r="C70" i="262"/>
  <c r="B70" i="262"/>
  <c r="Z69" i="262"/>
  <c r="Y69" i="262"/>
  <c r="X69" i="262"/>
  <c r="W69" i="262"/>
  <c r="V69" i="262"/>
  <c r="U69" i="262"/>
  <c r="T69" i="262"/>
  <c r="S69" i="262"/>
  <c r="R69" i="262"/>
  <c r="Q69" i="262"/>
  <c r="P69" i="262"/>
  <c r="O69" i="262"/>
  <c r="N69" i="262"/>
  <c r="M69" i="262"/>
  <c r="L69" i="262"/>
  <c r="K69" i="262"/>
  <c r="J69" i="262"/>
  <c r="I69" i="262"/>
  <c r="H69" i="262"/>
  <c r="G69" i="262"/>
  <c r="F69" i="262"/>
  <c r="E69" i="262"/>
  <c r="D69" i="262"/>
  <c r="C69" i="262"/>
  <c r="B69" i="262"/>
  <c r="Z68" i="262"/>
  <c r="Y68" i="262"/>
  <c r="X68" i="262"/>
  <c r="W68" i="262"/>
  <c r="V68" i="262"/>
  <c r="U68" i="262"/>
  <c r="T68" i="262"/>
  <c r="S68" i="262"/>
  <c r="R68" i="262"/>
  <c r="Q68" i="262"/>
  <c r="P68" i="262"/>
  <c r="O68" i="262"/>
  <c r="N68" i="262"/>
  <c r="M68" i="262"/>
  <c r="L68" i="262"/>
  <c r="K68" i="262"/>
  <c r="J68" i="262"/>
  <c r="I68" i="262"/>
  <c r="H68" i="262"/>
  <c r="G68" i="262"/>
  <c r="F68" i="262"/>
  <c r="E68" i="262"/>
  <c r="D68" i="262"/>
  <c r="C68" i="262"/>
  <c r="B68" i="262"/>
  <c r="Z67" i="262"/>
  <c r="Y67" i="262"/>
  <c r="X67" i="262"/>
  <c r="W67" i="262"/>
  <c r="V67" i="262"/>
  <c r="U67" i="262"/>
  <c r="T67" i="262"/>
  <c r="S67" i="262"/>
  <c r="R67" i="262"/>
  <c r="Q67" i="262"/>
  <c r="P67" i="262"/>
  <c r="O67" i="262"/>
  <c r="N67" i="262"/>
  <c r="M67" i="262"/>
  <c r="L67" i="262"/>
  <c r="K67" i="262"/>
  <c r="J67" i="262"/>
  <c r="I67" i="262"/>
  <c r="H67" i="262"/>
  <c r="G67" i="262"/>
  <c r="F67" i="262"/>
  <c r="E67" i="262"/>
  <c r="D67" i="262"/>
  <c r="C67" i="262"/>
  <c r="B67" i="262"/>
  <c r="Z66" i="262"/>
  <c r="Y66" i="262"/>
  <c r="X66" i="262"/>
  <c r="W66" i="262"/>
  <c r="V66" i="262"/>
  <c r="U66" i="262"/>
  <c r="T66" i="262"/>
  <c r="S66" i="262"/>
  <c r="R66" i="262"/>
  <c r="Q66" i="262"/>
  <c r="P66" i="262"/>
  <c r="O66" i="262"/>
  <c r="N66" i="262"/>
  <c r="M66" i="262"/>
  <c r="L66" i="262"/>
  <c r="K66" i="262"/>
  <c r="J66" i="262"/>
  <c r="I66" i="262"/>
  <c r="H66" i="262"/>
  <c r="G66" i="262"/>
  <c r="F66" i="262"/>
  <c r="E66" i="262"/>
  <c r="D66" i="262"/>
  <c r="C66" i="262"/>
  <c r="B66" i="262"/>
  <c r="Z65" i="262"/>
  <c r="Y65" i="262"/>
  <c r="X65" i="262"/>
  <c r="W65" i="262"/>
  <c r="V65" i="262"/>
  <c r="U65" i="262"/>
  <c r="T65" i="262"/>
  <c r="S65" i="262"/>
  <c r="R65" i="262"/>
  <c r="Q65" i="262"/>
  <c r="P65" i="262"/>
  <c r="O65" i="262"/>
  <c r="N65" i="262"/>
  <c r="M65" i="262"/>
  <c r="L65" i="262"/>
  <c r="K65" i="262"/>
  <c r="J65" i="262"/>
  <c r="I65" i="262"/>
  <c r="H65" i="262"/>
  <c r="G65" i="262"/>
  <c r="F65" i="262"/>
  <c r="E65" i="262"/>
  <c r="D65" i="262"/>
  <c r="C65" i="262"/>
  <c r="B65" i="262"/>
  <c r="Z64" i="262"/>
  <c r="Y64" i="262"/>
  <c r="X64" i="262"/>
  <c r="W64" i="262"/>
  <c r="V64" i="262"/>
  <c r="U64" i="262"/>
  <c r="T64" i="262"/>
  <c r="S64" i="262"/>
  <c r="R64" i="262"/>
  <c r="Q64" i="262"/>
  <c r="P64" i="262"/>
  <c r="O64" i="262"/>
  <c r="N64" i="262"/>
  <c r="M64" i="262"/>
  <c r="L64" i="262"/>
  <c r="K64" i="262"/>
  <c r="J64" i="262"/>
  <c r="I64" i="262"/>
  <c r="H64" i="262"/>
  <c r="G64" i="262"/>
  <c r="F64" i="262"/>
  <c r="E64" i="262"/>
  <c r="D64" i="262"/>
  <c r="C64" i="262"/>
  <c r="B64" i="262"/>
  <c r="Z63" i="262"/>
  <c r="Y63" i="262"/>
  <c r="X63" i="262"/>
  <c r="W63" i="262"/>
  <c r="V63" i="262"/>
  <c r="U63" i="262"/>
  <c r="T63" i="262"/>
  <c r="S63" i="262"/>
  <c r="R63" i="262"/>
  <c r="Q63" i="262"/>
  <c r="P63" i="262"/>
  <c r="O63" i="262"/>
  <c r="N63" i="262"/>
  <c r="M63" i="262"/>
  <c r="L63" i="262"/>
  <c r="K63" i="262"/>
  <c r="J63" i="262"/>
  <c r="I63" i="262"/>
  <c r="H63" i="262"/>
  <c r="G63" i="262"/>
  <c r="F63" i="262"/>
  <c r="E63" i="262"/>
  <c r="D63" i="262"/>
  <c r="C63" i="262"/>
  <c r="B63" i="262"/>
  <c r="Z62" i="262"/>
  <c r="Y62" i="262"/>
  <c r="X62" i="262"/>
  <c r="W62" i="262"/>
  <c r="V62" i="262"/>
  <c r="U62" i="262"/>
  <c r="T62" i="262"/>
  <c r="S62" i="262"/>
  <c r="R62" i="262"/>
  <c r="Q62" i="262"/>
  <c r="P62" i="262"/>
  <c r="O62" i="262"/>
  <c r="N62" i="262"/>
  <c r="M62" i="262"/>
  <c r="L62" i="262"/>
  <c r="K62" i="262"/>
  <c r="J62" i="262"/>
  <c r="I62" i="262"/>
  <c r="H62" i="262"/>
  <c r="G62" i="262"/>
  <c r="F62" i="262"/>
  <c r="E62" i="262"/>
  <c r="D62" i="262"/>
  <c r="C62" i="262"/>
  <c r="B62" i="262"/>
  <c r="Z61" i="262"/>
  <c r="Y61" i="262"/>
  <c r="X61" i="262"/>
  <c r="W61" i="262"/>
  <c r="V61" i="262"/>
  <c r="U61" i="262"/>
  <c r="T61" i="262"/>
  <c r="S61" i="262"/>
  <c r="R61" i="262"/>
  <c r="Q61" i="262"/>
  <c r="P61" i="262"/>
  <c r="O61" i="262"/>
  <c r="N61" i="262"/>
  <c r="M61" i="262"/>
  <c r="L61" i="262"/>
  <c r="K61" i="262"/>
  <c r="J61" i="262"/>
  <c r="I61" i="262"/>
  <c r="H61" i="262"/>
  <c r="G61" i="262"/>
  <c r="F61" i="262"/>
  <c r="E61" i="262"/>
  <c r="D61" i="262"/>
  <c r="C61" i="262"/>
  <c r="B61" i="262"/>
  <c r="Z60" i="262"/>
  <c r="Y60" i="262"/>
  <c r="X60" i="262"/>
  <c r="W60" i="262"/>
  <c r="V60" i="262"/>
  <c r="U60" i="262"/>
  <c r="T60" i="262"/>
  <c r="S60" i="262"/>
  <c r="R60" i="262"/>
  <c r="Q60" i="262"/>
  <c r="P60" i="262"/>
  <c r="O60" i="262"/>
  <c r="N60" i="262"/>
  <c r="M60" i="262"/>
  <c r="L60" i="262"/>
  <c r="K60" i="262"/>
  <c r="J60" i="262"/>
  <c r="I60" i="262"/>
  <c r="H60" i="262"/>
  <c r="G60" i="262"/>
  <c r="F60" i="262"/>
  <c r="E60" i="262"/>
  <c r="D60" i="262"/>
  <c r="C60" i="262"/>
  <c r="B60" i="262"/>
  <c r="Z59" i="262"/>
  <c r="Y59" i="262"/>
  <c r="X59" i="262"/>
  <c r="W59" i="262"/>
  <c r="V59" i="262"/>
  <c r="U59" i="262"/>
  <c r="T59" i="262"/>
  <c r="S59" i="262"/>
  <c r="R59" i="262"/>
  <c r="Q59" i="262"/>
  <c r="P59" i="262"/>
  <c r="O59" i="262"/>
  <c r="N59" i="262"/>
  <c r="M59" i="262"/>
  <c r="L59" i="262"/>
  <c r="K59" i="262"/>
  <c r="J59" i="262"/>
  <c r="I59" i="262"/>
  <c r="H59" i="262"/>
  <c r="G59" i="262"/>
  <c r="F59" i="262"/>
  <c r="E59" i="262"/>
  <c r="D59" i="262"/>
  <c r="C59" i="262"/>
  <c r="B59" i="262"/>
  <c r="Z58" i="262"/>
  <c r="Y58" i="262"/>
  <c r="X58" i="262"/>
  <c r="W58" i="262"/>
  <c r="V58" i="262"/>
  <c r="U58" i="262"/>
  <c r="T58" i="262"/>
  <c r="S58" i="262"/>
  <c r="R58" i="262"/>
  <c r="Q58" i="262"/>
  <c r="P58" i="262"/>
  <c r="O58" i="262"/>
  <c r="N58" i="262"/>
  <c r="M58" i="262"/>
  <c r="L58" i="262"/>
  <c r="K58" i="262"/>
  <c r="J58" i="262"/>
  <c r="I58" i="262"/>
  <c r="H58" i="262"/>
  <c r="G58" i="262"/>
  <c r="F58" i="262"/>
  <c r="E58" i="262"/>
  <c r="D58" i="262"/>
  <c r="C58" i="262"/>
  <c r="B58" i="262"/>
  <c r="Z57" i="262"/>
  <c r="Y57" i="262"/>
  <c r="X57" i="262"/>
  <c r="W57" i="262"/>
  <c r="V57" i="262"/>
  <c r="U57" i="262"/>
  <c r="T57" i="262"/>
  <c r="S57" i="262"/>
  <c r="R57" i="262"/>
  <c r="Q57" i="262"/>
  <c r="P57" i="262"/>
  <c r="O57" i="262"/>
  <c r="N57" i="262"/>
  <c r="M57" i="262"/>
  <c r="L57" i="262"/>
  <c r="K57" i="262"/>
  <c r="J57" i="262"/>
  <c r="I57" i="262"/>
  <c r="H57" i="262"/>
  <c r="G57" i="262"/>
  <c r="F57" i="262"/>
  <c r="E57" i="262"/>
  <c r="D57" i="262"/>
  <c r="C57" i="262"/>
  <c r="B57" i="262"/>
  <c r="Z54" i="262"/>
  <c r="Y54" i="262"/>
  <c r="X54" i="262"/>
  <c r="W54" i="262"/>
  <c r="V54" i="262"/>
  <c r="U54" i="262"/>
  <c r="T54" i="262"/>
  <c r="S54" i="262"/>
  <c r="R54" i="262"/>
  <c r="Q54" i="262"/>
  <c r="P54" i="262"/>
  <c r="O54" i="262"/>
  <c r="N54" i="262"/>
  <c r="M54" i="262"/>
  <c r="L54" i="262"/>
  <c r="K54" i="262"/>
  <c r="J54" i="262"/>
  <c r="I54" i="262"/>
  <c r="H54" i="262"/>
  <c r="G54" i="262"/>
  <c r="F54" i="262"/>
  <c r="E54" i="262"/>
  <c r="D54" i="262"/>
  <c r="C54" i="262"/>
  <c r="B54" i="262"/>
  <c r="Z53" i="262"/>
  <c r="Y53" i="262"/>
  <c r="X53" i="262"/>
  <c r="W53" i="262"/>
  <c r="V53" i="262"/>
  <c r="U53" i="262"/>
  <c r="T53" i="262"/>
  <c r="S53" i="262"/>
  <c r="R53" i="262"/>
  <c r="Q53" i="262"/>
  <c r="P53" i="262"/>
  <c r="O53" i="262"/>
  <c r="N53" i="262"/>
  <c r="M53" i="262"/>
  <c r="L53" i="262"/>
  <c r="K53" i="262"/>
  <c r="J53" i="262"/>
  <c r="I53" i="262"/>
  <c r="H53" i="262"/>
  <c r="G53" i="262"/>
  <c r="F53" i="262"/>
  <c r="E53" i="262"/>
  <c r="D53" i="262"/>
  <c r="C53" i="262"/>
  <c r="B53" i="262"/>
  <c r="Z52" i="262"/>
  <c r="Y52" i="262"/>
  <c r="X52" i="262"/>
  <c r="W52" i="262"/>
  <c r="V52" i="262"/>
  <c r="U52" i="262"/>
  <c r="T52" i="262"/>
  <c r="S52" i="262"/>
  <c r="R52" i="262"/>
  <c r="Q52" i="262"/>
  <c r="P52" i="262"/>
  <c r="O52" i="262"/>
  <c r="N52" i="262"/>
  <c r="M52" i="262"/>
  <c r="L52" i="262"/>
  <c r="K52" i="262"/>
  <c r="J52" i="262"/>
  <c r="I52" i="262"/>
  <c r="H52" i="262"/>
  <c r="G52" i="262"/>
  <c r="F52" i="262"/>
  <c r="E52" i="262"/>
  <c r="D52" i="262"/>
  <c r="C52" i="262"/>
  <c r="B52" i="262"/>
  <c r="Z51" i="262"/>
  <c r="Y51" i="262"/>
  <c r="X51" i="262"/>
  <c r="W51" i="262"/>
  <c r="V51" i="262"/>
  <c r="U51" i="262"/>
  <c r="T51" i="262"/>
  <c r="S51" i="262"/>
  <c r="R51" i="262"/>
  <c r="Q51" i="262"/>
  <c r="P51" i="262"/>
  <c r="O51" i="262"/>
  <c r="N51" i="262"/>
  <c r="M51" i="262"/>
  <c r="L51" i="262"/>
  <c r="K51" i="262"/>
  <c r="J51" i="262"/>
  <c r="I51" i="262"/>
  <c r="H51" i="262"/>
  <c r="G51" i="262"/>
  <c r="F51" i="262"/>
  <c r="E51" i="262"/>
  <c r="D51" i="262"/>
  <c r="C51" i="262"/>
  <c r="B51" i="262"/>
  <c r="Z50" i="262"/>
  <c r="Y50" i="262"/>
  <c r="X50" i="262"/>
  <c r="W50" i="262"/>
  <c r="V50" i="262"/>
  <c r="U50" i="262"/>
  <c r="T50" i="262"/>
  <c r="S50" i="262"/>
  <c r="R50" i="262"/>
  <c r="Q50" i="262"/>
  <c r="P50" i="262"/>
  <c r="O50" i="262"/>
  <c r="N50" i="262"/>
  <c r="M50" i="262"/>
  <c r="L50" i="262"/>
  <c r="K50" i="262"/>
  <c r="J50" i="262"/>
  <c r="I50" i="262"/>
  <c r="H50" i="262"/>
  <c r="G50" i="262"/>
  <c r="F50" i="262"/>
  <c r="E50" i="262"/>
  <c r="D50" i="262"/>
  <c r="C50" i="262"/>
  <c r="B50" i="262"/>
  <c r="Z49" i="262"/>
  <c r="Y49" i="262"/>
  <c r="X49" i="262"/>
  <c r="W49" i="262"/>
  <c r="V49" i="262"/>
  <c r="U49" i="262"/>
  <c r="T49" i="262"/>
  <c r="S49" i="262"/>
  <c r="R49" i="262"/>
  <c r="Q49" i="262"/>
  <c r="P49" i="262"/>
  <c r="O49" i="262"/>
  <c r="N49" i="262"/>
  <c r="M49" i="262"/>
  <c r="L49" i="262"/>
  <c r="K49" i="262"/>
  <c r="J49" i="262"/>
  <c r="I49" i="262"/>
  <c r="H49" i="262"/>
  <c r="G49" i="262"/>
  <c r="F49" i="262"/>
  <c r="E49" i="262"/>
  <c r="D49" i="262"/>
  <c r="C49" i="262"/>
  <c r="B49" i="262"/>
  <c r="B47" i="262"/>
  <c r="Z46" i="262"/>
  <c r="Z45" i="262"/>
  <c r="Z44" i="262"/>
  <c r="Z43" i="262"/>
  <c r="Z42" i="262"/>
  <c r="Z41" i="262"/>
  <c r="Z40" i="262"/>
  <c r="Z39" i="262"/>
  <c r="Z38" i="262"/>
  <c r="Z37" i="262"/>
  <c r="Z36" i="262"/>
  <c r="Z35" i="262"/>
  <c r="Z34" i="262"/>
  <c r="Z33" i="262"/>
  <c r="Z32" i="262"/>
  <c r="Z31" i="262"/>
  <c r="Z30" i="262"/>
  <c r="Z29" i="262"/>
  <c r="Z28" i="262"/>
  <c r="Z27" i="262"/>
  <c r="Z26" i="262"/>
  <c r="Z25" i="262"/>
  <c r="Z24" i="262"/>
  <c r="Z23" i="262"/>
  <c r="Z22" i="262"/>
  <c r="Z21" i="262"/>
  <c r="Z20" i="262"/>
  <c r="Z19" i="262"/>
  <c r="Z18" i="262"/>
  <c r="Z17" i="262"/>
  <c r="Z16" i="262"/>
  <c r="Z15" i="262"/>
  <c r="Z14" i="262"/>
  <c r="Z13" i="262"/>
  <c r="Z12" i="262"/>
  <c r="Z11" i="262"/>
  <c r="Z8" i="262"/>
  <c r="Z7" i="262"/>
  <c r="Z6" i="262"/>
  <c r="Z5" i="262"/>
  <c r="Z4" i="262"/>
  <c r="Z3" i="262"/>
  <c r="P1" i="259"/>
  <c r="P1" i="260"/>
  <c r="P1" i="258"/>
  <c r="AA38" i="258"/>
  <c r="Z38" i="258" s="1"/>
  <c r="Z47" i="262"/>
  <c r="N47" i="262"/>
  <c r="V47" i="262"/>
  <c r="X47" i="262"/>
  <c r="L47" i="262"/>
  <c r="R47" i="262"/>
  <c r="F47" i="262"/>
  <c r="T47" i="262"/>
  <c r="O47" i="262"/>
  <c r="I47" i="262"/>
  <c r="J47" i="262"/>
  <c r="Z1" i="262"/>
  <c r="G47" i="262"/>
  <c r="W47" i="262"/>
  <c r="U47" i="262"/>
  <c r="H47" i="262"/>
  <c r="M47" i="262"/>
  <c r="S47" i="262"/>
  <c r="E47" i="262"/>
  <c r="Q47" i="262"/>
  <c r="P47" i="262"/>
  <c r="D47" i="262"/>
  <c r="Y47" i="262"/>
  <c r="K47" i="262"/>
  <c r="C47" i="262"/>
  <c r="AA54" i="258" l="1"/>
  <c r="AA53" i="258"/>
  <c r="AA36" i="258"/>
  <c r="Z36" i="258" s="1"/>
  <c r="AA35" i="258"/>
  <c r="Z35" i="258" s="1"/>
  <c r="AA34" i="258"/>
  <c r="Z34" i="258" s="1"/>
  <c r="AA33" i="258"/>
  <c r="AA30" i="258"/>
  <c r="AA29" i="258"/>
  <c r="AA28" i="258"/>
  <c r="W28" i="258"/>
  <c r="Z27" i="258"/>
  <c r="AA27" i="258" s="1"/>
  <c r="V26" i="258"/>
  <c r="W24" i="258" s="1"/>
  <c r="V19" i="258"/>
  <c r="V18" i="258"/>
  <c r="U18" i="258"/>
  <c r="X17" i="258"/>
  <c r="V17" i="258"/>
  <c r="U17" i="258"/>
  <c r="S1" i="258"/>
  <c r="R1" i="258"/>
  <c r="Q1" i="258"/>
  <c r="F1" i="258"/>
  <c r="D1" i="258"/>
  <c r="AA37" i="258" l="1"/>
  <c r="AA39" i="258" s="1"/>
  <c r="W25" i="258"/>
  <c r="W22" i="258"/>
  <c r="W23" i="258"/>
  <c r="Z33" i="258"/>
  <c r="Z37" i="258" s="1"/>
  <c r="Z39" i="258" s="1"/>
  <c r="E127" i="231" l="1"/>
  <c r="C113" i="245" s="1"/>
  <c r="D127" i="231"/>
  <c r="B113" i="245" s="1"/>
  <c r="D113" i="245" s="1"/>
  <c r="F113" i="245" s="1"/>
  <c r="E12" i="244"/>
  <c r="B65" i="237"/>
  <c r="B61" i="237"/>
  <c r="F58" i="256" l="1"/>
  <c r="F57" i="256"/>
  <c r="F56" i="256"/>
  <c r="F55" i="256"/>
  <c r="F54" i="256"/>
  <c r="F62" i="256"/>
  <c r="F61" i="256"/>
  <c r="F60" i="256"/>
  <c r="F59" i="256"/>
  <c r="F64" i="256"/>
  <c r="F65" i="256"/>
  <c r="F66" i="256"/>
  <c r="F67" i="256"/>
  <c r="F68" i="256"/>
  <c r="F69" i="256"/>
  <c r="F70" i="256"/>
  <c r="F71" i="256"/>
  <c r="F72" i="256"/>
  <c r="F73" i="256"/>
  <c r="F74" i="256"/>
  <c r="F75" i="256"/>
  <c r="F76" i="256"/>
  <c r="F77" i="256"/>
  <c r="F78" i="256"/>
  <c r="F79" i="256"/>
  <c r="F80" i="256"/>
  <c r="F81" i="256"/>
  <c r="F82" i="256"/>
  <c r="F83" i="256"/>
  <c r="F84" i="256"/>
  <c r="F85" i="256"/>
  <c r="F86" i="256"/>
  <c r="F87" i="256"/>
  <c r="F88" i="256"/>
  <c r="F89" i="256"/>
  <c r="F90" i="256"/>
  <c r="F91" i="256"/>
  <c r="F92" i="256"/>
  <c r="F93" i="256"/>
  <c r="F94" i="256"/>
  <c r="F63" i="256"/>
  <c r="D37" i="247"/>
  <c r="E37" i="247"/>
  <c r="B71" i="237"/>
  <c r="B69" i="237"/>
  <c r="H64" i="237"/>
  <c r="H60" i="237" s="1"/>
  <c r="F27" i="245"/>
  <c r="F69" i="245"/>
  <c r="H63" i="237" l="1"/>
  <c r="H62" i="237"/>
  <c r="H70" i="237" s="1"/>
  <c r="H72" i="237" s="1"/>
  <c r="H68" i="237"/>
  <c r="H56" i="237" s="1"/>
  <c r="K56" i="237"/>
  <c r="H246" i="245"/>
  <c r="G246" i="245"/>
  <c r="H245" i="245"/>
  <c r="H153" i="245" s="1"/>
  <c r="H154" i="245" s="1"/>
  <c r="G245" i="245"/>
  <c r="G153" i="245" s="1"/>
  <c r="G154" i="245" s="1"/>
  <c r="H244" i="245"/>
  <c r="G244" i="245"/>
  <c r="H243" i="245"/>
  <c r="G243" i="245"/>
  <c r="AL242" i="245"/>
  <c r="AM242" i="245" s="1"/>
  <c r="AN242" i="245" s="1"/>
  <c r="AO242" i="245" s="1"/>
  <c r="AP242" i="245" s="1"/>
  <c r="AQ242" i="245" s="1"/>
  <c r="AR242" i="245" s="1"/>
  <c r="AS242" i="245" s="1"/>
  <c r="AT242" i="245" s="1"/>
  <c r="AU242" i="245" s="1"/>
  <c r="H242" i="245"/>
  <c r="H152" i="245" s="1"/>
  <c r="G242" i="245"/>
  <c r="G152" i="245" s="1"/>
  <c r="H241" i="245"/>
  <c r="G241" i="245"/>
  <c r="H240" i="245"/>
  <c r="G240" i="245"/>
  <c r="H239" i="245"/>
  <c r="G239" i="245"/>
  <c r="AL238" i="245"/>
  <c r="AM238" i="245" s="1"/>
  <c r="AN238" i="245" s="1"/>
  <c r="AO238" i="245" s="1"/>
  <c r="AP238" i="245" s="1"/>
  <c r="AQ238" i="245" s="1"/>
  <c r="AR238" i="245" s="1"/>
  <c r="AS238" i="245" s="1"/>
  <c r="AT238" i="245" s="1"/>
  <c r="AU238" i="245" s="1"/>
  <c r="H238" i="245"/>
  <c r="G238" i="245"/>
  <c r="H237" i="245"/>
  <c r="G237" i="245"/>
  <c r="H236" i="245"/>
  <c r="G236" i="245"/>
  <c r="H235" i="245"/>
  <c r="G235" i="245"/>
  <c r="H234" i="245"/>
  <c r="G234" i="245"/>
  <c r="AL233" i="245"/>
  <c r="AM233" i="245" s="1"/>
  <c r="AN233" i="245" s="1"/>
  <c r="AO233" i="245" s="1"/>
  <c r="AP233" i="245" s="1"/>
  <c r="AQ233" i="245" s="1"/>
  <c r="AR233" i="245" s="1"/>
  <c r="AS233" i="245" s="1"/>
  <c r="AT233" i="245" s="1"/>
  <c r="AU233" i="245" s="1"/>
  <c r="H233" i="245"/>
  <c r="H151" i="245" s="1"/>
  <c r="H170" i="245" s="1"/>
  <c r="G233" i="245"/>
  <c r="G151" i="245" s="1"/>
  <c r="G170" i="245" s="1"/>
  <c r="AL225" i="245"/>
  <c r="AM225" i="245" s="1"/>
  <c r="AN225" i="245" s="1"/>
  <c r="AO225" i="245" s="1"/>
  <c r="AP225" i="245" s="1"/>
  <c r="AQ225" i="245" s="1"/>
  <c r="AR225" i="245" s="1"/>
  <c r="AS225" i="245" s="1"/>
  <c r="AT225" i="245" s="1"/>
  <c r="AU225" i="245" s="1"/>
  <c r="AL221" i="245"/>
  <c r="AM221" i="245" s="1"/>
  <c r="AN221" i="245" s="1"/>
  <c r="AO221" i="245" s="1"/>
  <c r="AP221" i="245" s="1"/>
  <c r="AQ221" i="245" s="1"/>
  <c r="AR221" i="245" s="1"/>
  <c r="AS221" i="245" s="1"/>
  <c r="AT221" i="245" s="1"/>
  <c r="AU221" i="245" s="1"/>
  <c r="AL220" i="245"/>
  <c r="AM220" i="245" s="1"/>
  <c r="AN220" i="245" s="1"/>
  <c r="AO220" i="245" s="1"/>
  <c r="AP220" i="245" s="1"/>
  <c r="AQ220" i="245" s="1"/>
  <c r="AR220" i="245" s="1"/>
  <c r="AS220" i="245" s="1"/>
  <c r="AT220" i="245" s="1"/>
  <c r="AU220" i="245" s="1"/>
  <c r="AL219" i="245"/>
  <c r="AM219" i="245" s="1"/>
  <c r="AN219" i="245" s="1"/>
  <c r="AO219" i="245" s="1"/>
  <c r="AP219" i="245" s="1"/>
  <c r="AQ219" i="245" s="1"/>
  <c r="AR219" i="245" s="1"/>
  <c r="AS219" i="245" s="1"/>
  <c r="AT219" i="245" s="1"/>
  <c r="AU219" i="245" s="1"/>
  <c r="AL218" i="245"/>
  <c r="AM218" i="245" s="1"/>
  <c r="AN218" i="245" s="1"/>
  <c r="AO218" i="245" s="1"/>
  <c r="AP218" i="245" s="1"/>
  <c r="AQ218" i="245" s="1"/>
  <c r="AR218" i="245" s="1"/>
  <c r="AS218" i="245" s="1"/>
  <c r="AT218" i="245" s="1"/>
  <c r="AU218" i="245" s="1"/>
  <c r="AL217" i="245"/>
  <c r="AM217" i="245" s="1"/>
  <c r="AN217" i="245" s="1"/>
  <c r="AO217" i="245" s="1"/>
  <c r="AP217" i="245" s="1"/>
  <c r="AQ217" i="245" s="1"/>
  <c r="AR217" i="245" s="1"/>
  <c r="AS217" i="245" s="1"/>
  <c r="AT217" i="245" s="1"/>
  <c r="AU217" i="245" s="1"/>
  <c r="E208" i="245"/>
  <c r="T159" i="245" s="1"/>
  <c r="T160" i="245" s="1"/>
  <c r="E207" i="245"/>
  <c r="AG158" i="245" s="1"/>
  <c r="E206" i="245"/>
  <c r="AT157" i="245" s="1"/>
  <c r="E205" i="245"/>
  <c r="AE156" i="245" s="1"/>
  <c r="E204" i="245"/>
  <c r="AR155" i="245" s="1"/>
  <c r="E200" i="245"/>
  <c r="C200" i="245"/>
  <c r="E199" i="245"/>
  <c r="AC173" i="245" s="1"/>
  <c r="C199" i="245"/>
  <c r="C198" i="245"/>
  <c r="C197" i="245"/>
  <c r="E196" i="245"/>
  <c r="C196" i="245"/>
  <c r="C195" i="245"/>
  <c r="D194" i="245"/>
  <c r="D192" i="245"/>
  <c r="D191" i="245"/>
  <c r="D190" i="245"/>
  <c r="D189" i="245"/>
  <c r="AU174" i="245"/>
  <c r="AT174" i="245"/>
  <c r="AS174" i="245"/>
  <c r="AR174" i="245"/>
  <c r="AQ174" i="245"/>
  <c r="AP174" i="245"/>
  <c r="AO174" i="245"/>
  <c r="AN174" i="245"/>
  <c r="AM174" i="245"/>
  <c r="AL174" i="245"/>
  <c r="AK174" i="245"/>
  <c r="AJ174" i="245"/>
  <c r="AI174" i="245"/>
  <c r="AH174" i="245"/>
  <c r="AG174" i="245"/>
  <c r="AF174" i="245"/>
  <c r="AE174" i="245"/>
  <c r="AD174" i="245"/>
  <c r="AC174" i="245"/>
  <c r="AB174" i="245"/>
  <c r="AA174" i="245"/>
  <c r="Z174" i="245"/>
  <c r="Y174" i="245"/>
  <c r="X174" i="245"/>
  <c r="W174" i="245"/>
  <c r="V174" i="245"/>
  <c r="U174" i="245"/>
  <c r="T174" i="245"/>
  <c r="S174" i="245"/>
  <c r="R174" i="245"/>
  <c r="Q174" i="245"/>
  <c r="P174" i="245"/>
  <c r="O174" i="245"/>
  <c r="N174" i="245"/>
  <c r="M174" i="245"/>
  <c r="L174" i="245"/>
  <c r="K174" i="245"/>
  <c r="J174" i="245"/>
  <c r="I174" i="245"/>
  <c r="H174" i="245"/>
  <c r="G174" i="245"/>
  <c r="F168" i="245"/>
  <c r="F169" i="245" s="1"/>
  <c r="F170" i="245" s="1"/>
  <c r="AU165" i="245"/>
  <c r="AT165" i="245"/>
  <c r="AS165" i="245"/>
  <c r="AR165" i="245"/>
  <c r="AQ165" i="245"/>
  <c r="AP165" i="245"/>
  <c r="AO165" i="245"/>
  <c r="AN165" i="245"/>
  <c r="AM165" i="245"/>
  <c r="AL165" i="245"/>
  <c r="AK165" i="245"/>
  <c r="AJ165" i="245"/>
  <c r="AI165" i="245"/>
  <c r="AH165" i="245"/>
  <c r="AG165" i="245"/>
  <c r="AF165" i="245"/>
  <c r="AE165" i="245"/>
  <c r="AD165" i="245"/>
  <c r="AC165" i="245"/>
  <c r="AB165" i="245"/>
  <c r="AA165" i="245"/>
  <c r="Z165" i="245"/>
  <c r="Y165" i="245"/>
  <c r="X165" i="245"/>
  <c r="W165" i="245"/>
  <c r="V165" i="245"/>
  <c r="U165" i="245"/>
  <c r="T165" i="245"/>
  <c r="S165" i="245"/>
  <c r="R165" i="245"/>
  <c r="Q165" i="245"/>
  <c r="P165" i="245"/>
  <c r="O165" i="245"/>
  <c r="N165" i="245"/>
  <c r="M165" i="245"/>
  <c r="L165" i="245"/>
  <c r="K165" i="245"/>
  <c r="J165" i="245"/>
  <c r="I165" i="245"/>
  <c r="H165" i="245"/>
  <c r="G165" i="245"/>
  <c r="AU164" i="245"/>
  <c r="AU175" i="245" s="1"/>
  <c r="AU113" i="245" s="1"/>
  <c r="AT164" i="245"/>
  <c r="AT175" i="245" s="1"/>
  <c r="AT113" i="245" s="1"/>
  <c r="AS164" i="245"/>
  <c r="AS175" i="245" s="1"/>
  <c r="AS113" i="245" s="1"/>
  <c r="AR164" i="245"/>
  <c r="AR175" i="245" s="1"/>
  <c r="AR113" i="245" s="1"/>
  <c r="AQ164" i="245"/>
  <c r="AQ175" i="245" s="1"/>
  <c r="AQ113" i="245" s="1"/>
  <c r="AP164" i="245"/>
  <c r="AP175" i="245" s="1"/>
  <c r="AP113" i="245" s="1"/>
  <c r="AO164" i="245"/>
  <c r="AO175" i="245" s="1"/>
  <c r="AO113" i="245" s="1"/>
  <c r="AN164" i="245"/>
  <c r="AN175" i="245" s="1"/>
  <c r="AN113" i="245" s="1"/>
  <c r="AM164" i="245"/>
  <c r="AM175" i="245" s="1"/>
  <c r="AM113" i="245" s="1"/>
  <c r="AL164" i="245"/>
  <c r="AL175" i="245" s="1"/>
  <c r="AL113" i="245" s="1"/>
  <c r="AK164" i="245"/>
  <c r="AK175" i="245" s="1"/>
  <c r="AK113" i="245" s="1"/>
  <c r="AJ164" i="245"/>
  <c r="AJ175" i="245" s="1"/>
  <c r="AJ113" i="245" s="1"/>
  <c r="AI164" i="245"/>
  <c r="AI175" i="245" s="1"/>
  <c r="AI113" i="245" s="1"/>
  <c r="AH164" i="245"/>
  <c r="AH175" i="245" s="1"/>
  <c r="AH113" i="245" s="1"/>
  <c r="AG164" i="245"/>
  <c r="AG175" i="245" s="1"/>
  <c r="AG113" i="245" s="1"/>
  <c r="AF164" i="245"/>
  <c r="AF175" i="245" s="1"/>
  <c r="AF113" i="245" s="1"/>
  <c r="AE164" i="245"/>
  <c r="AE175" i="245" s="1"/>
  <c r="AE113" i="245" s="1"/>
  <c r="AD164" i="245"/>
  <c r="AD175" i="245" s="1"/>
  <c r="AD113" i="245" s="1"/>
  <c r="AC164" i="245"/>
  <c r="AC175" i="245" s="1"/>
  <c r="AC113" i="245" s="1"/>
  <c r="AB164" i="245"/>
  <c r="AB175" i="245" s="1"/>
  <c r="AB113" i="245" s="1"/>
  <c r="AA164" i="245"/>
  <c r="AA175" i="245" s="1"/>
  <c r="AA113" i="245" s="1"/>
  <c r="Z164" i="245"/>
  <c r="Z175" i="245" s="1"/>
  <c r="Z113" i="245" s="1"/>
  <c r="Y164" i="245"/>
  <c r="Y175" i="245" s="1"/>
  <c r="Y113" i="245" s="1"/>
  <c r="X164" i="245"/>
  <c r="X175" i="245" s="1"/>
  <c r="X113" i="245" s="1"/>
  <c r="W164" i="245"/>
  <c r="W175" i="245" s="1"/>
  <c r="W113" i="245" s="1"/>
  <c r="V164" i="245"/>
  <c r="V175" i="245" s="1"/>
  <c r="V113" i="245" s="1"/>
  <c r="U164" i="245"/>
  <c r="U175" i="245" s="1"/>
  <c r="U113" i="245" s="1"/>
  <c r="T164" i="245"/>
  <c r="T175" i="245" s="1"/>
  <c r="T113" i="245" s="1"/>
  <c r="S164" i="245"/>
  <c r="S175" i="245" s="1"/>
  <c r="S113" i="245" s="1"/>
  <c r="R164" i="245"/>
  <c r="R175" i="245" s="1"/>
  <c r="R113" i="245" s="1"/>
  <c r="Q164" i="245"/>
  <c r="Q175" i="245" s="1"/>
  <c r="Q113" i="245" s="1"/>
  <c r="P164" i="245"/>
  <c r="P175" i="245" s="1"/>
  <c r="P113" i="245" s="1"/>
  <c r="O164" i="245"/>
  <c r="O175" i="245" s="1"/>
  <c r="O113" i="245" s="1"/>
  <c r="N164" i="245"/>
  <c r="N175" i="245" s="1"/>
  <c r="N113" i="245" s="1"/>
  <c r="M164" i="245"/>
  <c r="M175" i="245" s="1"/>
  <c r="M113" i="245" s="1"/>
  <c r="L164" i="245"/>
  <c r="L175" i="245" s="1"/>
  <c r="L113" i="245" s="1"/>
  <c r="K164" i="245"/>
  <c r="K175" i="245" s="1"/>
  <c r="K113" i="245" s="1"/>
  <c r="J164" i="245"/>
  <c r="J175" i="245" s="1"/>
  <c r="J113" i="245" s="1"/>
  <c r="I164" i="245"/>
  <c r="I175" i="245" s="1"/>
  <c r="I113" i="245" s="1"/>
  <c r="H164" i="245"/>
  <c r="H175" i="245" s="1"/>
  <c r="H113" i="245" s="1"/>
  <c r="G164" i="245"/>
  <c r="G175" i="245" s="1"/>
  <c r="G113" i="245" s="1"/>
  <c r="AU163" i="245"/>
  <c r="AT163" i="245"/>
  <c r="AS163" i="245"/>
  <c r="AR163" i="245"/>
  <c r="AQ163" i="245"/>
  <c r="AP163" i="245"/>
  <c r="AO163" i="245"/>
  <c r="AN163" i="245"/>
  <c r="AM163" i="245"/>
  <c r="AL163" i="245"/>
  <c r="AK163" i="245"/>
  <c r="AJ163" i="245"/>
  <c r="AI163" i="245"/>
  <c r="AH163" i="245"/>
  <c r="AG163" i="245"/>
  <c r="AF163" i="245"/>
  <c r="AE163" i="245"/>
  <c r="AD163" i="245"/>
  <c r="AC163" i="245"/>
  <c r="AB163" i="245"/>
  <c r="AA163" i="245"/>
  <c r="Z163" i="245"/>
  <c r="Y163" i="245"/>
  <c r="X163" i="245"/>
  <c r="W163" i="245"/>
  <c r="V163" i="245"/>
  <c r="U163" i="245"/>
  <c r="T163" i="245"/>
  <c r="S163" i="245"/>
  <c r="R163" i="245"/>
  <c r="Q163" i="245"/>
  <c r="P163" i="245"/>
  <c r="O163" i="245"/>
  <c r="N163" i="245"/>
  <c r="M163" i="245"/>
  <c r="L163" i="245"/>
  <c r="K163" i="245"/>
  <c r="J163" i="245"/>
  <c r="I163" i="245"/>
  <c r="H163" i="245"/>
  <c r="G163" i="245"/>
  <c r="AU162" i="245"/>
  <c r="AT162" i="245"/>
  <c r="AS162" i="245"/>
  <c r="AR162" i="245"/>
  <c r="AQ162" i="245"/>
  <c r="AP162" i="245"/>
  <c r="AO162" i="245"/>
  <c r="AN162" i="245"/>
  <c r="AM162" i="245"/>
  <c r="AL162" i="245"/>
  <c r="AK162" i="245"/>
  <c r="AJ162" i="245"/>
  <c r="AI162" i="245"/>
  <c r="AH162" i="245"/>
  <c r="AG162" i="245"/>
  <c r="AF162" i="245"/>
  <c r="AE162" i="245"/>
  <c r="AD162" i="245"/>
  <c r="AC162" i="245"/>
  <c r="AB162" i="245"/>
  <c r="AA162" i="245"/>
  <c r="Z162" i="245"/>
  <c r="Y162" i="245"/>
  <c r="X162" i="245"/>
  <c r="W162" i="245"/>
  <c r="V162" i="245"/>
  <c r="U162" i="245"/>
  <c r="T162" i="245"/>
  <c r="S162" i="245"/>
  <c r="R162" i="245"/>
  <c r="Q162" i="245"/>
  <c r="P162" i="245"/>
  <c r="O162" i="245"/>
  <c r="N162" i="245"/>
  <c r="M162" i="245"/>
  <c r="L162" i="245"/>
  <c r="K162" i="245"/>
  <c r="J162" i="245"/>
  <c r="I162" i="245"/>
  <c r="H162" i="245"/>
  <c r="G162" i="245"/>
  <c r="AU161" i="245"/>
  <c r="AT161" i="245"/>
  <c r="AS161" i="245"/>
  <c r="AR161" i="245"/>
  <c r="AQ161" i="245"/>
  <c r="AP161" i="245"/>
  <c r="AO161" i="245"/>
  <c r="AN161" i="245"/>
  <c r="AM161" i="245"/>
  <c r="AL161" i="245"/>
  <c r="AK161" i="245"/>
  <c r="AJ161" i="245"/>
  <c r="AI161" i="245"/>
  <c r="AH161" i="245"/>
  <c r="AG161" i="245"/>
  <c r="AF161" i="245"/>
  <c r="AE161" i="245"/>
  <c r="AD161" i="245"/>
  <c r="AC161" i="245"/>
  <c r="AB161" i="245"/>
  <c r="AA161" i="245"/>
  <c r="Z161" i="245"/>
  <c r="Y161" i="245"/>
  <c r="X161" i="245"/>
  <c r="W161" i="245"/>
  <c r="V161" i="245"/>
  <c r="U161" i="245"/>
  <c r="T161" i="245"/>
  <c r="S161" i="245"/>
  <c r="R161" i="245"/>
  <c r="Q161" i="245"/>
  <c r="P161" i="245"/>
  <c r="O161" i="245"/>
  <c r="N161" i="245"/>
  <c r="M161" i="245"/>
  <c r="L161" i="245"/>
  <c r="K161" i="245"/>
  <c r="J161" i="245"/>
  <c r="I161" i="245"/>
  <c r="H161" i="245"/>
  <c r="G161" i="245"/>
  <c r="AU153" i="245"/>
  <c r="AU154" i="245" s="1"/>
  <c r="AT153" i="245"/>
  <c r="AT154" i="245" s="1"/>
  <c r="AS153" i="245"/>
  <c r="AS154" i="245" s="1"/>
  <c r="AR153" i="245"/>
  <c r="AR154" i="245" s="1"/>
  <c r="AQ153" i="245"/>
  <c r="AQ154" i="245" s="1"/>
  <c r="AP153" i="245"/>
  <c r="AP154" i="245" s="1"/>
  <c r="AO153" i="245"/>
  <c r="AO154" i="245" s="1"/>
  <c r="AN153" i="245"/>
  <c r="AN154" i="245" s="1"/>
  <c r="AM153" i="245"/>
  <c r="AM154" i="245" s="1"/>
  <c r="AL153" i="245"/>
  <c r="AL154" i="245" s="1"/>
  <c r="AK153" i="245"/>
  <c r="AK154" i="245" s="1"/>
  <c r="AJ153" i="245"/>
  <c r="AJ154" i="245" s="1"/>
  <c r="AI153" i="245"/>
  <c r="AI154" i="245" s="1"/>
  <c r="AH153" i="245"/>
  <c r="AH154" i="245" s="1"/>
  <c r="AG153" i="245"/>
  <c r="AG154" i="245" s="1"/>
  <c r="AF153" i="245"/>
  <c r="AF154" i="245" s="1"/>
  <c r="AE153" i="245"/>
  <c r="AE154" i="245" s="1"/>
  <c r="AD153" i="245"/>
  <c r="AD154" i="245" s="1"/>
  <c r="AC153" i="245"/>
  <c r="AC154" i="245" s="1"/>
  <c r="AB153" i="245"/>
  <c r="AB154" i="245" s="1"/>
  <c r="AA153" i="245"/>
  <c r="AA154" i="245" s="1"/>
  <c r="Z153" i="245"/>
  <c r="Z154" i="245" s="1"/>
  <c r="Y153" i="245"/>
  <c r="Y154" i="245" s="1"/>
  <c r="X153" i="245"/>
  <c r="X154" i="245" s="1"/>
  <c r="W153" i="245"/>
  <c r="W154" i="245" s="1"/>
  <c r="V153" i="245"/>
  <c r="V154" i="245" s="1"/>
  <c r="U153" i="245"/>
  <c r="U154" i="245" s="1"/>
  <c r="T153" i="245"/>
  <c r="T154" i="245" s="1"/>
  <c r="S153" i="245"/>
  <c r="S154" i="245" s="1"/>
  <c r="R153" i="245"/>
  <c r="R154" i="245" s="1"/>
  <c r="Q153" i="245"/>
  <c r="Q154" i="245" s="1"/>
  <c r="P153" i="245"/>
  <c r="P154" i="245" s="1"/>
  <c r="O153" i="245"/>
  <c r="O154" i="245" s="1"/>
  <c r="N153" i="245"/>
  <c r="N154" i="245" s="1"/>
  <c r="M153" i="245"/>
  <c r="M154" i="245" s="1"/>
  <c r="L153" i="245"/>
  <c r="L154" i="245" s="1"/>
  <c r="K153" i="245"/>
  <c r="K154" i="245" s="1"/>
  <c r="J153" i="245"/>
  <c r="J154" i="245" s="1"/>
  <c r="I153" i="245"/>
  <c r="I154" i="245" s="1"/>
  <c r="AU152" i="245"/>
  <c r="AT152" i="245"/>
  <c r="AS152" i="245"/>
  <c r="AR152" i="245"/>
  <c r="AQ152" i="245"/>
  <c r="AP152" i="245"/>
  <c r="AO152" i="245"/>
  <c r="AN152" i="245"/>
  <c r="AM152" i="245"/>
  <c r="AL152" i="245"/>
  <c r="AK152" i="245"/>
  <c r="AJ152" i="245"/>
  <c r="AI152" i="245"/>
  <c r="AH152" i="245"/>
  <c r="AG152" i="245"/>
  <c r="AF152" i="245"/>
  <c r="AE152" i="245"/>
  <c r="AD152" i="245"/>
  <c r="AC152" i="245"/>
  <c r="AB152" i="245"/>
  <c r="AA152" i="245"/>
  <c r="Z152" i="245"/>
  <c r="Y152" i="245"/>
  <c r="X152" i="245"/>
  <c r="W152" i="245"/>
  <c r="V152" i="245"/>
  <c r="U152" i="245"/>
  <c r="T152" i="245"/>
  <c r="S152" i="245"/>
  <c r="R152" i="245"/>
  <c r="Q152" i="245"/>
  <c r="P152" i="245"/>
  <c r="O152" i="245"/>
  <c r="N152" i="245"/>
  <c r="M152" i="245"/>
  <c r="L152" i="245"/>
  <c r="K152" i="245"/>
  <c r="J152" i="245"/>
  <c r="I152" i="245"/>
  <c r="AU151" i="245"/>
  <c r="AU171" i="245" s="1"/>
  <c r="AT151" i="245"/>
  <c r="AT171" i="245" s="1"/>
  <c r="AS151" i="245"/>
  <c r="AS171" i="245" s="1"/>
  <c r="AR151" i="245"/>
  <c r="AR171" i="245" s="1"/>
  <c r="AQ151" i="245"/>
  <c r="AQ171" i="245" s="1"/>
  <c r="AP151" i="245"/>
  <c r="AP171" i="245" s="1"/>
  <c r="AO151" i="245"/>
  <c r="AO171" i="245" s="1"/>
  <c r="AN151" i="245"/>
  <c r="AN170" i="245" s="1"/>
  <c r="AM151" i="245"/>
  <c r="AM170" i="245" s="1"/>
  <c r="AL151" i="245"/>
  <c r="AL170" i="245" s="1"/>
  <c r="AK151" i="245"/>
  <c r="AK170" i="245" s="1"/>
  <c r="AJ151" i="245"/>
  <c r="AJ170" i="245" s="1"/>
  <c r="AI151" i="245"/>
  <c r="AI170" i="245" s="1"/>
  <c r="AH151" i="245"/>
  <c r="AH170" i="245" s="1"/>
  <c r="AG151" i="245"/>
  <c r="AG170" i="245" s="1"/>
  <c r="AF151" i="245"/>
  <c r="AF170" i="245" s="1"/>
  <c r="AE151" i="245"/>
  <c r="AE170" i="245" s="1"/>
  <c r="AD151" i="245"/>
  <c r="AD170" i="245" s="1"/>
  <c r="AC151" i="245"/>
  <c r="AC170" i="245" s="1"/>
  <c r="AB151" i="245"/>
  <c r="AB170" i="245" s="1"/>
  <c r="AA151" i="245"/>
  <c r="AA171" i="245" s="1"/>
  <c r="Z151" i="245"/>
  <c r="Z171" i="245" s="1"/>
  <c r="Y151" i="245"/>
  <c r="Y171" i="245" s="1"/>
  <c r="X151" i="245"/>
  <c r="X170" i="245" s="1"/>
  <c r="W151" i="245"/>
  <c r="W171" i="245" s="1"/>
  <c r="V151" i="245"/>
  <c r="V171" i="245" s="1"/>
  <c r="U151" i="245"/>
  <c r="U171" i="245" s="1"/>
  <c r="T151" i="245"/>
  <c r="T171" i="245" s="1"/>
  <c r="S151" i="245"/>
  <c r="S171" i="245" s="1"/>
  <c r="R151" i="245"/>
  <c r="R171" i="245" s="1"/>
  <c r="Q151" i="245"/>
  <c r="Q171" i="245" s="1"/>
  <c r="P151" i="245"/>
  <c r="P171" i="245" s="1"/>
  <c r="O151" i="245"/>
  <c r="O171" i="245" s="1"/>
  <c r="N151" i="245"/>
  <c r="N171" i="245" s="1"/>
  <c r="M151" i="245"/>
  <c r="M171" i="245" s="1"/>
  <c r="L151" i="245"/>
  <c r="L170" i="245" s="1"/>
  <c r="K151" i="245"/>
  <c r="K170" i="245" s="1"/>
  <c r="J151" i="245"/>
  <c r="J170" i="245" s="1"/>
  <c r="I151" i="245"/>
  <c r="I170" i="245" s="1"/>
  <c r="F144" i="245"/>
  <c r="F145" i="245" s="1"/>
  <c r="AU143" i="245"/>
  <c r="AU150" i="245" s="1"/>
  <c r="AT143" i="245"/>
  <c r="AT144" i="245" s="1"/>
  <c r="AS143" i="245"/>
  <c r="AS144" i="245" s="1"/>
  <c r="AR143" i="245"/>
  <c r="AR144" i="245" s="1"/>
  <c r="AQ143" i="245"/>
  <c r="AQ144" i="245" s="1"/>
  <c r="AP143" i="245"/>
  <c r="AP144" i="245" s="1"/>
  <c r="AO143" i="245"/>
  <c r="AO166" i="245" s="1"/>
  <c r="AN143" i="245"/>
  <c r="AN166" i="245" s="1"/>
  <c r="AM143" i="245"/>
  <c r="AM166" i="245" s="1"/>
  <c r="AL143" i="245"/>
  <c r="AL166" i="245" s="1"/>
  <c r="AK143" i="245"/>
  <c r="AK144" i="245" s="1"/>
  <c r="AK145" i="245" s="1"/>
  <c r="AK146" i="245" s="1"/>
  <c r="AK147" i="245" s="1"/>
  <c r="AK148" i="245" s="1"/>
  <c r="AJ143" i="245"/>
  <c r="AJ166" i="245" s="1"/>
  <c r="AI143" i="245"/>
  <c r="AI166" i="245" s="1"/>
  <c r="AH143" i="245"/>
  <c r="AH166" i="245" s="1"/>
  <c r="AG143" i="245"/>
  <c r="AG166" i="245" s="1"/>
  <c r="AF143" i="245"/>
  <c r="AF166" i="245" s="1"/>
  <c r="AE143" i="245"/>
  <c r="AE144" i="245" s="1"/>
  <c r="AE145" i="245" s="1"/>
  <c r="AE146" i="245" s="1"/>
  <c r="AE147" i="245" s="1"/>
  <c r="AE148" i="245" s="1"/>
  <c r="AD143" i="245"/>
  <c r="AD166" i="245" s="1"/>
  <c r="AC143" i="245"/>
  <c r="AC166" i="245" s="1"/>
  <c r="AB143" i="245"/>
  <c r="AB167" i="245" s="1"/>
  <c r="AA143" i="245"/>
  <c r="AA167" i="245" s="1"/>
  <c r="Z143" i="245"/>
  <c r="Z167" i="245" s="1"/>
  <c r="Y143" i="245"/>
  <c r="Y150" i="245" s="1"/>
  <c r="X143" i="245"/>
  <c r="X150" i="245" s="1"/>
  <c r="W143" i="245"/>
  <c r="W144" i="245" s="1"/>
  <c r="V143" i="245"/>
  <c r="V144" i="245" s="1"/>
  <c r="U143" i="245"/>
  <c r="U144" i="245" s="1"/>
  <c r="T143" i="245"/>
  <c r="T144" i="245" s="1"/>
  <c r="S143" i="245"/>
  <c r="S150" i="245" s="1"/>
  <c r="S68" i="245" s="1"/>
  <c r="R143" i="245"/>
  <c r="R144" i="245" s="1"/>
  <c r="Q143" i="245"/>
  <c r="Q144" i="245" s="1"/>
  <c r="P143" i="245"/>
  <c r="P144" i="245" s="1"/>
  <c r="O143" i="245"/>
  <c r="O150" i="245" s="1"/>
  <c r="N143" i="245"/>
  <c r="N144" i="245" s="1"/>
  <c r="M143" i="245"/>
  <c r="M166" i="245" s="1"/>
  <c r="L143" i="245"/>
  <c r="L166" i="245" s="1"/>
  <c r="K143" i="245"/>
  <c r="K166" i="245" s="1"/>
  <c r="J143" i="245"/>
  <c r="J166" i="245" s="1"/>
  <c r="I143" i="245"/>
  <c r="I166" i="245" s="1"/>
  <c r="H143" i="245"/>
  <c r="H166" i="245" s="1"/>
  <c r="G143" i="245"/>
  <c r="G166" i="245" s="1"/>
  <c r="F140" i="245"/>
  <c r="F141" i="245" s="1"/>
  <c r="AU139" i="245"/>
  <c r="AU140" i="245" s="1"/>
  <c r="AU141" i="245" s="1"/>
  <c r="AT139" i="245"/>
  <c r="AT142" i="245" s="1"/>
  <c r="AS139" i="245"/>
  <c r="AS142" i="245" s="1"/>
  <c r="AR139" i="245"/>
  <c r="AR142" i="245" s="1"/>
  <c r="AQ139" i="245"/>
  <c r="AQ142" i="245" s="1"/>
  <c r="AP139" i="245"/>
  <c r="AP142" i="245" s="1"/>
  <c r="AO139" i="245"/>
  <c r="AO142" i="245" s="1"/>
  <c r="AN139" i="245"/>
  <c r="AN142" i="245" s="1"/>
  <c r="AM139" i="245"/>
  <c r="AM140" i="245" s="1"/>
  <c r="AM141" i="245" s="1"/>
  <c r="AL139" i="245"/>
  <c r="AL142" i="245" s="1"/>
  <c r="AK139" i="245"/>
  <c r="AK142" i="245" s="1"/>
  <c r="AJ139" i="245"/>
  <c r="AJ142" i="245" s="1"/>
  <c r="AI139" i="245"/>
  <c r="AI142" i="245" s="1"/>
  <c r="AH139" i="245"/>
  <c r="AH142" i="245" s="1"/>
  <c r="AG139" i="245"/>
  <c r="AG140" i="245" s="1"/>
  <c r="AG141" i="245" s="1"/>
  <c r="AF139" i="245"/>
  <c r="AF142" i="245" s="1"/>
  <c r="AE139" i="245"/>
  <c r="AE140" i="245" s="1"/>
  <c r="AE141" i="245" s="1"/>
  <c r="AD139" i="245"/>
  <c r="AD140" i="245" s="1"/>
  <c r="AD141" i="245" s="1"/>
  <c r="AC139" i="245"/>
  <c r="AC140" i="245" s="1"/>
  <c r="AC141" i="245" s="1"/>
  <c r="AB139" i="245"/>
  <c r="AB140" i="245" s="1"/>
  <c r="AB141" i="245" s="1"/>
  <c r="AA139" i="245"/>
  <c r="AA140" i="245" s="1"/>
  <c r="AA141" i="245" s="1"/>
  <c r="Z139" i="245"/>
  <c r="Z140" i="245" s="1"/>
  <c r="Z141" i="245" s="1"/>
  <c r="Y139" i="245"/>
  <c r="Y140" i="245" s="1"/>
  <c r="Y141" i="245" s="1"/>
  <c r="X139" i="245"/>
  <c r="X140" i="245" s="1"/>
  <c r="X141" i="245" s="1"/>
  <c r="W139" i="245"/>
  <c r="W140" i="245" s="1"/>
  <c r="W141" i="245" s="1"/>
  <c r="V139" i="245"/>
  <c r="V142" i="245" s="1"/>
  <c r="U139" i="245"/>
  <c r="U142" i="245" s="1"/>
  <c r="T139" i="245"/>
  <c r="T142" i="245" s="1"/>
  <c r="S139" i="245"/>
  <c r="S140" i="245" s="1"/>
  <c r="S141" i="245" s="1"/>
  <c r="R139" i="245"/>
  <c r="R140" i="245" s="1"/>
  <c r="R141" i="245" s="1"/>
  <c r="Q139" i="245"/>
  <c r="Q142" i="245" s="1"/>
  <c r="P139" i="245"/>
  <c r="P142" i="245" s="1"/>
  <c r="O139" i="245"/>
  <c r="O142" i="245" s="1"/>
  <c r="N139" i="245"/>
  <c r="N142" i="245" s="1"/>
  <c r="M139" i="245"/>
  <c r="M142" i="245" s="1"/>
  <c r="L139" i="245"/>
  <c r="L140" i="245" s="1"/>
  <c r="L141" i="245" s="1"/>
  <c r="K139" i="245"/>
  <c r="K140" i="245" s="1"/>
  <c r="K141" i="245" s="1"/>
  <c r="J139" i="245"/>
  <c r="J142" i="245" s="1"/>
  <c r="I139" i="245"/>
  <c r="I142" i="245" s="1"/>
  <c r="H139" i="245"/>
  <c r="H140" i="245" s="1"/>
  <c r="H141" i="245" s="1"/>
  <c r="G139" i="245"/>
  <c r="G140" i="245" s="1"/>
  <c r="G141" i="245" s="1"/>
  <c r="F138" i="245"/>
  <c r="AU134" i="245"/>
  <c r="AU138" i="245" s="1"/>
  <c r="AT134" i="245"/>
  <c r="AT135" i="245" s="1"/>
  <c r="AT136" i="245" s="1"/>
  <c r="AT137" i="245" s="1"/>
  <c r="AS134" i="245"/>
  <c r="AS138" i="245" s="1"/>
  <c r="AR134" i="245"/>
  <c r="AR138" i="245" s="1"/>
  <c r="AQ134" i="245"/>
  <c r="AQ138" i="245" s="1"/>
  <c r="AP134" i="245"/>
  <c r="AP138" i="245" s="1"/>
  <c r="AO134" i="245"/>
  <c r="AO138" i="245" s="1"/>
  <c r="AN134" i="245"/>
  <c r="AN135" i="245" s="1"/>
  <c r="AN136" i="245" s="1"/>
  <c r="AN137" i="245" s="1"/>
  <c r="AM134" i="245"/>
  <c r="AM135" i="245" s="1"/>
  <c r="AM136" i="245" s="1"/>
  <c r="AM137" i="245" s="1"/>
  <c r="AL134" i="245"/>
  <c r="AL135" i="245" s="1"/>
  <c r="AL136" i="245" s="1"/>
  <c r="AL137" i="245" s="1"/>
  <c r="AK134" i="245"/>
  <c r="AK138" i="245" s="1"/>
  <c r="AJ134" i="245"/>
  <c r="AJ138" i="245" s="1"/>
  <c r="AI134" i="245"/>
  <c r="AI138" i="245" s="1"/>
  <c r="AH134" i="245"/>
  <c r="AH138" i="245" s="1"/>
  <c r="AG134" i="245"/>
  <c r="AG135" i="245" s="1"/>
  <c r="AG136" i="245" s="1"/>
  <c r="AG137" i="245" s="1"/>
  <c r="AF134" i="245"/>
  <c r="AF135" i="245" s="1"/>
  <c r="AF136" i="245" s="1"/>
  <c r="AF137" i="245" s="1"/>
  <c r="AE134" i="245"/>
  <c r="AE135" i="245" s="1"/>
  <c r="AE136" i="245" s="1"/>
  <c r="AE137" i="245" s="1"/>
  <c r="AD134" i="245"/>
  <c r="AD138" i="245" s="1"/>
  <c r="AC134" i="245"/>
  <c r="AC138" i="245" s="1"/>
  <c r="AB134" i="245"/>
  <c r="AB135" i="245" s="1"/>
  <c r="AB136" i="245" s="1"/>
  <c r="AB137" i="245" s="1"/>
  <c r="AA134" i="245"/>
  <c r="AA135" i="245" s="1"/>
  <c r="AA136" i="245" s="1"/>
  <c r="AA137" i="245" s="1"/>
  <c r="Z134" i="245"/>
  <c r="Z135" i="245" s="1"/>
  <c r="Z136" i="245" s="1"/>
  <c r="Z137" i="245" s="1"/>
  <c r="Y134" i="245"/>
  <c r="Y135" i="245" s="1"/>
  <c r="Y136" i="245" s="1"/>
  <c r="Y137" i="245" s="1"/>
  <c r="X134" i="245"/>
  <c r="X135" i="245" s="1"/>
  <c r="X136" i="245" s="1"/>
  <c r="X137" i="245" s="1"/>
  <c r="W134" i="245"/>
  <c r="W135" i="245" s="1"/>
  <c r="W136" i="245" s="1"/>
  <c r="W137" i="245" s="1"/>
  <c r="V134" i="245"/>
  <c r="V135" i="245" s="1"/>
  <c r="V136" i="245" s="1"/>
  <c r="V137" i="245" s="1"/>
  <c r="U134" i="245"/>
  <c r="U138" i="245" s="1"/>
  <c r="T134" i="245"/>
  <c r="T138" i="245" s="1"/>
  <c r="S134" i="245"/>
  <c r="S138" i="245" s="1"/>
  <c r="R134" i="245"/>
  <c r="R135" i="245" s="1"/>
  <c r="R136" i="245" s="1"/>
  <c r="R137" i="245" s="1"/>
  <c r="Q134" i="245"/>
  <c r="Q135" i="245" s="1"/>
  <c r="Q136" i="245" s="1"/>
  <c r="Q137" i="245" s="1"/>
  <c r="P134" i="245"/>
  <c r="P138" i="245" s="1"/>
  <c r="O134" i="245"/>
  <c r="O138" i="245" s="1"/>
  <c r="N134" i="245"/>
  <c r="N138" i="245" s="1"/>
  <c r="M134" i="245"/>
  <c r="M138" i="245" s="1"/>
  <c r="L134" i="245"/>
  <c r="L138" i="245" s="1"/>
  <c r="K134" i="245"/>
  <c r="K135" i="245" s="1"/>
  <c r="K136" i="245" s="1"/>
  <c r="K137" i="245" s="1"/>
  <c r="J134" i="245"/>
  <c r="J135" i="245" s="1"/>
  <c r="J136" i="245" s="1"/>
  <c r="J137" i="245" s="1"/>
  <c r="I134" i="245"/>
  <c r="I135" i="245" s="1"/>
  <c r="I136" i="245" s="1"/>
  <c r="I137" i="245" s="1"/>
  <c r="H134" i="245"/>
  <c r="H138" i="245" s="1"/>
  <c r="G134" i="245"/>
  <c r="G138" i="245" s="1"/>
  <c r="AU129" i="245"/>
  <c r="AU130" i="245" s="1"/>
  <c r="AU131" i="245" s="1"/>
  <c r="AT129" i="245"/>
  <c r="AT130" i="245" s="1"/>
  <c r="AT131" i="245" s="1"/>
  <c r="AS129" i="245"/>
  <c r="AS130" i="245" s="1"/>
  <c r="AS131" i="245" s="1"/>
  <c r="AR129" i="245"/>
  <c r="AR130" i="245" s="1"/>
  <c r="AR131" i="245" s="1"/>
  <c r="AQ129" i="245"/>
  <c r="AQ130" i="245" s="1"/>
  <c r="AQ131" i="245" s="1"/>
  <c r="AP129" i="245"/>
  <c r="AP130" i="245" s="1"/>
  <c r="AP131" i="245" s="1"/>
  <c r="AO129" i="245"/>
  <c r="AO130" i="245" s="1"/>
  <c r="AO131" i="245" s="1"/>
  <c r="AN129" i="245"/>
  <c r="AN130" i="245" s="1"/>
  <c r="AN131" i="245" s="1"/>
  <c r="AM129" i="245"/>
  <c r="AM130" i="245" s="1"/>
  <c r="AM131" i="245" s="1"/>
  <c r="AL129" i="245"/>
  <c r="AL130" i="245" s="1"/>
  <c r="AL131" i="245" s="1"/>
  <c r="AK129" i="245"/>
  <c r="AK130" i="245" s="1"/>
  <c r="AK131" i="245" s="1"/>
  <c r="AJ129" i="245"/>
  <c r="AJ130" i="245" s="1"/>
  <c r="AJ131" i="245" s="1"/>
  <c r="AI129" i="245"/>
  <c r="AI130" i="245" s="1"/>
  <c r="AI131" i="245" s="1"/>
  <c r="AH129" i="245"/>
  <c r="AH130" i="245" s="1"/>
  <c r="AH131" i="245" s="1"/>
  <c r="AG129" i="245"/>
  <c r="AG130" i="245" s="1"/>
  <c r="AG131" i="245" s="1"/>
  <c r="AF129" i="245"/>
  <c r="AF130" i="245" s="1"/>
  <c r="AF131" i="245" s="1"/>
  <c r="AE129" i="245"/>
  <c r="AE130" i="245" s="1"/>
  <c r="AE131" i="245" s="1"/>
  <c r="AD129" i="245"/>
  <c r="AD130" i="245" s="1"/>
  <c r="AD131" i="245" s="1"/>
  <c r="AC129" i="245"/>
  <c r="AC130" i="245" s="1"/>
  <c r="AC131" i="245" s="1"/>
  <c r="AB129" i="245"/>
  <c r="AB130" i="245" s="1"/>
  <c r="AB131" i="245" s="1"/>
  <c r="AA129" i="245"/>
  <c r="AA130" i="245" s="1"/>
  <c r="AA131" i="245" s="1"/>
  <c r="Z129" i="245"/>
  <c r="Z130" i="245" s="1"/>
  <c r="Z131" i="245" s="1"/>
  <c r="Z133" i="245" s="1"/>
  <c r="Y129" i="245"/>
  <c r="Y130" i="245" s="1"/>
  <c r="Y131" i="245" s="1"/>
  <c r="Y133" i="245" s="1"/>
  <c r="X129" i="245"/>
  <c r="X130" i="245" s="1"/>
  <c r="X131" i="245" s="1"/>
  <c r="W129" i="245"/>
  <c r="W130" i="245" s="1"/>
  <c r="W131" i="245" s="1"/>
  <c r="V129" i="245"/>
  <c r="V130" i="245" s="1"/>
  <c r="V131" i="245" s="1"/>
  <c r="U129" i="245"/>
  <c r="U130" i="245" s="1"/>
  <c r="U131" i="245" s="1"/>
  <c r="T129" i="245"/>
  <c r="T130" i="245" s="1"/>
  <c r="T131" i="245" s="1"/>
  <c r="S129" i="245"/>
  <c r="S130" i="245" s="1"/>
  <c r="S131" i="245" s="1"/>
  <c r="R129" i="245"/>
  <c r="R130" i="245" s="1"/>
  <c r="R131" i="245" s="1"/>
  <c r="Q129" i="245"/>
  <c r="Q130" i="245" s="1"/>
  <c r="Q131" i="245" s="1"/>
  <c r="P129" i="245"/>
  <c r="P130" i="245" s="1"/>
  <c r="P131" i="245" s="1"/>
  <c r="O129" i="245"/>
  <c r="O130" i="245" s="1"/>
  <c r="O131" i="245" s="1"/>
  <c r="N129" i="245"/>
  <c r="N130" i="245" s="1"/>
  <c r="N131" i="245" s="1"/>
  <c r="M129" i="245"/>
  <c r="M130" i="245" s="1"/>
  <c r="M131" i="245" s="1"/>
  <c r="L129" i="245"/>
  <c r="L130" i="245" s="1"/>
  <c r="L131" i="245" s="1"/>
  <c r="K129" i="245"/>
  <c r="K130" i="245" s="1"/>
  <c r="K131" i="245" s="1"/>
  <c r="J129" i="245"/>
  <c r="J130" i="245" s="1"/>
  <c r="J131" i="245" s="1"/>
  <c r="I129" i="245"/>
  <c r="I130" i="245" s="1"/>
  <c r="I131" i="245" s="1"/>
  <c r="H129" i="245"/>
  <c r="H130" i="245" s="1"/>
  <c r="H131" i="245" s="1"/>
  <c r="G129" i="245"/>
  <c r="G130" i="245" s="1"/>
  <c r="G131" i="245" s="1"/>
  <c r="AU125" i="245"/>
  <c r="AU126" i="245" s="1"/>
  <c r="AU127" i="245" s="1"/>
  <c r="AU128" i="245" s="1"/>
  <c r="AT125" i="245"/>
  <c r="AT126" i="245" s="1"/>
  <c r="AT127" i="245" s="1"/>
  <c r="AT128" i="245" s="1"/>
  <c r="AS125" i="245"/>
  <c r="AS126" i="245" s="1"/>
  <c r="AS127" i="245" s="1"/>
  <c r="AS128" i="245" s="1"/>
  <c r="AR125" i="245"/>
  <c r="AR126" i="245" s="1"/>
  <c r="AR127" i="245" s="1"/>
  <c r="AR128" i="245" s="1"/>
  <c r="AQ125" i="245"/>
  <c r="AQ126" i="245" s="1"/>
  <c r="AQ127" i="245" s="1"/>
  <c r="AQ128" i="245" s="1"/>
  <c r="AP125" i="245"/>
  <c r="AP126" i="245" s="1"/>
  <c r="AP127" i="245" s="1"/>
  <c r="AP128" i="245" s="1"/>
  <c r="AO125" i="245"/>
  <c r="AO126" i="245" s="1"/>
  <c r="AO127" i="245" s="1"/>
  <c r="AO128" i="245" s="1"/>
  <c r="AN125" i="245"/>
  <c r="AN126" i="245" s="1"/>
  <c r="AN127" i="245" s="1"/>
  <c r="AN128" i="245" s="1"/>
  <c r="AM125" i="245"/>
  <c r="AM126" i="245" s="1"/>
  <c r="AM127" i="245" s="1"/>
  <c r="AM128" i="245" s="1"/>
  <c r="AL125" i="245"/>
  <c r="AL126" i="245" s="1"/>
  <c r="AL127" i="245" s="1"/>
  <c r="AL128" i="245" s="1"/>
  <c r="AK125" i="245"/>
  <c r="AK126" i="245" s="1"/>
  <c r="AK127" i="245" s="1"/>
  <c r="AK128" i="245" s="1"/>
  <c r="AJ125" i="245"/>
  <c r="AJ126" i="245" s="1"/>
  <c r="AJ127" i="245" s="1"/>
  <c r="AJ128" i="245" s="1"/>
  <c r="AI125" i="245"/>
  <c r="AI126" i="245" s="1"/>
  <c r="AI127" i="245" s="1"/>
  <c r="AI128" i="245" s="1"/>
  <c r="AH125" i="245"/>
  <c r="AH126" i="245" s="1"/>
  <c r="AH127" i="245" s="1"/>
  <c r="AH128" i="245" s="1"/>
  <c r="AG125" i="245"/>
  <c r="AG126" i="245" s="1"/>
  <c r="AG127" i="245" s="1"/>
  <c r="AG128" i="245" s="1"/>
  <c r="AF125" i="245"/>
  <c r="AF126" i="245" s="1"/>
  <c r="AF127" i="245" s="1"/>
  <c r="AF128" i="245" s="1"/>
  <c r="AE125" i="245"/>
  <c r="AE126" i="245" s="1"/>
  <c r="AE127" i="245" s="1"/>
  <c r="AE128" i="245" s="1"/>
  <c r="AD125" i="245"/>
  <c r="AD126" i="245" s="1"/>
  <c r="AD127" i="245" s="1"/>
  <c r="AD128" i="245" s="1"/>
  <c r="AC125" i="245"/>
  <c r="AC126" i="245" s="1"/>
  <c r="AC127" i="245" s="1"/>
  <c r="AC128" i="245" s="1"/>
  <c r="AB125" i="245"/>
  <c r="AB126" i="245" s="1"/>
  <c r="AB127" i="245" s="1"/>
  <c r="AB128" i="245" s="1"/>
  <c r="AA125" i="245"/>
  <c r="AA126" i="245" s="1"/>
  <c r="AA127" i="245" s="1"/>
  <c r="AA128" i="245" s="1"/>
  <c r="Z125" i="245"/>
  <c r="Z126" i="245" s="1"/>
  <c r="Z127" i="245" s="1"/>
  <c r="Z128" i="245" s="1"/>
  <c r="Y125" i="245"/>
  <c r="Y126" i="245" s="1"/>
  <c r="Y127" i="245" s="1"/>
  <c r="Y128" i="245" s="1"/>
  <c r="X125" i="245"/>
  <c r="X126" i="245" s="1"/>
  <c r="X127" i="245" s="1"/>
  <c r="X128" i="245" s="1"/>
  <c r="W125" i="245"/>
  <c r="W126" i="245" s="1"/>
  <c r="W127" i="245" s="1"/>
  <c r="W128" i="245" s="1"/>
  <c r="V125" i="245"/>
  <c r="V126" i="245" s="1"/>
  <c r="V127" i="245" s="1"/>
  <c r="V128" i="245" s="1"/>
  <c r="U125" i="245"/>
  <c r="U126" i="245" s="1"/>
  <c r="U127" i="245" s="1"/>
  <c r="U128" i="245" s="1"/>
  <c r="T125" i="245"/>
  <c r="T126" i="245" s="1"/>
  <c r="T127" i="245" s="1"/>
  <c r="T128" i="245" s="1"/>
  <c r="S125" i="245"/>
  <c r="S126" i="245" s="1"/>
  <c r="S127" i="245" s="1"/>
  <c r="S128" i="245" s="1"/>
  <c r="R125" i="245"/>
  <c r="R126" i="245" s="1"/>
  <c r="R127" i="245" s="1"/>
  <c r="R128" i="245" s="1"/>
  <c r="Q125" i="245"/>
  <c r="Q126" i="245" s="1"/>
  <c r="Q127" i="245" s="1"/>
  <c r="Q128" i="245" s="1"/>
  <c r="P125" i="245"/>
  <c r="P126" i="245" s="1"/>
  <c r="P127" i="245" s="1"/>
  <c r="P128" i="245" s="1"/>
  <c r="O125" i="245"/>
  <c r="O126" i="245" s="1"/>
  <c r="O127" i="245" s="1"/>
  <c r="O128" i="245" s="1"/>
  <c r="N125" i="245"/>
  <c r="N126" i="245" s="1"/>
  <c r="N127" i="245" s="1"/>
  <c r="N128" i="245" s="1"/>
  <c r="M125" i="245"/>
  <c r="M126" i="245" s="1"/>
  <c r="M127" i="245" s="1"/>
  <c r="M128" i="245" s="1"/>
  <c r="L125" i="245"/>
  <c r="L126" i="245" s="1"/>
  <c r="L127" i="245" s="1"/>
  <c r="L128" i="245" s="1"/>
  <c r="K125" i="245"/>
  <c r="K126" i="245" s="1"/>
  <c r="K127" i="245" s="1"/>
  <c r="K128" i="245" s="1"/>
  <c r="J125" i="245"/>
  <c r="J126" i="245" s="1"/>
  <c r="J127" i="245" s="1"/>
  <c r="J128" i="245" s="1"/>
  <c r="I125" i="245"/>
  <c r="I126" i="245" s="1"/>
  <c r="I127" i="245" s="1"/>
  <c r="I128" i="245" s="1"/>
  <c r="H125" i="245"/>
  <c r="H126" i="245" s="1"/>
  <c r="H127" i="245" s="1"/>
  <c r="H128" i="245" s="1"/>
  <c r="G125" i="245"/>
  <c r="G126" i="245" s="1"/>
  <c r="G127" i="245" s="1"/>
  <c r="G128" i="245" s="1"/>
  <c r="AU123" i="245"/>
  <c r="AU124" i="245" s="1"/>
  <c r="AT123" i="245"/>
  <c r="AT124" i="245" s="1"/>
  <c r="AS123" i="245"/>
  <c r="AS124" i="245" s="1"/>
  <c r="AR123" i="245"/>
  <c r="AR124" i="245" s="1"/>
  <c r="AQ123" i="245"/>
  <c r="AQ124" i="245" s="1"/>
  <c r="AP123" i="245"/>
  <c r="AP124" i="245" s="1"/>
  <c r="AO123" i="245"/>
  <c r="AO124" i="245" s="1"/>
  <c r="AN123" i="245"/>
  <c r="AN124" i="245" s="1"/>
  <c r="AM123" i="245"/>
  <c r="AM124" i="245" s="1"/>
  <c r="AL123" i="245"/>
  <c r="AL124" i="245" s="1"/>
  <c r="AK123" i="245"/>
  <c r="AK124" i="245" s="1"/>
  <c r="AJ123" i="245"/>
  <c r="AJ124" i="245" s="1"/>
  <c r="AI123" i="245"/>
  <c r="AI124" i="245" s="1"/>
  <c r="AH123" i="245"/>
  <c r="AH124" i="245" s="1"/>
  <c r="AG123" i="245"/>
  <c r="AG124" i="245" s="1"/>
  <c r="AF123" i="245"/>
  <c r="AF124" i="245" s="1"/>
  <c r="AE123" i="245"/>
  <c r="AE124" i="245" s="1"/>
  <c r="AD123" i="245"/>
  <c r="AD124" i="245" s="1"/>
  <c r="AC123" i="245"/>
  <c r="AC124" i="245" s="1"/>
  <c r="AB123" i="245"/>
  <c r="AB124" i="245" s="1"/>
  <c r="AA123" i="245"/>
  <c r="AA124" i="245" s="1"/>
  <c r="Z123" i="245"/>
  <c r="Z124" i="245" s="1"/>
  <c r="Y123" i="245"/>
  <c r="Y124" i="245" s="1"/>
  <c r="X123" i="245"/>
  <c r="X124" i="245" s="1"/>
  <c r="W123" i="245"/>
  <c r="W124" i="245" s="1"/>
  <c r="V123" i="245"/>
  <c r="V124" i="245" s="1"/>
  <c r="U123" i="245"/>
  <c r="U124" i="245" s="1"/>
  <c r="T123" i="245"/>
  <c r="T124" i="245" s="1"/>
  <c r="S123" i="245"/>
  <c r="S124" i="245" s="1"/>
  <c r="R123" i="245"/>
  <c r="R124" i="245" s="1"/>
  <c r="Q123" i="245"/>
  <c r="Q124" i="245" s="1"/>
  <c r="P123" i="245"/>
  <c r="P124" i="245" s="1"/>
  <c r="O123" i="245"/>
  <c r="O124" i="245" s="1"/>
  <c r="N123" i="245"/>
  <c r="N124" i="245" s="1"/>
  <c r="M123" i="245"/>
  <c r="M124" i="245" s="1"/>
  <c r="L123" i="245"/>
  <c r="L124" i="245" s="1"/>
  <c r="K123" i="245"/>
  <c r="K124" i="245" s="1"/>
  <c r="J123" i="245"/>
  <c r="J124" i="245" s="1"/>
  <c r="I123" i="245"/>
  <c r="I124" i="245" s="1"/>
  <c r="H123" i="245"/>
  <c r="H124" i="245" s="1"/>
  <c r="G123" i="245"/>
  <c r="G124" i="245" s="1"/>
  <c r="AU122" i="245"/>
  <c r="AU172" i="245" s="1"/>
  <c r="AT122" i="245"/>
  <c r="AT172" i="245" s="1"/>
  <c r="AS122" i="245"/>
  <c r="AS172" i="245" s="1"/>
  <c r="AR122" i="245"/>
  <c r="AR172" i="245" s="1"/>
  <c r="AQ122" i="245"/>
  <c r="AQ172" i="245" s="1"/>
  <c r="AP122" i="245"/>
  <c r="AP172" i="245" s="1"/>
  <c r="AO122" i="245"/>
  <c r="AO172" i="245" s="1"/>
  <c r="AN122" i="245"/>
  <c r="AN172" i="245" s="1"/>
  <c r="AM122" i="245"/>
  <c r="AM172" i="245" s="1"/>
  <c r="AL122" i="245"/>
  <c r="AL172" i="245" s="1"/>
  <c r="AK122" i="245"/>
  <c r="AK172" i="245" s="1"/>
  <c r="AJ122" i="245"/>
  <c r="AJ172" i="245" s="1"/>
  <c r="AI122" i="245"/>
  <c r="AI172" i="245" s="1"/>
  <c r="AH122" i="245"/>
  <c r="AH172" i="245" s="1"/>
  <c r="AG122" i="245"/>
  <c r="AG172" i="245" s="1"/>
  <c r="AF122" i="245"/>
  <c r="AF172" i="245" s="1"/>
  <c r="AE122" i="245"/>
  <c r="AE172" i="245" s="1"/>
  <c r="AD122" i="245"/>
  <c r="AD172" i="245" s="1"/>
  <c r="AC122" i="245"/>
  <c r="AC172" i="245" s="1"/>
  <c r="AB122" i="245"/>
  <c r="AB172" i="245" s="1"/>
  <c r="AA122" i="245"/>
  <c r="AA172" i="245" s="1"/>
  <c r="Z122" i="245"/>
  <c r="Z172" i="245" s="1"/>
  <c r="Y122" i="245"/>
  <c r="Y172" i="245" s="1"/>
  <c r="X122" i="245"/>
  <c r="X172" i="245" s="1"/>
  <c r="W122" i="245"/>
  <c r="W172" i="245" s="1"/>
  <c r="V122" i="245"/>
  <c r="V172" i="245" s="1"/>
  <c r="U122" i="245"/>
  <c r="U172" i="245" s="1"/>
  <c r="T122" i="245"/>
  <c r="T172" i="245" s="1"/>
  <c r="S122" i="245"/>
  <c r="S172" i="245" s="1"/>
  <c r="R122" i="245"/>
  <c r="R172" i="245" s="1"/>
  <c r="Q122" i="245"/>
  <c r="Q172" i="245" s="1"/>
  <c r="P122" i="245"/>
  <c r="P172" i="245" s="1"/>
  <c r="O122" i="245"/>
  <c r="O172" i="245" s="1"/>
  <c r="N122" i="245"/>
  <c r="N172" i="245" s="1"/>
  <c r="M122" i="245"/>
  <c r="M172" i="245" s="1"/>
  <c r="L122" i="245"/>
  <c r="L172" i="245" s="1"/>
  <c r="K122" i="245"/>
  <c r="K172" i="245" s="1"/>
  <c r="J122" i="245"/>
  <c r="J172" i="245" s="1"/>
  <c r="I122" i="245"/>
  <c r="I172" i="245" s="1"/>
  <c r="H122" i="245"/>
  <c r="H172" i="245" s="1"/>
  <c r="G122" i="245"/>
  <c r="G172" i="245" s="1"/>
  <c r="K54" i="237" l="1"/>
  <c r="L54" i="237" s="1"/>
  <c r="H66" i="237"/>
  <c r="K58" i="237"/>
  <c r="L58" i="237" s="1"/>
  <c r="K55" i="237"/>
  <c r="L55" i="237" s="1"/>
  <c r="H67" i="237"/>
  <c r="X138" i="245"/>
  <c r="Y138" i="245"/>
  <c r="AE150" i="245"/>
  <c r="AI173" i="245"/>
  <c r="AJ173" i="245"/>
  <c r="L173" i="245"/>
  <c r="AS135" i="245"/>
  <c r="AS136" i="245" s="1"/>
  <c r="AS137" i="245" s="1"/>
  <c r="H54" i="237"/>
  <c r="H58" i="237" s="1"/>
  <c r="AR135" i="245"/>
  <c r="AR136" i="245" s="1"/>
  <c r="AR137" i="245" s="1"/>
  <c r="AN171" i="245"/>
  <c r="AT138" i="245"/>
  <c r="H150" i="245"/>
  <c r="AK173" i="245"/>
  <c r="V150" i="245"/>
  <c r="AI150" i="245"/>
  <c r="AJ150" i="245"/>
  <c r="AE142" i="245"/>
  <c r="Y142" i="245"/>
  <c r="R142" i="245"/>
  <c r="AM173" i="245"/>
  <c r="AT140" i="245"/>
  <c r="AT141" i="245" s="1"/>
  <c r="AN173" i="245"/>
  <c r="AL173" i="245"/>
  <c r="AO135" i="245"/>
  <c r="AO136" i="245" s="1"/>
  <c r="AO137" i="245" s="1"/>
  <c r="I138" i="245"/>
  <c r="AB144" i="245"/>
  <c r="AB145" i="245" s="1"/>
  <c r="AB146" i="245" s="1"/>
  <c r="AB147" i="245" s="1"/>
  <c r="AB148" i="245" s="1"/>
  <c r="AC144" i="245"/>
  <c r="AC149" i="245" s="1"/>
  <c r="AQ156" i="245"/>
  <c r="AS156" i="245"/>
  <c r="X157" i="245"/>
  <c r="Y157" i="245"/>
  <c r="AH159" i="245"/>
  <c r="AH160" i="245" s="1"/>
  <c r="AI159" i="245"/>
  <c r="AI160" i="245" s="1"/>
  <c r="V157" i="245"/>
  <c r="W142" i="245"/>
  <c r="AF144" i="245"/>
  <c r="AF145" i="245" s="1"/>
  <c r="AF146" i="245" s="1"/>
  <c r="AF147" i="245" s="1"/>
  <c r="AF148" i="245" s="1"/>
  <c r="AJ159" i="245"/>
  <c r="AJ160" i="245" s="1"/>
  <c r="X142" i="245"/>
  <c r="G150" i="245"/>
  <c r="G68" i="245" s="1"/>
  <c r="AK159" i="245"/>
  <c r="AK160" i="245" s="1"/>
  <c r="AL159" i="245"/>
  <c r="AL160" i="245" s="1"/>
  <c r="Z142" i="245"/>
  <c r="I150" i="245"/>
  <c r="AM159" i="245"/>
  <c r="AM160" i="245" s="1"/>
  <c r="J138" i="245"/>
  <c r="AA142" i="245"/>
  <c r="AB142" i="245"/>
  <c r="Z150" i="245"/>
  <c r="AC142" i="245"/>
  <c r="AB150" i="245"/>
  <c r="AO173" i="245"/>
  <c r="AB138" i="245"/>
  <c r="AC150" i="245"/>
  <c r="AR173" i="245"/>
  <c r="AL138" i="245"/>
  <c r="AG142" i="245"/>
  <c r="AD150" i="245"/>
  <c r="AF150" i="245"/>
  <c r="W157" i="245"/>
  <c r="Z157" i="245"/>
  <c r="AE166" i="245"/>
  <c r="AB157" i="245"/>
  <c r="AK166" i="245"/>
  <c r="AC157" i="245"/>
  <c r="G167" i="245"/>
  <c r="AD157" i="245"/>
  <c r="H167" i="245"/>
  <c r="Q158" i="245"/>
  <c r="AI167" i="245"/>
  <c r="R158" i="245"/>
  <c r="G135" i="245"/>
  <c r="G136" i="245" s="1"/>
  <c r="G137" i="245" s="1"/>
  <c r="S158" i="245"/>
  <c r="AE171" i="245"/>
  <c r="H135" i="245"/>
  <c r="H136" i="245" s="1"/>
  <c r="H137" i="245" s="1"/>
  <c r="T158" i="245"/>
  <c r="AF171" i="245"/>
  <c r="U158" i="245"/>
  <c r="AG171" i="245"/>
  <c r="AR158" i="245"/>
  <c r="AH171" i="245"/>
  <c r="AC135" i="245"/>
  <c r="AC136" i="245" s="1"/>
  <c r="AC137" i="245" s="1"/>
  <c r="G144" i="245"/>
  <c r="G145" i="245" s="1"/>
  <c r="G146" i="245" s="1"/>
  <c r="G147" i="245" s="1"/>
  <c r="G148" i="245" s="1"/>
  <c r="H159" i="245"/>
  <c r="H160" i="245" s="1"/>
  <c r="AI171" i="245"/>
  <c r="AH135" i="245"/>
  <c r="AH136" i="245" s="1"/>
  <c r="AH137" i="245" s="1"/>
  <c r="H144" i="245"/>
  <c r="H145" i="245" s="1"/>
  <c r="H146" i="245" s="1"/>
  <c r="H147" i="245" s="1"/>
  <c r="H148" i="245" s="1"/>
  <c r="I159" i="245"/>
  <c r="I160" i="245" s="1"/>
  <c r="AL171" i="245"/>
  <c r="AK135" i="245"/>
  <c r="AK136" i="245" s="1"/>
  <c r="AK137" i="245" s="1"/>
  <c r="I144" i="245"/>
  <c r="I145" i="245" s="1"/>
  <c r="I146" i="245" s="1"/>
  <c r="I147" i="245" s="1"/>
  <c r="I148" i="245" s="1"/>
  <c r="M159" i="245"/>
  <c r="M160" i="245" s="1"/>
  <c r="AM171" i="245"/>
  <c r="AO156" i="245"/>
  <c r="AR156" i="245"/>
  <c r="AP156" i="245"/>
  <c r="AN159" i="245"/>
  <c r="AN160" i="245" s="1"/>
  <c r="V158" i="245"/>
  <c r="AM158" i="245"/>
  <c r="AT155" i="245"/>
  <c r="AN158" i="245"/>
  <c r="G156" i="245"/>
  <c r="AO158" i="245"/>
  <c r="AP158" i="245"/>
  <c r="H156" i="245"/>
  <c r="I156" i="245"/>
  <c r="AQ158" i="245"/>
  <c r="AK156" i="245"/>
  <c r="AL156" i="245"/>
  <c r="AS158" i="245"/>
  <c r="AM156" i="245"/>
  <c r="AT158" i="245"/>
  <c r="AN156" i="245"/>
  <c r="G159" i="245"/>
  <c r="G160" i="245" s="1"/>
  <c r="AI140" i="245"/>
  <c r="AI141" i="245" s="1"/>
  <c r="AJ140" i="245"/>
  <c r="AJ141" i="245" s="1"/>
  <c r="AP166" i="245"/>
  <c r="AR166" i="245"/>
  <c r="G142" i="245"/>
  <c r="U150" i="245"/>
  <c r="AT166" i="245"/>
  <c r="H142" i="245"/>
  <c r="AU166" i="245"/>
  <c r="I167" i="245"/>
  <c r="AT173" i="245"/>
  <c r="R167" i="245"/>
  <c r="AU173" i="245"/>
  <c r="S144" i="245"/>
  <c r="S145" i="245" s="1"/>
  <c r="S146" i="245" s="1"/>
  <c r="S147" i="245" s="1"/>
  <c r="S148" i="245" s="1"/>
  <c r="X167" i="245"/>
  <c r="AH140" i="245"/>
  <c r="AH141" i="245" s="1"/>
  <c r="K138" i="245"/>
  <c r="X144" i="245"/>
  <c r="X145" i="245" s="1"/>
  <c r="X146" i="245" s="1"/>
  <c r="X147" i="245" s="1"/>
  <c r="X148" i="245" s="1"/>
  <c r="Y167" i="245"/>
  <c r="G173" i="245"/>
  <c r="Q138" i="245"/>
  <c r="Y144" i="245"/>
  <c r="Y145" i="245" s="1"/>
  <c r="Y146" i="245" s="1"/>
  <c r="Y147" i="245" s="1"/>
  <c r="Y148" i="245" s="1"/>
  <c r="AC167" i="245"/>
  <c r="H173" i="245"/>
  <c r="Z144" i="245"/>
  <c r="Z145" i="245" s="1"/>
  <c r="Z146" i="245" s="1"/>
  <c r="Z147" i="245" s="1"/>
  <c r="Z148" i="245" s="1"/>
  <c r="AD167" i="245"/>
  <c r="I173" i="245"/>
  <c r="R138" i="245"/>
  <c r="L135" i="245"/>
  <c r="L136" i="245" s="1"/>
  <c r="L137" i="245" s="1"/>
  <c r="V138" i="245"/>
  <c r="AD142" i="245"/>
  <c r="AA144" i="245"/>
  <c r="AA145" i="245" s="1"/>
  <c r="AA146" i="245" s="1"/>
  <c r="AA147" i="245" s="1"/>
  <c r="AA148" i="245" s="1"/>
  <c r="AK150" i="245"/>
  <c r="AU155" i="245"/>
  <c r="AA157" i="245"/>
  <c r="AU158" i="245"/>
  <c r="AE167" i="245"/>
  <c r="J173" i="245"/>
  <c r="M135" i="245"/>
  <c r="M136" i="245" s="1"/>
  <c r="M137" i="245" s="1"/>
  <c r="AF167" i="245"/>
  <c r="K173" i="245"/>
  <c r="Z138" i="245"/>
  <c r="AJ167" i="245"/>
  <c r="M173" i="245"/>
  <c r="P135" i="245"/>
  <c r="P136" i="245" s="1"/>
  <c r="P137" i="245" s="1"/>
  <c r="AD144" i="245"/>
  <c r="AD145" i="245" s="1"/>
  <c r="AD146" i="245" s="1"/>
  <c r="AD147" i="245" s="1"/>
  <c r="AD148" i="245" s="1"/>
  <c r="AA138" i="245"/>
  <c r="J156" i="245"/>
  <c r="AE157" i="245"/>
  <c r="J159" i="245"/>
  <c r="J160" i="245" s="1"/>
  <c r="AK167" i="245"/>
  <c r="P173" i="245"/>
  <c r="K156" i="245"/>
  <c r="AF157" i="245"/>
  <c r="K159" i="245"/>
  <c r="K160" i="245" s="1"/>
  <c r="AT167" i="245"/>
  <c r="R173" i="245"/>
  <c r="AD135" i="245"/>
  <c r="AD136" i="245" s="1"/>
  <c r="AD137" i="245" s="1"/>
  <c r="AH144" i="245"/>
  <c r="AH145" i="245" s="1"/>
  <c r="AH146" i="245" s="1"/>
  <c r="AH147" i="245" s="1"/>
  <c r="AH148" i="245" s="1"/>
  <c r="L156" i="245"/>
  <c r="AG157" i="245"/>
  <c r="S173" i="245"/>
  <c r="AE138" i="245"/>
  <c r="AI144" i="245"/>
  <c r="M156" i="245"/>
  <c r="J158" i="245"/>
  <c r="AA159" i="245"/>
  <c r="AA160" i="245" s="1"/>
  <c r="G171" i="245"/>
  <c r="Y173" i="245"/>
  <c r="AI135" i="245"/>
  <c r="AI136" i="245" s="1"/>
  <c r="AI137" i="245" s="1"/>
  <c r="AF138" i="245"/>
  <c r="AJ144" i="245"/>
  <c r="N156" i="245"/>
  <c r="K158" i="245"/>
  <c r="AB159" i="245"/>
  <c r="AB160" i="245" s="1"/>
  <c r="N166" i="245"/>
  <c r="J171" i="245"/>
  <c r="Z173" i="245"/>
  <c r="AJ135" i="245"/>
  <c r="AJ136" i="245" s="1"/>
  <c r="AJ137" i="245" s="1"/>
  <c r="O156" i="245"/>
  <c r="L158" i="245"/>
  <c r="AC159" i="245"/>
  <c r="AC160" i="245" s="1"/>
  <c r="P166" i="245"/>
  <c r="K171" i="245"/>
  <c r="AD173" i="245"/>
  <c r="AU144" i="245"/>
  <c r="AU145" i="245" s="1"/>
  <c r="AU146" i="245" s="1"/>
  <c r="AU147" i="245" s="1"/>
  <c r="AU148" i="245" s="1"/>
  <c r="P156" i="245"/>
  <c r="M158" i="245"/>
  <c r="AD159" i="245"/>
  <c r="AD160" i="245" s="1"/>
  <c r="R166" i="245"/>
  <c r="L171" i="245"/>
  <c r="AE173" i="245"/>
  <c r="AM138" i="245"/>
  <c r="AH156" i="245"/>
  <c r="N158" i="245"/>
  <c r="AE159" i="245"/>
  <c r="AE160" i="245" s="1"/>
  <c r="S166" i="245"/>
  <c r="X171" i="245"/>
  <c r="AF173" i="245"/>
  <c r="AN138" i="245"/>
  <c r="AI156" i="245"/>
  <c r="O158" i="245"/>
  <c r="AF159" i="245"/>
  <c r="AF160" i="245" s="1"/>
  <c r="X166" i="245"/>
  <c r="AB171" i="245"/>
  <c r="AG173" i="245"/>
  <c r="AJ156" i="245"/>
  <c r="P158" i="245"/>
  <c r="AG159" i="245"/>
  <c r="AG160" i="245" s="1"/>
  <c r="AD171" i="245"/>
  <c r="AH173" i="245"/>
  <c r="AI157" i="245"/>
  <c r="L155" i="245"/>
  <c r="AT156" i="245"/>
  <c r="M155" i="245"/>
  <c r="AU156" i="245"/>
  <c r="W158" i="245"/>
  <c r="Q155" i="245"/>
  <c r="S156" i="245"/>
  <c r="G157" i="245"/>
  <c r="AJ157" i="245"/>
  <c r="X158" i="245"/>
  <c r="L159" i="245"/>
  <c r="L160" i="245" s="1"/>
  <c r="AO159" i="245"/>
  <c r="AO160" i="245" s="1"/>
  <c r="Y158" i="245"/>
  <c r="AP159" i="245"/>
  <c r="AP160" i="245" s="1"/>
  <c r="S155" i="245"/>
  <c r="U156" i="245"/>
  <c r="I157" i="245"/>
  <c r="AL157" i="245"/>
  <c r="Z158" i="245"/>
  <c r="N159" i="245"/>
  <c r="N160" i="245" s="1"/>
  <c r="AQ159" i="245"/>
  <c r="AQ160" i="245" s="1"/>
  <c r="R156" i="245"/>
  <c r="V156" i="245"/>
  <c r="J157" i="245"/>
  <c r="AM157" i="245"/>
  <c r="AA158" i="245"/>
  <c r="O159" i="245"/>
  <c r="O160" i="245" s="1"/>
  <c r="AR159" i="245"/>
  <c r="AR160" i="245" s="1"/>
  <c r="AS159" i="245"/>
  <c r="AS160" i="245" s="1"/>
  <c r="Q159" i="245"/>
  <c r="Q160" i="245" s="1"/>
  <c r="Q156" i="245"/>
  <c r="AH157" i="245"/>
  <c r="AK157" i="245"/>
  <c r="T155" i="245"/>
  <c r="P159" i="245"/>
  <c r="P160" i="245" s="1"/>
  <c r="V155" i="245"/>
  <c r="X156" i="245"/>
  <c r="L157" i="245"/>
  <c r="AO157" i="245"/>
  <c r="AC158" i="245"/>
  <c r="AT159" i="245"/>
  <c r="AT160" i="245" s="1"/>
  <c r="W155" i="245"/>
  <c r="Y156" i="245"/>
  <c r="M157" i="245"/>
  <c r="AP157" i="245"/>
  <c r="AD158" i="245"/>
  <c r="R159" i="245"/>
  <c r="R160" i="245" s="1"/>
  <c r="AU159" i="245"/>
  <c r="AU160" i="245" s="1"/>
  <c r="T156" i="245"/>
  <c r="W156" i="245"/>
  <c r="X155" i="245"/>
  <c r="Z156" i="245"/>
  <c r="N157" i="245"/>
  <c r="AQ157" i="245"/>
  <c r="AE158" i="245"/>
  <c r="S159" i="245"/>
  <c r="S160" i="245" s="1"/>
  <c r="K157" i="245"/>
  <c r="AA155" i="245"/>
  <c r="AA156" i="245"/>
  <c r="O157" i="245"/>
  <c r="AR157" i="245"/>
  <c r="AF158" i="245"/>
  <c r="U159" i="245"/>
  <c r="U160" i="245" s="1"/>
  <c r="AG155" i="245"/>
  <c r="AB156" i="245"/>
  <c r="P157" i="245"/>
  <c r="AS157" i="245"/>
  <c r="AH158" i="245"/>
  <c r="V159" i="245"/>
  <c r="V160" i="245" s="1"/>
  <c r="AH155" i="245"/>
  <c r="AC156" i="245"/>
  <c r="Q157" i="245"/>
  <c r="AU157" i="245"/>
  <c r="AI158" i="245"/>
  <c r="W159" i="245"/>
  <c r="W160" i="245" s="1"/>
  <c r="H157" i="245"/>
  <c r="U155" i="245"/>
  <c r="AN155" i="245"/>
  <c r="AD156" i="245"/>
  <c r="G158" i="245"/>
  <c r="X159" i="245"/>
  <c r="X160" i="245" s="1"/>
  <c r="R155" i="245"/>
  <c r="AN157" i="245"/>
  <c r="S157" i="245"/>
  <c r="AO155" i="245"/>
  <c r="AF156" i="245"/>
  <c r="T157" i="245"/>
  <c r="H158" i="245"/>
  <c r="AK158" i="245"/>
  <c r="Y159" i="245"/>
  <c r="Y160" i="245" s="1"/>
  <c r="AB158" i="245"/>
  <c r="AJ158" i="245"/>
  <c r="AS155" i="245"/>
  <c r="AG156" i="245"/>
  <c r="U157" i="245"/>
  <c r="I158" i="245"/>
  <c r="AL158" i="245"/>
  <c r="Z159" i="245"/>
  <c r="Z160" i="245" s="1"/>
  <c r="N145" i="245"/>
  <c r="N146" i="245" s="1"/>
  <c r="N147" i="245" s="1"/>
  <c r="N148" i="245" s="1"/>
  <c r="N149" i="245"/>
  <c r="AQ145" i="245"/>
  <c r="AQ146" i="245" s="1"/>
  <c r="AQ147" i="245" s="1"/>
  <c r="AQ148" i="245" s="1"/>
  <c r="AQ149" i="245"/>
  <c r="J132" i="245"/>
  <c r="J133" i="245"/>
  <c r="P145" i="245"/>
  <c r="P146" i="245" s="1"/>
  <c r="P147" i="245" s="1"/>
  <c r="P148" i="245" s="1"/>
  <c r="P149" i="245"/>
  <c r="AR145" i="245"/>
  <c r="AR146" i="245" s="1"/>
  <c r="AR147" i="245" s="1"/>
  <c r="AR148" i="245" s="1"/>
  <c r="AR149" i="245"/>
  <c r="K132" i="245"/>
  <c r="K133" i="245"/>
  <c r="Q145" i="245"/>
  <c r="Q146" i="245" s="1"/>
  <c r="Q147" i="245" s="1"/>
  <c r="Q148" i="245" s="1"/>
  <c r="Q149" i="245"/>
  <c r="AS145" i="245"/>
  <c r="AS146" i="245" s="1"/>
  <c r="AS147" i="245" s="1"/>
  <c r="AS148" i="245" s="1"/>
  <c r="AS149" i="245"/>
  <c r="O132" i="245"/>
  <c r="O133" i="245"/>
  <c r="AT145" i="245"/>
  <c r="AT146" i="245" s="1"/>
  <c r="AT147" i="245" s="1"/>
  <c r="AT148" i="245" s="1"/>
  <c r="AT149" i="245"/>
  <c r="R145" i="245"/>
  <c r="R146" i="245" s="1"/>
  <c r="R147" i="245" s="1"/>
  <c r="R148" i="245" s="1"/>
  <c r="R149" i="245"/>
  <c r="W133" i="245"/>
  <c r="W132" i="245"/>
  <c r="P132" i="245"/>
  <c r="P133" i="245"/>
  <c r="T145" i="245"/>
  <c r="T146" i="245" s="1"/>
  <c r="T147" i="245" s="1"/>
  <c r="T148" i="245" s="1"/>
  <c r="T149" i="245"/>
  <c r="F146" i="245"/>
  <c r="F150" i="245"/>
  <c r="F68" i="245" s="1"/>
  <c r="U145" i="245"/>
  <c r="U146" i="245" s="1"/>
  <c r="U147" i="245" s="1"/>
  <c r="U148" i="245" s="1"/>
  <c r="U149" i="245"/>
  <c r="X133" i="245"/>
  <c r="X132" i="245"/>
  <c r="R133" i="245"/>
  <c r="R132" i="245"/>
  <c r="S133" i="245"/>
  <c r="S132" i="245"/>
  <c r="T133" i="245"/>
  <c r="T132" i="245"/>
  <c r="W145" i="245"/>
  <c r="W146" i="245" s="1"/>
  <c r="W147" i="245" s="1"/>
  <c r="W148" i="245" s="1"/>
  <c r="W149" i="245"/>
  <c r="V145" i="245"/>
  <c r="V146" i="245" s="1"/>
  <c r="V147" i="245" s="1"/>
  <c r="V148" i="245" s="1"/>
  <c r="V149" i="245"/>
  <c r="AP145" i="245"/>
  <c r="AP146" i="245" s="1"/>
  <c r="AP147" i="245" s="1"/>
  <c r="AP148" i="245" s="1"/>
  <c r="AP149" i="245"/>
  <c r="U132" i="245"/>
  <c r="U133" i="245"/>
  <c r="AC133" i="245"/>
  <c r="AC132" i="245"/>
  <c r="V133" i="245"/>
  <c r="V132" i="245"/>
  <c r="Q132" i="245"/>
  <c r="Q133" i="245"/>
  <c r="AD133" i="245"/>
  <c r="AD132" i="245"/>
  <c r="AB133" i="245"/>
  <c r="AB132" i="245"/>
  <c r="AE133" i="245"/>
  <c r="AE132" i="245"/>
  <c r="AA133" i="245"/>
  <c r="AA132" i="245"/>
  <c r="AF132" i="245"/>
  <c r="AF133" i="245"/>
  <c r="AG132" i="245"/>
  <c r="AG133" i="245"/>
  <c r="AL132" i="245"/>
  <c r="AL133" i="245"/>
  <c r="AH132" i="245"/>
  <c r="AH133" i="245"/>
  <c r="AM132" i="245"/>
  <c r="AM133" i="245"/>
  <c r="AQ132" i="245"/>
  <c r="AQ133" i="245"/>
  <c r="AJ132" i="245"/>
  <c r="AJ133" i="245"/>
  <c r="G132" i="245"/>
  <c r="G133" i="245"/>
  <c r="AI132" i="245"/>
  <c r="AI133" i="245"/>
  <c r="H132" i="245"/>
  <c r="H133" i="245"/>
  <c r="AR132" i="245"/>
  <c r="AR133" i="245"/>
  <c r="I132" i="245"/>
  <c r="I133" i="245"/>
  <c r="AK132" i="245"/>
  <c r="AK133" i="245"/>
  <c r="AS132" i="245"/>
  <c r="AS133" i="245"/>
  <c r="AT133" i="245"/>
  <c r="AT132" i="245"/>
  <c r="AN132" i="245"/>
  <c r="AN133" i="245"/>
  <c r="AU133" i="245"/>
  <c r="AU132" i="245"/>
  <c r="L132" i="245"/>
  <c r="L133" i="245"/>
  <c r="M132" i="245"/>
  <c r="M133" i="245"/>
  <c r="AO132" i="245"/>
  <c r="AO133" i="245"/>
  <c r="N132" i="245"/>
  <c r="N133" i="245"/>
  <c r="AP132" i="245"/>
  <c r="AP133" i="245"/>
  <c r="M170" i="245"/>
  <c r="AO170" i="245"/>
  <c r="W138" i="245"/>
  <c r="AA150" i="245"/>
  <c r="O166" i="245"/>
  <c r="AQ166" i="245"/>
  <c r="N170" i="245"/>
  <c r="AP170" i="245"/>
  <c r="AC171" i="245"/>
  <c r="O170" i="245"/>
  <c r="AQ170" i="245"/>
  <c r="Q166" i="245"/>
  <c r="AS166" i="245"/>
  <c r="P170" i="245"/>
  <c r="AR170" i="245"/>
  <c r="AG167" i="245"/>
  <c r="Q170" i="245"/>
  <c r="AS170" i="245"/>
  <c r="AH167" i="245"/>
  <c r="R170" i="245"/>
  <c r="AT170" i="245"/>
  <c r="T166" i="245"/>
  <c r="S170" i="245"/>
  <c r="AU170" i="245"/>
  <c r="AG150" i="245"/>
  <c r="U166" i="245"/>
  <c r="T170" i="245"/>
  <c r="Y132" i="245"/>
  <c r="N135" i="245"/>
  <c r="N136" i="245" s="1"/>
  <c r="N137" i="245" s="1"/>
  <c r="AP135" i="245"/>
  <c r="AP136" i="245" s="1"/>
  <c r="AP137" i="245" s="1"/>
  <c r="AH150" i="245"/>
  <c r="Y155" i="245"/>
  <c r="V166" i="245"/>
  <c r="U170" i="245"/>
  <c r="H171" i="245"/>
  <c r="AJ171" i="245"/>
  <c r="Z132" i="245"/>
  <c r="O135" i="245"/>
  <c r="O136" i="245" s="1"/>
  <c r="O137" i="245" s="1"/>
  <c r="AQ135" i="245"/>
  <c r="AQ136" i="245" s="1"/>
  <c r="AQ137" i="245" s="1"/>
  <c r="AF140" i="245"/>
  <c r="AF141" i="245" s="1"/>
  <c r="AG144" i="245"/>
  <c r="Z155" i="245"/>
  <c r="W166" i="245"/>
  <c r="J167" i="245"/>
  <c r="AL167" i="245"/>
  <c r="V170" i="245"/>
  <c r="I171" i="245"/>
  <c r="AK171" i="245"/>
  <c r="K167" i="245"/>
  <c r="AM167" i="245"/>
  <c r="W170" i="245"/>
  <c r="AG138" i="245"/>
  <c r="F142" i="245"/>
  <c r="AB155" i="245"/>
  <c r="Y166" i="245"/>
  <c r="L167" i="245"/>
  <c r="AN167" i="245"/>
  <c r="J150" i="245"/>
  <c r="AL150" i="245"/>
  <c r="AC155" i="245"/>
  <c r="Z166" i="245"/>
  <c r="M167" i="245"/>
  <c r="AO167" i="245"/>
  <c r="Y170" i="245"/>
  <c r="N173" i="245"/>
  <c r="AP173" i="245"/>
  <c r="S135" i="245"/>
  <c r="S136" i="245" s="1"/>
  <c r="S137" i="245" s="1"/>
  <c r="AU135" i="245"/>
  <c r="AU136" i="245" s="1"/>
  <c r="AU137" i="245" s="1"/>
  <c r="K150" i="245"/>
  <c r="AM150" i="245"/>
  <c r="AD155" i="245"/>
  <c r="AA166" i="245"/>
  <c r="N167" i="245"/>
  <c r="AP167" i="245"/>
  <c r="Z170" i="245"/>
  <c r="O173" i="245"/>
  <c r="AQ173" i="245"/>
  <c r="T135" i="245"/>
  <c r="T136" i="245" s="1"/>
  <c r="T137" i="245" s="1"/>
  <c r="I140" i="245"/>
  <c r="I141" i="245" s="1"/>
  <c r="AK140" i="245"/>
  <c r="AK141" i="245" s="1"/>
  <c r="J144" i="245"/>
  <c r="AL144" i="245"/>
  <c r="L150" i="245"/>
  <c r="AN150" i="245"/>
  <c r="AE155" i="245"/>
  <c r="AB166" i="245"/>
  <c r="O167" i="245"/>
  <c r="AQ167" i="245"/>
  <c r="AA170" i="245"/>
  <c r="U135" i="245"/>
  <c r="U136" i="245" s="1"/>
  <c r="U137" i="245" s="1"/>
  <c r="J140" i="245"/>
  <c r="J141" i="245" s="1"/>
  <c r="AL140" i="245"/>
  <c r="AL141" i="245" s="1"/>
  <c r="K144" i="245"/>
  <c r="AM144" i="245"/>
  <c r="M150" i="245"/>
  <c r="AO150" i="245"/>
  <c r="AF155" i="245"/>
  <c r="P167" i="245"/>
  <c r="AR167" i="245"/>
  <c r="Q173" i="245"/>
  <c r="AS173" i="245"/>
  <c r="K142" i="245"/>
  <c r="AM142" i="245"/>
  <c r="L144" i="245"/>
  <c r="AN144" i="245"/>
  <c r="N150" i="245"/>
  <c r="AP150" i="245"/>
  <c r="Q167" i="245"/>
  <c r="AS167" i="245"/>
  <c r="L142" i="245"/>
  <c r="AN140" i="245"/>
  <c r="AN141" i="245" s="1"/>
  <c r="AQ150" i="245"/>
  <c r="M140" i="245"/>
  <c r="M141" i="245" s="1"/>
  <c r="AO140" i="245"/>
  <c r="AO141" i="245" s="1"/>
  <c r="P150" i="245"/>
  <c r="AR150" i="245"/>
  <c r="G155" i="245"/>
  <c r="AI155" i="245"/>
  <c r="S167" i="245"/>
  <c r="AU167" i="245"/>
  <c r="T173" i="245"/>
  <c r="AO144" i="245"/>
  <c r="N140" i="245"/>
  <c r="N141" i="245" s="1"/>
  <c r="AP140" i="245"/>
  <c r="AP141" i="245" s="1"/>
  <c r="O144" i="245"/>
  <c r="AE149" i="245"/>
  <c r="Q150" i="245"/>
  <c r="AS150" i="245"/>
  <c r="H155" i="245"/>
  <c r="AJ155" i="245"/>
  <c r="T167" i="245"/>
  <c r="U173" i="245"/>
  <c r="O140" i="245"/>
  <c r="O141" i="245" s="1"/>
  <c r="AQ140" i="245"/>
  <c r="AQ141" i="245" s="1"/>
  <c r="R150" i="245"/>
  <c r="AT150" i="245"/>
  <c r="I155" i="245"/>
  <c r="AK155" i="245"/>
  <c r="U167" i="245"/>
  <c r="V173" i="245"/>
  <c r="M144" i="245"/>
  <c r="P140" i="245"/>
  <c r="P141" i="245" s="1"/>
  <c r="AR140" i="245"/>
  <c r="AR141" i="245" s="1"/>
  <c r="J155" i="245"/>
  <c r="AL155" i="245"/>
  <c r="V167" i="245"/>
  <c r="W173" i="245"/>
  <c r="Q140" i="245"/>
  <c r="Q141" i="245" s="1"/>
  <c r="AS140" i="245"/>
  <c r="AS141" i="245" s="1"/>
  <c r="F149" i="245"/>
  <c r="T150" i="245"/>
  <c r="K155" i="245"/>
  <c r="AM155" i="245"/>
  <c r="W167" i="245"/>
  <c r="X173" i="245"/>
  <c r="S142" i="245"/>
  <c r="AU142" i="245"/>
  <c r="T140" i="245"/>
  <c r="T141" i="245" s="1"/>
  <c r="AK149" i="245"/>
  <c r="W150" i="245"/>
  <c r="N155" i="245"/>
  <c r="AP155" i="245"/>
  <c r="AA173" i="245"/>
  <c r="U140" i="245"/>
  <c r="U141" i="245" s="1"/>
  <c r="O155" i="245"/>
  <c r="AQ155" i="245"/>
  <c r="AB173" i="245"/>
  <c r="V140" i="245"/>
  <c r="V141" i="245" s="1"/>
  <c r="P155" i="245"/>
  <c r="R157" i="245"/>
  <c r="E186" i="231"/>
  <c r="C186" i="231"/>
  <c r="AB149" i="245" l="1"/>
  <c r="AF149" i="245"/>
  <c r="AC145" i="245"/>
  <c r="AC146" i="245" s="1"/>
  <c r="AC147" i="245" s="1"/>
  <c r="AC148" i="245" s="1"/>
  <c r="AD149" i="245"/>
  <c r="AH149" i="245"/>
  <c r="Y149" i="245"/>
  <c r="AA149" i="245"/>
  <c r="H149" i="245"/>
  <c r="I149" i="245"/>
  <c r="G149" i="245"/>
  <c r="S149" i="245"/>
  <c r="AU149" i="245"/>
  <c r="AJ145" i="245"/>
  <c r="AJ146" i="245" s="1"/>
  <c r="AJ147" i="245" s="1"/>
  <c r="AJ148" i="245" s="1"/>
  <c r="AJ149" i="245"/>
  <c r="X149" i="245"/>
  <c r="Z149" i="245"/>
  <c r="AI145" i="245"/>
  <c r="AI146" i="245" s="1"/>
  <c r="AI147" i="245" s="1"/>
  <c r="AI148" i="245" s="1"/>
  <c r="AI149" i="245"/>
  <c r="AL149" i="245"/>
  <c r="AL145" i="245"/>
  <c r="AL146" i="245" s="1"/>
  <c r="AL147" i="245" s="1"/>
  <c r="AL148" i="245" s="1"/>
  <c r="AN145" i="245"/>
  <c r="AN146" i="245" s="1"/>
  <c r="AN147" i="245" s="1"/>
  <c r="AN148" i="245" s="1"/>
  <c r="AN149" i="245"/>
  <c r="L145" i="245"/>
  <c r="L146" i="245" s="1"/>
  <c r="L147" i="245" s="1"/>
  <c r="L148" i="245" s="1"/>
  <c r="L149" i="245"/>
  <c r="J149" i="245"/>
  <c r="J145" i="245"/>
  <c r="J146" i="245" s="1"/>
  <c r="J147" i="245" s="1"/>
  <c r="J148" i="245" s="1"/>
  <c r="AO145" i="245"/>
  <c r="AO146" i="245" s="1"/>
  <c r="AO147" i="245" s="1"/>
  <c r="AO148" i="245" s="1"/>
  <c r="AO149" i="245"/>
  <c r="O145" i="245"/>
  <c r="O146" i="245" s="1"/>
  <c r="O147" i="245" s="1"/>
  <c r="O148" i="245" s="1"/>
  <c r="O149" i="245"/>
  <c r="AG145" i="245"/>
  <c r="AG146" i="245" s="1"/>
  <c r="AG147" i="245" s="1"/>
  <c r="AG148" i="245" s="1"/>
  <c r="AG149" i="245"/>
  <c r="K149" i="245"/>
  <c r="K145" i="245"/>
  <c r="K146" i="245" s="1"/>
  <c r="K147" i="245" s="1"/>
  <c r="K148" i="245" s="1"/>
  <c r="AM149" i="245"/>
  <c r="AM145" i="245"/>
  <c r="AM146" i="245" s="1"/>
  <c r="AM147" i="245" s="1"/>
  <c r="AM148" i="245" s="1"/>
  <c r="M145" i="245"/>
  <c r="M146" i="245" s="1"/>
  <c r="M147" i="245" s="1"/>
  <c r="M148" i="245" s="1"/>
  <c r="M149" i="245"/>
  <c r="Q38" i="246" l="1"/>
  <c r="P38" i="246"/>
  <c r="O38" i="246"/>
  <c r="N38" i="246"/>
  <c r="M38" i="246"/>
  <c r="D39" i="237" l="1"/>
  <c r="D40" i="237"/>
  <c r="D41" i="237"/>
  <c r="D42" i="237"/>
  <c r="D43" i="237"/>
  <c r="D44" i="237"/>
  <c r="D45" i="237"/>
  <c r="D46" i="237"/>
  <c r="D47" i="237"/>
  <c r="D48" i="237"/>
  <c r="D49" i="237"/>
  <c r="D50" i="237"/>
  <c r="D51" i="237"/>
  <c r="D52" i="237"/>
  <c r="D38" i="237"/>
  <c r="D83" i="231" l="1"/>
  <c r="D82" i="231"/>
  <c r="C31" i="246" l="1"/>
  <c r="B31" i="246"/>
  <c r="Q5" i="254" l="1"/>
  <c r="Q6" i="254"/>
  <c r="Q7" i="254"/>
  <c r="Q8" i="254"/>
  <c r="R8" i="254" s="1"/>
  <c r="Q9" i="254"/>
  <c r="U12" i="254"/>
  <c r="R11" i="254" s="1"/>
  <c r="Q13" i="254"/>
  <c r="R13" i="254" s="1"/>
  <c r="Q14" i="254"/>
  <c r="AE18" i="254"/>
  <c r="AG18" i="254"/>
  <c r="AH18" i="254"/>
  <c r="AI18" i="254" s="1"/>
  <c r="AK18" i="254" s="1"/>
  <c r="AG19" i="254"/>
  <c r="AH19" i="254" s="1"/>
  <c r="AI19" i="254" s="1"/>
  <c r="AK19" i="254" s="1"/>
  <c r="G23" i="254"/>
  <c r="I23" i="254"/>
  <c r="K23" i="254"/>
  <c r="L23" i="254"/>
  <c r="M23" i="254"/>
  <c r="G25" i="254"/>
  <c r="K25" i="254"/>
  <c r="L25" i="254"/>
  <c r="M25" i="254"/>
  <c r="C27" i="254"/>
  <c r="K28" i="254"/>
  <c r="L28" i="254"/>
  <c r="M28" i="254"/>
  <c r="W30" i="254"/>
  <c r="Q10" i="254" s="1"/>
  <c r="X30" i="254"/>
  <c r="W31" i="254"/>
  <c r="X31" i="254"/>
  <c r="W32" i="254"/>
  <c r="X32" i="254"/>
  <c r="W33" i="254"/>
  <c r="X33" i="254"/>
  <c r="W34" i="254"/>
  <c r="X34" i="254"/>
  <c r="B42" i="254"/>
  <c r="C42" i="254"/>
  <c r="K42" i="254" s="1"/>
  <c r="K43" i="254" s="1"/>
  <c r="K44" i="254" s="1"/>
  <c r="K45" i="254" s="1"/>
  <c r="K46" i="254" s="1"/>
  <c r="K47" i="254" s="1"/>
  <c r="K48" i="254" s="1"/>
  <c r="K49" i="254" s="1"/>
  <c r="K50" i="254" s="1"/>
  <c r="K51" i="254" s="1"/>
  <c r="K52" i="254" s="1"/>
  <c r="K53" i="254" s="1"/>
  <c r="K54" i="254" s="1"/>
  <c r="K55" i="254" s="1"/>
  <c r="K56" i="254" s="1"/>
  <c r="K57" i="254" s="1"/>
  <c r="D42" i="254"/>
  <c r="L42" i="254" s="1"/>
  <c r="L43" i="254" s="1"/>
  <c r="L44" i="254" s="1"/>
  <c r="L45" i="254" s="1"/>
  <c r="L46" i="254" s="1"/>
  <c r="L47" i="254" s="1"/>
  <c r="L48" i="254" s="1"/>
  <c r="L49" i="254" s="1"/>
  <c r="L50" i="254" s="1"/>
  <c r="L51" i="254" s="1"/>
  <c r="L52" i="254" s="1"/>
  <c r="L53" i="254" s="1"/>
  <c r="L54" i="254" s="1"/>
  <c r="L55" i="254" s="1"/>
  <c r="L56" i="254" s="1"/>
  <c r="L57" i="254" s="1"/>
  <c r="E42" i="254"/>
  <c r="E43" i="254" s="1"/>
  <c r="E44" i="254" s="1"/>
  <c r="E45" i="254" s="1"/>
  <c r="E46" i="254" s="1"/>
  <c r="E47" i="254" s="1"/>
  <c r="E48" i="254" s="1"/>
  <c r="E49" i="254" s="1"/>
  <c r="E50" i="254" s="1"/>
  <c r="E51" i="254" s="1"/>
  <c r="E52" i="254" s="1"/>
  <c r="E53" i="254" s="1"/>
  <c r="E54" i="254" s="1"/>
  <c r="E55" i="254" s="1"/>
  <c r="E56" i="254" s="1"/>
  <c r="E57" i="254" s="1"/>
  <c r="M42" i="254"/>
  <c r="N42" i="254"/>
  <c r="N43" i="254" s="1"/>
  <c r="N44" i="254" s="1"/>
  <c r="N45" i="254" s="1"/>
  <c r="N46" i="254" s="1"/>
  <c r="N47" i="254" s="1"/>
  <c r="N48" i="254" s="1"/>
  <c r="N49" i="254" s="1"/>
  <c r="N50" i="254" s="1"/>
  <c r="N51" i="254" s="1"/>
  <c r="N52" i="254" s="1"/>
  <c r="N53" i="254" s="1"/>
  <c r="N54" i="254" s="1"/>
  <c r="N55" i="254" s="1"/>
  <c r="N56" i="254" s="1"/>
  <c r="N57" i="254" s="1"/>
  <c r="R42" i="254"/>
  <c r="R43" i="254" s="1"/>
  <c r="R44" i="254" s="1"/>
  <c r="R45" i="254" s="1"/>
  <c r="R46" i="254" s="1"/>
  <c r="R47" i="254" s="1"/>
  <c r="R48" i="254" s="1"/>
  <c r="R49" i="254" s="1"/>
  <c r="R50" i="254" s="1"/>
  <c r="R51" i="254" s="1"/>
  <c r="R52" i="254" s="1"/>
  <c r="R53" i="254" s="1"/>
  <c r="R54" i="254" s="1"/>
  <c r="R55" i="254" s="1"/>
  <c r="R56" i="254" s="1"/>
  <c r="R57" i="254" s="1"/>
  <c r="T42" i="254"/>
  <c r="T43" i="254" s="1"/>
  <c r="T44" i="254" s="1"/>
  <c r="T45" i="254" s="1"/>
  <c r="T46" i="254" s="1"/>
  <c r="T47" i="254" s="1"/>
  <c r="T48" i="254" s="1"/>
  <c r="T49" i="254" s="1"/>
  <c r="T50" i="254" s="1"/>
  <c r="T51" i="254" s="1"/>
  <c r="T52" i="254" s="1"/>
  <c r="T53" i="254" s="1"/>
  <c r="T54" i="254" s="1"/>
  <c r="T55" i="254" s="1"/>
  <c r="T56" i="254" s="1"/>
  <c r="T57" i="254" s="1"/>
  <c r="V42" i="254"/>
  <c r="V43" i="254" s="1"/>
  <c r="V44" i="254" s="1"/>
  <c r="V45" i="254" s="1"/>
  <c r="V46" i="254" s="1"/>
  <c r="V47" i="254" s="1"/>
  <c r="V48" i="254" s="1"/>
  <c r="V49" i="254" s="1"/>
  <c r="V50" i="254" s="1"/>
  <c r="V51" i="254" s="1"/>
  <c r="V52" i="254" s="1"/>
  <c r="V53" i="254" s="1"/>
  <c r="V54" i="254" s="1"/>
  <c r="V55" i="254" s="1"/>
  <c r="V56" i="254" s="1"/>
  <c r="V57" i="254" s="1"/>
  <c r="W42" i="254"/>
  <c r="W43" i="254" s="1"/>
  <c r="W44" i="254" s="1"/>
  <c r="W45" i="254" s="1"/>
  <c r="W46" i="254" s="1"/>
  <c r="W47" i="254" s="1"/>
  <c r="W48" i="254" s="1"/>
  <c r="W49" i="254" s="1"/>
  <c r="W50" i="254" s="1"/>
  <c r="W51" i="254" s="1"/>
  <c r="W52" i="254" s="1"/>
  <c r="W53" i="254" s="1"/>
  <c r="W54" i="254" s="1"/>
  <c r="W55" i="254" s="1"/>
  <c r="W56" i="254" s="1"/>
  <c r="W57" i="254" s="1"/>
  <c r="B43" i="254"/>
  <c r="B44" i="254" s="1"/>
  <c r="B45" i="254" s="1"/>
  <c r="B46" i="254" s="1"/>
  <c r="B47" i="254" s="1"/>
  <c r="B48" i="254" s="1"/>
  <c r="B49" i="254" s="1"/>
  <c r="B50" i="254" s="1"/>
  <c r="B51" i="254" s="1"/>
  <c r="B52" i="254" s="1"/>
  <c r="B53" i="254" s="1"/>
  <c r="B54" i="254" s="1"/>
  <c r="B55" i="254" s="1"/>
  <c r="B56" i="254" s="1"/>
  <c r="B57" i="254" s="1"/>
  <c r="C43" i="254"/>
  <c r="C44" i="254" s="1"/>
  <c r="C45" i="254" s="1"/>
  <c r="C46" i="254" s="1"/>
  <c r="C47" i="254" s="1"/>
  <c r="C48" i="254" s="1"/>
  <c r="C49" i="254" s="1"/>
  <c r="C50" i="254" s="1"/>
  <c r="C51" i="254" s="1"/>
  <c r="C52" i="254" s="1"/>
  <c r="C53" i="254" s="1"/>
  <c r="C54" i="254" s="1"/>
  <c r="C55" i="254" s="1"/>
  <c r="C56" i="254" s="1"/>
  <c r="C57" i="254" s="1"/>
  <c r="F43" i="254"/>
  <c r="F44" i="254" s="1"/>
  <c r="F45" i="254" s="1"/>
  <c r="F46" i="254" s="1"/>
  <c r="F47" i="254" s="1"/>
  <c r="F48" i="254" s="1"/>
  <c r="F49" i="254" s="1"/>
  <c r="F50" i="254" s="1"/>
  <c r="F51" i="254" s="1"/>
  <c r="F52" i="254" s="1"/>
  <c r="F53" i="254" s="1"/>
  <c r="F54" i="254" s="1"/>
  <c r="F55" i="254" s="1"/>
  <c r="F56" i="254" s="1"/>
  <c r="F57" i="254" s="1"/>
  <c r="G43" i="254"/>
  <c r="G44" i="254" s="1"/>
  <c r="G45" i="254" s="1"/>
  <c r="G46" i="254" s="1"/>
  <c r="G47" i="254" s="1"/>
  <c r="G48" i="254" s="1"/>
  <c r="G49" i="254" s="1"/>
  <c r="G50" i="254" s="1"/>
  <c r="G51" i="254" s="1"/>
  <c r="G52" i="254" s="1"/>
  <c r="G53" i="254" s="1"/>
  <c r="G54" i="254" s="1"/>
  <c r="G55" i="254" s="1"/>
  <c r="G56" i="254" s="1"/>
  <c r="G57" i="254" s="1"/>
  <c r="J43" i="254"/>
  <c r="J44" i="254" s="1"/>
  <c r="J45" i="254" s="1"/>
  <c r="J46" i="254" s="1"/>
  <c r="J47" i="254" s="1"/>
  <c r="J48" i="254" s="1"/>
  <c r="J49" i="254" s="1"/>
  <c r="J50" i="254" s="1"/>
  <c r="J51" i="254" s="1"/>
  <c r="J52" i="254" s="1"/>
  <c r="J53" i="254" s="1"/>
  <c r="J54" i="254" s="1"/>
  <c r="J55" i="254" s="1"/>
  <c r="J56" i="254" s="1"/>
  <c r="J57" i="254" s="1"/>
  <c r="O43" i="254"/>
  <c r="O44" i="254" s="1"/>
  <c r="O45" i="254" s="1"/>
  <c r="O46" i="254" s="1"/>
  <c r="O47" i="254" s="1"/>
  <c r="O48" i="254" s="1"/>
  <c r="O49" i="254" s="1"/>
  <c r="O50" i="254" s="1"/>
  <c r="O51" i="254" s="1"/>
  <c r="O52" i="254" s="1"/>
  <c r="O53" i="254" s="1"/>
  <c r="O54" i="254" s="1"/>
  <c r="O55" i="254" s="1"/>
  <c r="O56" i="254" s="1"/>
  <c r="O57" i="254" s="1"/>
  <c r="S43" i="254"/>
  <c r="S44" i="254" s="1"/>
  <c r="S45" i="254" s="1"/>
  <c r="S46" i="254" s="1"/>
  <c r="S47" i="254" s="1"/>
  <c r="S48" i="254" s="1"/>
  <c r="S49" i="254" s="1"/>
  <c r="S50" i="254" s="1"/>
  <c r="S51" i="254" s="1"/>
  <c r="S52" i="254" s="1"/>
  <c r="S53" i="254" s="1"/>
  <c r="S54" i="254" s="1"/>
  <c r="S55" i="254" s="1"/>
  <c r="S56" i="254" s="1"/>
  <c r="S57" i="254" s="1"/>
  <c r="U43" i="254"/>
  <c r="U44" i="254" s="1"/>
  <c r="U45" i="254" s="1"/>
  <c r="U46" i="254" s="1"/>
  <c r="U47" i="254" s="1"/>
  <c r="U48" i="254" s="1"/>
  <c r="U49" i="254" s="1"/>
  <c r="U50" i="254" s="1"/>
  <c r="U51" i="254" s="1"/>
  <c r="U52" i="254" s="1"/>
  <c r="U53" i="254" s="1"/>
  <c r="U54" i="254" s="1"/>
  <c r="U55" i="254" s="1"/>
  <c r="U56" i="254" s="1"/>
  <c r="U57" i="254" s="1"/>
  <c r="D91" i="254"/>
  <c r="AB136" i="254"/>
  <c r="AC136" i="254"/>
  <c r="AD136" i="254"/>
  <c r="AB137" i="254"/>
  <c r="AC137" i="254"/>
  <c r="AD137" i="254"/>
  <c r="AB138" i="254"/>
  <c r="AC138" i="254"/>
  <c r="AD138" i="254"/>
  <c r="AB139" i="254"/>
  <c r="AC139" i="254"/>
  <c r="AD139" i="254"/>
  <c r="F140" i="254"/>
  <c r="F142" i="254" s="1"/>
  <c r="F143" i="254" s="1"/>
  <c r="F144" i="254" s="1"/>
  <c r="AB140" i="254"/>
  <c r="AC140" i="254"/>
  <c r="AD140" i="254"/>
  <c r="D141" i="254"/>
  <c r="D142" i="254" s="1"/>
  <c r="D143" i="254" s="1"/>
  <c r="D144" i="254" s="1"/>
  <c r="E141" i="254"/>
  <c r="AB141" i="254"/>
  <c r="AC141" i="254"/>
  <c r="AD141" i="254"/>
  <c r="E142" i="254"/>
  <c r="E143" i="254" s="1"/>
  <c r="E144" i="254" s="1"/>
  <c r="G142" i="254"/>
  <c r="G143" i="254" s="1"/>
  <c r="G144" i="254" s="1"/>
  <c r="AB142" i="254"/>
  <c r="AC142" i="254"/>
  <c r="AD142" i="254"/>
  <c r="AB143" i="254"/>
  <c r="AC143" i="254"/>
  <c r="AD143" i="254"/>
  <c r="AB144" i="254"/>
  <c r="AC144" i="254"/>
  <c r="AD144" i="254"/>
  <c r="AB145" i="254"/>
  <c r="AC145" i="254"/>
  <c r="AD145" i="254"/>
  <c r="AB146" i="254"/>
  <c r="AC146" i="254"/>
  <c r="AD146" i="254"/>
  <c r="AB147" i="254"/>
  <c r="AC147" i="254"/>
  <c r="AD147" i="254"/>
  <c r="AB148" i="254"/>
  <c r="AC148" i="254"/>
  <c r="AD148" i="254"/>
  <c r="AB149" i="254"/>
  <c r="AC149" i="254"/>
  <c r="AD149" i="254"/>
  <c r="AB150" i="254"/>
  <c r="AC150" i="254"/>
  <c r="AD150" i="254"/>
  <c r="AB151" i="254"/>
  <c r="AC151" i="254"/>
  <c r="AD151" i="254"/>
  <c r="AB152" i="254"/>
  <c r="AC152" i="254"/>
  <c r="AD152" i="254"/>
  <c r="AB153" i="254"/>
  <c r="AC153" i="254"/>
  <c r="AD153" i="254"/>
  <c r="AB154" i="254"/>
  <c r="AC154" i="254"/>
  <c r="AD154" i="254"/>
  <c r="AB155" i="254"/>
  <c r="AC155" i="254"/>
  <c r="AD155" i="254"/>
  <c r="I14" i="253"/>
  <c r="J14" i="253"/>
  <c r="K14" i="253"/>
  <c r="L14" i="253"/>
  <c r="M14" i="253"/>
  <c r="I15" i="253"/>
  <c r="J15" i="253"/>
  <c r="K15" i="253"/>
  <c r="L15" i="253"/>
  <c r="M15" i="253"/>
  <c r="I16" i="253"/>
  <c r="J16" i="253"/>
  <c r="K16" i="253"/>
  <c r="L16" i="253"/>
  <c r="M16" i="253"/>
  <c r="I17" i="253"/>
  <c r="J17" i="253"/>
  <c r="K17" i="253"/>
  <c r="L17" i="253"/>
  <c r="M17" i="253"/>
  <c r="I18" i="253"/>
  <c r="J18" i="253"/>
  <c r="K18" i="253"/>
  <c r="L18" i="253"/>
  <c r="M18" i="253"/>
  <c r="I19" i="253"/>
  <c r="J19" i="253"/>
  <c r="K19" i="253"/>
  <c r="L19" i="253"/>
  <c r="M19" i="253"/>
  <c r="I20" i="253"/>
  <c r="J20" i="253"/>
  <c r="K20" i="253"/>
  <c r="L20" i="253"/>
  <c r="M20" i="253"/>
  <c r="I21" i="253"/>
  <c r="J21" i="253"/>
  <c r="K21" i="253"/>
  <c r="L21" i="253"/>
  <c r="M21" i="253"/>
  <c r="I22" i="253"/>
  <c r="J22" i="253"/>
  <c r="K22" i="253"/>
  <c r="L22" i="253"/>
  <c r="M22" i="253"/>
  <c r="I23" i="253"/>
  <c r="J23" i="253"/>
  <c r="K23" i="253"/>
  <c r="L23" i="253"/>
  <c r="M23" i="253"/>
  <c r="I24" i="253"/>
  <c r="J24" i="253"/>
  <c r="K24" i="253"/>
  <c r="L24" i="253"/>
  <c r="M24" i="253"/>
  <c r="I25" i="253"/>
  <c r="J25" i="253"/>
  <c r="K25" i="253"/>
  <c r="L25" i="253"/>
  <c r="M25" i="253"/>
  <c r="I26" i="253"/>
  <c r="J26" i="253"/>
  <c r="K26" i="253"/>
  <c r="L26" i="253"/>
  <c r="M26" i="253"/>
  <c r="I27" i="253"/>
  <c r="J27" i="253"/>
  <c r="K27" i="253"/>
  <c r="L27" i="253"/>
  <c r="M27" i="253"/>
  <c r="I28" i="253"/>
  <c r="J28" i="253"/>
  <c r="K28" i="253"/>
  <c r="L28" i="253"/>
  <c r="M28" i="253"/>
  <c r="I29" i="253"/>
  <c r="J29" i="253"/>
  <c r="K29" i="253"/>
  <c r="L29" i="253"/>
  <c r="M29" i="253"/>
  <c r="I30" i="253"/>
  <c r="J30" i="253"/>
  <c r="K30" i="253"/>
  <c r="L30" i="253"/>
  <c r="M30" i="253"/>
  <c r="I31" i="253"/>
  <c r="J31" i="253"/>
  <c r="K31" i="253"/>
  <c r="L31" i="253"/>
  <c r="M31" i="253"/>
  <c r="I32" i="253"/>
  <c r="J32" i="253"/>
  <c r="K32" i="253"/>
  <c r="L32" i="253"/>
  <c r="M32" i="253"/>
  <c r="I33" i="253"/>
  <c r="J33" i="253"/>
  <c r="K33" i="253"/>
  <c r="L33" i="253"/>
  <c r="M33" i="253"/>
  <c r="I34" i="253"/>
  <c r="J34" i="253"/>
  <c r="K34" i="253"/>
  <c r="L34" i="253"/>
  <c r="M34" i="253"/>
  <c r="I35" i="253"/>
  <c r="J35" i="253"/>
  <c r="K35" i="253"/>
  <c r="L35" i="253"/>
  <c r="M35" i="253"/>
  <c r="I36" i="253"/>
  <c r="J36" i="253"/>
  <c r="K36" i="253"/>
  <c r="L36" i="253"/>
  <c r="M36" i="253"/>
  <c r="I37" i="253"/>
  <c r="J37" i="253"/>
  <c r="K37" i="253"/>
  <c r="L37" i="253"/>
  <c r="M37" i="253"/>
  <c r="I38" i="253"/>
  <c r="J38" i="253"/>
  <c r="K38" i="253"/>
  <c r="L38" i="253"/>
  <c r="M38" i="253"/>
  <c r="I39" i="253"/>
  <c r="J39" i="253"/>
  <c r="K39" i="253"/>
  <c r="L39" i="253"/>
  <c r="M39" i="253"/>
  <c r="I40" i="253"/>
  <c r="J40" i="253"/>
  <c r="K40" i="253"/>
  <c r="L40" i="253"/>
  <c r="M40" i="253"/>
  <c r="I41" i="253"/>
  <c r="J41" i="253"/>
  <c r="K41" i="253"/>
  <c r="L41" i="253"/>
  <c r="M41" i="253"/>
  <c r="I52" i="253"/>
  <c r="J52" i="253"/>
  <c r="K52" i="253"/>
  <c r="L52" i="253"/>
  <c r="M52" i="253"/>
  <c r="I53" i="253"/>
  <c r="J53" i="253"/>
  <c r="K53" i="253"/>
  <c r="L53" i="253"/>
  <c r="M53" i="253"/>
  <c r="I54" i="253"/>
  <c r="J54" i="253"/>
  <c r="K54" i="253"/>
  <c r="L54" i="253"/>
  <c r="M54" i="253"/>
  <c r="I55" i="253"/>
  <c r="J55" i="253"/>
  <c r="K55" i="253"/>
  <c r="L55" i="253"/>
  <c r="M55" i="253"/>
  <c r="I56" i="253"/>
  <c r="J56" i="253"/>
  <c r="K56" i="253"/>
  <c r="L56" i="253"/>
  <c r="M56" i="253"/>
  <c r="I57" i="253"/>
  <c r="J57" i="253"/>
  <c r="K57" i="253"/>
  <c r="L57" i="253"/>
  <c r="M57" i="253"/>
  <c r="I58" i="253"/>
  <c r="J58" i="253"/>
  <c r="K58" i="253"/>
  <c r="L58" i="253"/>
  <c r="M58" i="253"/>
  <c r="I59" i="253"/>
  <c r="J59" i="253"/>
  <c r="K59" i="253"/>
  <c r="L59" i="253"/>
  <c r="M59" i="253"/>
  <c r="I60" i="253"/>
  <c r="J60" i="253"/>
  <c r="K60" i="253"/>
  <c r="L60" i="253"/>
  <c r="M60" i="253"/>
  <c r="I61" i="253"/>
  <c r="J61" i="253"/>
  <c r="K61" i="253"/>
  <c r="L61" i="253"/>
  <c r="M61" i="253"/>
  <c r="I62" i="253"/>
  <c r="J62" i="253"/>
  <c r="K62" i="253"/>
  <c r="L62" i="253"/>
  <c r="M62" i="253"/>
  <c r="I63" i="253"/>
  <c r="J63" i="253"/>
  <c r="K63" i="253"/>
  <c r="L63" i="253"/>
  <c r="M63" i="253"/>
  <c r="I64" i="253"/>
  <c r="J64" i="253"/>
  <c r="K64" i="253"/>
  <c r="L64" i="253"/>
  <c r="M64" i="253"/>
  <c r="I65" i="253"/>
  <c r="J65" i="253"/>
  <c r="K65" i="253"/>
  <c r="L65" i="253"/>
  <c r="M65" i="253"/>
  <c r="I66" i="253"/>
  <c r="J66" i="253"/>
  <c r="K66" i="253"/>
  <c r="L66" i="253"/>
  <c r="M66" i="253"/>
  <c r="I67" i="253"/>
  <c r="J67" i="253"/>
  <c r="K67" i="253"/>
  <c r="L67" i="253"/>
  <c r="M67" i="253"/>
  <c r="I68" i="253"/>
  <c r="J68" i="253"/>
  <c r="K68" i="253"/>
  <c r="L68" i="253"/>
  <c r="M68" i="253"/>
  <c r="I69" i="253"/>
  <c r="J69" i="253"/>
  <c r="K69" i="253"/>
  <c r="L69" i="253"/>
  <c r="M69" i="253"/>
  <c r="I70" i="253"/>
  <c r="J70" i="253"/>
  <c r="K70" i="253"/>
  <c r="L70" i="253"/>
  <c r="M70" i="253"/>
  <c r="I71" i="253"/>
  <c r="J71" i="253"/>
  <c r="K71" i="253"/>
  <c r="L71" i="253"/>
  <c r="M71" i="253"/>
  <c r="I72" i="253"/>
  <c r="J72" i="253"/>
  <c r="K72" i="253"/>
  <c r="L72" i="253"/>
  <c r="M72" i="253"/>
  <c r="I73" i="253"/>
  <c r="J73" i="253"/>
  <c r="K73" i="253"/>
  <c r="L73" i="253"/>
  <c r="M73" i="253"/>
  <c r="I74" i="253"/>
  <c r="J74" i="253"/>
  <c r="K74" i="253"/>
  <c r="L74" i="253"/>
  <c r="M74" i="253"/>
  <c r="I75" i="253"/>
  <c r="J75" i="253"/>
  <c r="K75" i="253"/>
  <c r="L75" i="253"/>
  <c r="M75" i="253"/>
  <c r="I76" i="253"/>
  <c r="J76" i="253"/>
  <c r="K76" i="253"/>
  <c r="L76" i="253"/>
  <c r="M76" i="253"/>
  <c r="I77" i="253"/>
  <c r="J77" i="253"/>
  <c r="K77" i="253"/>
  <c r="L77" i="253"/>
  <c r="M77" i="253"/>
  <c r="I78" i="253"/>
  <c r="J78" i="253"/>
  <c r="K78" i="253"/>
  <c r="L78" i="253"/>
  <c r="M78" i="253"/>
  <c r="I79" i="253"/>
  <c r="J79" i="253"/>
  <c r="K79" i="253"/>
  <c r="L79" i="253"/>
  <c r="M79" i="253"/>
  <c r="D23" i="247"/>
  <c r="D24" i="247"/>
  <c r="D28" i="247"/>
  <c r="D29" i="247"/>
  <c r="D30" i="247"/>
  <c r="D36" i="247"/>
  <c r="E36" i="247"/>
  <c r="F36" i="247"/>
  <c r="F37" i="247"/>
  <c r="D38" i="247"/>
  <c r="E38" i="247"/>
  <c r="F38" i="247"/>
  <c r="G60" i="246"/>
  <c r="AH37" i="246" s="1"/>
  <c r="G59" i="246"/>
  <c r="G58" i="246"/>
  <c r="AH35" i="246" s="1"/>
  <c r="G57" i="246"/>
  <c r="AH34" i="246" s="1"/>
  <c r="G56" i="246"/>
  <c r="AH33" i="246" s="1"/>
  <c r="G55" i="246"/>
  <c r="AH32" i="246" s="1"/>
  <c r="D40" i="246"/>
  <c r="D39" i="246"/>
  <c r="L37" i="246"/>
  <c r="K37" i="246"/>
  <c r="J37" i="246"/>
  <c r="I37" i="246"/>
  <c r="H37" i="246"/>
  <c r="F37" i="246"/>
  <c r="AH36" i="246"/>
  <c r="L36" i="246"/>
  <c r="K36" i="246"/>
  <c r="J36" i="246"/>
  <c r="I36" i="246"/>
  <c r="H36" i="246"/>
  <c r="F36" i="246"/>
  <c r="L35" i="246"/>
  <c r="K35" i="246"/>
  <c r="J35" i="246"/>
  <c r="I35" i="246"/>
  <c r="H35" i="246"/>
  <c r="F35" i="246"/>
  <c r="L34" i="246"/>
  <c r="K34" i="246"/>
  <c r="J34" i="246"/>
  <c r="I34" i="246"/>
  <c r="H34" i="246"/>
  <c r="F34" i="246"/>
  <c r="L33" i="246"/>
  <c r="K33" i="246"/>
  <c r="J33" i="246"/>
  <c r="I33" i="246"/>
  <c r="H33" i="246"/>
  <c r="F33" i="246"/>
  <c r="L32" i="246"/>
  <c r="K32" i="246"/>
  <c r="J32" i="246"/>
  <c r="I32" i="246"/>
  <c r="H32" i="246"/>
  <c r="F32" i="246"/>
  <c r="AW31" i="246"/>
  <c r="AD31" i="246" s="1"/>
  <c r="AV31" i="246"/>
  <c r="AA31" i="246" s="1"/>
  <c r="E31" i="246"/>
  <c r="AF31" i="246" l="1"/>
  <c r="H42" i="254"/>
  <c r="H43" i="254" s="1"/>
  <c r="H44" i="254" s="1"/>
  <c r="H45" i="254" s="1"/>
  <c r="H46" i="254" s="1"/>
  <c r="H47" i="254" s="1"/>
  <c r="H48" i="254" s="1"/>
  <c r="H49" i="254" s="1"/>
  <c r="H50" i="254" s="1"/>
  <c r="H51" i="254" s="1"/>
  <c r="H52" i="254" s="1"/>
  <c r="H53" i="254" s="1"/>
  <c r="H54" i="254" s="1"/>
  <c r="H55" i="254" s="1"/>
  <c r="H56" i="254" s="1"/>
  <c r="H57" i="254" s="1"/>
  <c r="R12" i="254"/>
  <c r="R6" i="254"/>
  <c r="R14" i="254"/>
  <c r="Y42" i="254"/>
  <c r="Y43" i="254" s="1"/>
  <c r="Y44" i="254" s="1"/>
  <c r="Y45" i="254" s="1"/>
  <c r="Y46" i="254" s="1"/>
  <c r="Y47" i="254" s="1"/>
  <c r="Y48" i="254" s="1"/>
  <c r="Y49" i="254" s="1"/>
  <c r="Y50" i="254" s="1"/>
  <c r="Y51" i="254" s="1"/>
  <c r="Y52" i="254" s="1"/>
  <c r="Y53" i="254" s="1"/>
  <c r="Y54" i="254" s="1"/>
  <c r="Y55" i="254" s="1"/>
  <c r="Y56" i="254" s="1"/>
  <c r="Y57" i="254" s="1"/>
  <c r="AE31" i="246"/>
  <c r="AL34" i="246"/>
  <c r="W31" i="246"/>
  <c r="Z31" i="246"/>
  <c r="X31" i="246"/>
  <c r="Y31" i="246"/>
  <c r="AC31" i="246"/>
  <c r="AB31" i="246"/>
  <c r="AL37" i="246"/>
  <c r="Q42" i="254"/>
  <c r="Q43" i="254" s="1"/>
  <c r="Q44" i="254" s="1"/>
  <c r="Q45" i="254" s="1"/>
  <c r="Q46" i="254" s="1"/>
  <c r="Q47" i="254" s="1"/>
  <c r="Q48" i="254" s="1"/>
  <c r="Q49" i="254" s="1"/>
  <c r="Q50" i="254" s="1"/>
  <c r="Q51" i="254" s="1"/>
  <c r="Q52" i="254" s="1"/>
  <c r="Q53" i="254" s="1"/>
  <c r="Q54" i="254" s="1"/>
  <c r="Q55" i="254" s="1"/>
  <c r="Q56" i="254" s="1"/>
  <c r="Q57" i="254" s="1"/>
  <c r="I42" i="254"/>
  <c r="G22" i="247"/>
  <c r="E24" i="247" s="1"/>
  <c r="R9" i="254"/>
  <c r="R10" i="254"/>
  <c r="R7" i="254"/>
  <c r="R5" i="254"/>
  <c r="X42" i="254"/>
  <c r="X43" i="254" s="1"/>
  <c r="X44" i="254" s="1"/>
  <c r="X45" i="254" s="1"/>
  <c r="X46" i="254" s="1"/>
  <c r="X47" i="254" s="1"/>
  <c r="X48" i="254" s="1"/>
  <c r="X49" i="254" s="1"/>
  <c r="X50" i="254" s="1"/>
  <c r="X51" i="254" s="1"/>
  <c r="X52" i="254" s="1"/>
  <c r="X53" i="254" s="1"/>
  <c r="X54" i="254" s="1"/>
  <c r="X55" i="254" s="1"/>
  <c r="X56" i="254" s="1"/>
  <c r="X57" i="254" s="1"/>
  <c r="I43" i="254"/>
  <c r="I44" i="254" s="1"/>
  <c r="I45" i="254" s="1"/>
  <c r="I46" i="254" s="1"/>
  <c r="I47" i="254" s="1"/>
  <c r="I48" i="254" s="1"/>
  <c r="I49" i="254" s="1"/>
  <c r="I50" i="254" s="1"/>
  <c r="I51" i="254" s="1"/>
  <c r="I52" i="254" s="1"/>
  <c r="I53" i="254" s="1"/>
  <c r="I54" i="254" s="1"/>
  <c r="I55" i="254" s="1"/>
  <c r="I56" i="254" s="1"/>
  <c r="I57" i="254" s="1"/>
  <c r="G152" i="254"/>
  <c r="G173" i="254" s="1"/>
  <c r="G153" i="254"/>
  <c r="G150" i="254"/>
  <c r="G156" i="254" s="1"/>
  <c r="G151" i="254"/>
  <c r="G163" i="254" s="1"/>
  <c r="F153" i="254"/>
  <c r="F150" i="254"/>
  <c r="F156" i="254" s="1"/>
  <c r="F157" i="254" s="1"/>
  <c r="F151" i="254"/>
  <c r="F163" i="254" s="1"/>
  <c r="F152" i="254"/>
  <c r="F173" i="254" s="1"/>
  <c r="E150" i="254"/>
  <c r="E156" i="254" s="1"/>
  <c r="E151" i="254"/>
  <c r="E163" i="254" s="1"/>
  <c r="E153" i="254"/>
  <c r="E152" i="254"/>
  <c r="E173" i="254" s="1"/>
  <c r="D150" i="254"/>
  <c r="D156" i="254" s="1"/>
  <c r="D151" i="254"/>
  <c r="D163" i="254" s="1"/>
  <c r="D153" i="254"/>
  <c r="D152" i="254"/>
  <c r="D173" i="254" s="1"/>
  <c r="AL35" i="246"/>
  <c r="M43" i="254"/>
  <c r="M44" i="254" s="1"/>
  <c r="M45" i="254" s="1"/>
  <c r="M46" i="254" s="1"/>
  <c r="M47" i="254" s="1"/>
  <c r="M48" i="254" s="1"/>
  <c r="M49" i="254" s="1"/>
  <c r="M50" i="254" s="1"/>
  <c r="M51" i="254" s="1"/>
  <c r="M52" i="254" s="1"/>
  <c r="M53" i="254" s="1"/>
  <c r="M54" i="254" s="1"/>
  <c r="M55" i="254" s="1"/>
  <c r="M56" i="254" s="1"/>
  <c r="M57" i="254" s="1"/>
  <c r="I43" i="246"/>
  <c r="J43" i="246"/>
  <c r="AK36" i="246"/>
  <c r="D43" i="254"/>
  <c r="D44" i="254" s="1"/>
  <c r="D45" i="254" s="1"/>
  <c r="D46" i="254" s="1"/>
  <c r="D47" i="254" s="1"/>
  <c r="D48" i="254" s="1"/>
  <c r="D49" i="254" s="1"/>
  <c r="D50" i="254" s="1"/>
  <c r="D51" i="254" s="1"/>
  <c r="D52" i="254" s="1"/>
  <c r="D53" i="254" s="1"/>
  <c r="D54" i="254" s="1"/>
  <c r="D55" i="254" s="1"/>
  <c r="D56" i="254" s="1"/>
  <c r="D57" i="254" s="1"/>
  <c r="AL32" i="246"/>
  <c r="K43" i="246"/>
  <c r="L43" i="246"/>
  <c r="AK37" i="246"/>
  <c r="AL33" i="246"/>
  <c r="P42" i="254"/>
  <c r="P43" i="254" s="1"/>
  <c r="P44" i="254" s="1"/>
  <c r="P45" i="254" s="1"/>
  <c r="P46" i="254" s="1"/>
  <c r="P47" i="254" s="1"/>
  <c r="P48" i="254" s="1"/>
  <c r="P49" i="254" s="1"/>
  <c r="P50" i="254" s="1"/>
  <c r="P51" i="254" s="1"/>
  <c r="P52" i="254" s="1"/>
  <c r="P53" i="254" s="1"/>
  <c r="P54" i="254" s="1"/>
  <c r="P55" i="254" s="1"/>
  <c r="P56" i="254" s="1"/>
  <c r="P57" i="254" s="1"/>
  <c r="AL36" i="246"/>
  <c r="H43" i="246"/>
  <c r="AK34" i="246"/>
  <c r="AK35" i="246"/>
  <c r="AK32" i="246"/>
  <c r="AK33" i="246"/>
  <c r="AP31" i="246" l="1"/>
  <c r="E23" i="247"/>
  <c r="D32" i="247" s="1"/>
  <c r="AO31" i="246"/>
  <c r="E157" i="254"/>
  <c r="E158" i="254" s="1"/>
  <c r="E159" i="254" s="1"/>
  <c r="E160" i="254" s="1"/>
  <c r="F159" i="254"/>
  <c r="F164" i="254"/>
  <c r="D157" i="254"/>
  <c r="D158" i="254" s="1"/>
  <c r="D159" i="254" s="1"/>
  <c r="E164" i="254"/>
  <c r="G159" i="254"/>
  <c r="G164" i="254"/>
  <c r="D164" i="254"/>
  <c r="J159" i="254" l="1"/>
  <c r="I164" i="254"/>
  <c r="D165" i="254"/>
  <c r="D160" i="254"/>
  <c r="I159" i="254"/>
  <c r="J164" i="254"/>
  <c r="E165" i="254"/>
  <c r="J160" i="254"/>
  <c r="E161" i="254"/>
  <c r="K164" i="254"/>
  <c r="F165" i="254"/>
  <c r="L159" i="254"/>
  <c r="G160" i="254"/>
  <c r="L164" i="254"/>
  <c r="G165" i="254"/>
  <c r="F160" i="254"/>
  <c r="K159" i="254"/>
  <c r="F166" i="254" l="1"/>
  <c r="K165" i="254"/>
  <c r="G166" i="254"/>
  <c r="L165" i="254"/>
  <c r="E166" i="254"/>
  <c r="J165" i="254"/>
  <c r="L160" i="254"/>
  <c r="G161" i="254"/>
  <c r="I160" i="254"/>
  <c r="D161" i="254"/>
  <c r="K160" i="254"/>
  <c r="F161" i="254"/>
  <c r="I165" i="254"/>
  <c r="D166" i="254"/>
  <c r="J161" i="254"/>
  <c r="E162" i="254"/>
  <c r="J162" i="254" l="1"/>
  <c r="J163" i="254"/>
  <c r="I166" i="254"/>
  <c r="D167" i="254"/>
  <c r="L161" i="254"/>
  <c r="G162" i="254"/>
  <c r="K161" i="254"/>
  <c r="F162" i="254"/>
  <c r="I161" i="254"/>
  <c r="D162" i="254"/>
  <c r="J166" i="254"/>
  <c r="E167" i="254"/>
  <c r="L166" i="254"/>
  <c r="G167" i="254"/>
  <c r="F167" i="254"/>
  <c r="K166" i="254"/>
  <c r="K167" i="254" l="1"/>
  <c r="F168" i="254"/>
  <c r="L167" i="254"/>
  <c r="G168" i="254"/>
  <c r="K162" i="254"/>
  <c r="K163" i="254"/>
  <c r="I167" i="254"/>
  <c r="D168" i="254"/>
  <c r="J167" i="254"/>
  <c r="E168" i="254"/>
  <c r="I162" i="254"/>
  <c r="I163" i="254"/>
  <c r="L162" i="254"/>
  <c r="L163" i="254"/>
  <c r="I168" i="254" l="1"/>
  <c r="D169" i="254"/>
  <c r="L168" i="254"/>
  <c r="G169" i="254"/>
  <c r="K168" i="254"/>
  <c r="F169" i="254"/>
  <c r="J168" i="254"/>
  <c r="E169" i="254"/>
  <c r="E170" i="254" l="1"/>
  <c r="J169" i="254"/>
  <c r="D170" i="254"/>
  <c r="I169" i="254"/>
  <c r="K169" i="254"/>
  <c r="F170" i="254"/>
  <c r="L169" i="254"/>
  <c r="G170" i="254"/>
  <c r="L170" i="254" l="1"/>
  <c r="G171" i="254"/>
  <c r="I170" i="254"/>
  <c r="D171" i="254"/>
  <c r="K170" i="254"/>
  <c r="F171" i="254"/>
  <c r="J170" i="254"/>
  <c r="E171" i="254"/>
  <c r="K171" i="254" l="1"/>
  <c r="F172" i="254"/>
  <c r="L171" i="254"/>
  <c r="G172" i="254"/>
  <c r="J171" i="254"/>
  <c r="E172" i="254"/>
  <c r="I171" i="254"/>
  <c r="D172" i="254"/>
  <c r="J172" i="254" l="1"/>
  <c r="J173" i="254"/>
  <c r="I172" i="254"/>
  <c r="I173" i="254"/>
  <c r="K172" i="254"/>
  <c r="K173" i="254"/>
  <c r="L172" i="254"/>
  <c r="L173" i="254"/>
  <c r="B53" i="237" l="1"/>
  <c r="B57" i="237"/>
  <c r="E181" i="231"/>
  <c r="E185" i="231" s="1"/>
  <c r="E180" i="231"/>
  <c r="E184" i="231" s="1"/>
  <c r="F7" i="237"/>
  <c r="F8" i="237"/>
  <c r="F6" i="237"/>
  <c r="E145" i="231"/>
  <c r="B8" i="237"/>
  <c r="E144" i="231"/>
  <c r="B7" i="237"/>
  <c r="E143" i="231"/>
  <c r="B6" i="237"/>
  <c r="AJ11" i="242"/>
  <c r="AK11" i="242" s="1"/>
  <c r="AL11" i="242" s="1"/>
  <c r="AM11" i="242" s="1"/>
  <c r="AN11" i="242" s="1"/>
  <c r="AO11" i="242" s="1"/>
  <c r="AP11" i="242" s="1"/>
  <c r="AQ11" i="242" s="1"/>
  <c r="AR11" i="242" s="1"/>
  <c r="AS11" i="242" s="1"/>
  <c r="AJ24" i="242"/>
  <c r="AK24" i="242" s="1"/>
  <c r="AL24" i="242" s="1"/>
  <c r="AM24" i="242" s="1"/>
  <c r="AN24" i="242" s="1"/>
  <c r="AO24" i="242" s="1"/>
  <c r="AP24" i="242" s="1"/>
  <c r="AQ24" i="242" s="1"/>
  <c r="AR24" i="242" s="1"/>
  <c r="AS24" i="242" s="1"/>
  <c r="H27" i="245" l="1"/>
  <c r="I27" i="245"/>
  <c r="J27" i="245"/>
  <c r="K27" i="245"/>
  <c r="L27" i="245"/>
  <c r="M27" i="245"/>
  <c r="N27" i="245"/>
  <c r="O27" i="245"/>
  <c r="P27" i="245"/>
  <c r="Q27" i="245"/>
  <c r="R27" i="245"/>
  <c r="S27" i="245"/>
  <c r="T27" i="245"/>
  <c r="U27" i="245"/>
  <c r="V27" i="245"/>
  <c r="W27" i="245"/>
  <c r="X27" i="245"/>
  <c r="Y27" i="245"/>
  <c r="Z27" i="245"/>
  <c r="AA27" i="245"/>
  <c r="AB27" i="245"/>
  <c r="AC27" i="245"/>
  <c r="AD27" i="245"/>
  <c r="AE27" i="245"/>
  <c r="AF27" i="245"/>
  <c r="AG27" i="245"/>
  <c r="AH27" i="245"/>
  <c r="AI27" i="245"/>
  <c r="AJ27" i="245"/>
  <c r="AK27" i="245"/>
  <c r="AL27" i="245"/>
  <c r="AM27" i="245"/>
  <c r="AN27" i="245"/>
  <c r="AO27" i="245"/>
  <c r="AP27" i="245"/>
  <c r="AQ27" i="245"/>
  <c r="AR27" i="245"/>
  <c r="AS27" i="245"/>
  <c r="AT27" i="245"/>
  <c r="AU27" i="245"/>
  <c r="E72" i="231"/>
  <c r="C58" i="245" s="1"/>
  <c r="E73" i="231"/>
  <c r="C59" i="245" s="1"/>
  <c r="E74" i="231"/>
  <c r="C60" i="245" s="1"/>
  <c r="E75" i="231"/>
  <c r="C61" i="245" s="1"/>
  <c r="E76" i="231"/>
  <c r="C62" i="245" s="1"/>
  <c r="E77" i="231"/>
  <c r="C63" i="245" s="1"/>
  <c r="E78" i="231"/>
  <c r="C64" i="245" s="1"/>
  <c r="E79" i="231"/>
  <c r="C65" i="245" s="1"/>
  <c r="E80" i="231"/>
  <c r="C66" i="245" s="1"/>
  <c r="E81" i="231"/>
  <c r="C67" i="245" s="1"/>
  <c r="E82" i="231"/>
  <c r="C68" i="245" s="1"/>
  <c r="E83" i="231"/>
  <c r="C69" i="245" s="1"/>
  <c r="E84" i="231"/>
  <c r="C70" i="245" s="1"/>
  <c r="E85" i="231"/>
  <c r="C71" i="245" s="1"/>
  <c r="E86" i="231"/>
  <c r="C72" i="245" s="1"/>
  <c r="E87" i="231"/>
  <c r="C73" i="245" s="1"/>
  <c r="E88" i="231"/>
  <c r="C74" i="245" s="1"/>
  <c r="E89" i="231"/>
  <c r="C75" i="245" s="1"/>
  <c r="E71" i="231"/>
  <c r="C57" i="245" s="1"/>
  <c r="D71" i="231"/>
  <c r="B57" i="245" s="1"/>
  <c r="E57" i="245" s="1"/>
  <c r="D123" i="231"/>
  <c r="B109" i="245" s="1"/>
  <c r="D109" i="245" s="1"/>
  <c r="F109" i="245" s="1"/>
  <c r="E123" i="231"/>
  <c r="C109" i="245" s="1"/>
  <c r="D124" i="231"/>
  <c r="B110" i="245" s="1"/>
  <c r="D110" i="245" s="1"/>
  <c r="E124" i="231"/>
  <c r="C110" i="245" s="1"/>
  <c r="D125" i="231"/>
  <c r="B111" i="245" s="1"/>
  <c r="D111" i="245" s="1"/>
  <c r="F111" i="245" s="1"/>
  <c r="E125" i="231"/>
  <c r="C111" i="245" s="1"/>
  <c r="D126" i="231"/>
  <c r="E126" i="231"/>
  <c r="C112" i="245" s="1"/>
  <c r="D99" i="231"/>
  <c r="B85" i="245" s="1"/>
  <c r="E99" i="231"/>
  <c r="C85" i="245" s="1"/>
  <c r="D100" i="231"/>
  <c r="B86" i="245" s="1"/>
  <c r="D86" i="245" s="1"/>
  <c r="F86" i="245" s="1"/>
  <c r="E100" i="231"/>
  <c r="C86" i="245" s="1"/>
  <c r="D101" i="231"/>
  <c r="B87" i="245" s="1"/>
  <c r="D87" i="245" s="1"/>
  <c r="F87" i="245" s="1"/>
  <c r="E101" i="231"/>
  <c r="C87" i="245" s="1"/>
  <c r="D102" i="231"/>
  <c r="B88" i="245" s="1"/>
  <c r="D88" i="245" s="1"/>
  <c r="F88" i="245" s="1"/>
  <c r="E102" i="231"/>
  <c r="C88" i="245" s="1"/>
  <c r="D103" i="231"/>
  <c r="B89" i="245" s="1"/>
  <c r="D89" i="245" s="1"/>
  <c r="E103" i="231"/>
  <c r="C89" i="245" s="1"/>
  <c r="D104" i="231"/>
  <c r="B90" i="245" s="1"/>
  <c r="D90" i="245" s="1"/>
  <c r="F90" i="245" s="1"/>
  <c r="E104" i="231"/>
  <c r="C90" i="245" s="1"/>
  <c r="D105" i="231"/>
  <c r="B91" i="245" s="1"/>
  <c r="D91" i="245" s="1"/>
  <c r="F91" i="245" s="1"/>
  <c r="E105" i="231"/>
  <c r="C91" i="245" s="1"/>
  <c r="D106" i="231"/>
  <c r="B92" i="245" s="1"/>
  <c r="D92" i="245" s="1"/>
  <c r="F92" i="245" s="1"/>
  <c r="E106" i="231"/>
  <c r="C92" i="245" s="1"/>
  <c r="D107" i="231"/>
  <c r="B93" i="245" s="1"/>
  <c r="D93" i="245" s="1"/>
  <c r="F93" i="245" s="1"/>
  <c r="E107" i="231"/>
  <c r="C93" i="245" s="1"/>
  <c r="D108" i="231"/>
  <c r="B94" i="245" s="1"/>
  <c r="D94" i="245" s="1"/>
  <c r="F94" i="245" s="1"/>
  <c r="E108" i="231"/>
  <c r="C94" i="245" s="1"/>
  <c r="D109" i="231"/>
  <c r="B95" i="245" s="1"/>
  <c r="D95" i="245" s="1"/>
  <c r="F95" i="245" s="1"/>
  <c r="E109" i="231"/>
  <c r="C95" i="245" s="1"/>
  <c r="D110" i="231"/>
  <c r="B96" i="245" s="1"/>
  <c r="D96" i="245" s="1"/>
  <c r="F96" i="245" s="1"/>
  <c r="E110" i="231"/>
  <c r="C96" i="245" s="1"/>
  <c r="D111" i="231"/>
  <c r="B97" i="245" s="1"/>
  <c r="D97" i="245" s="1"/>
  <c r="F97" i="245" s="1"/>
  <c r="E111" i="231"/>
  <c r="C97" i="245" s="1"/>
  <c r="D112" i="231"/>
  <c r="B98" i="245" s="1"/>
  <c r="D98" i="245" s="1"/>
  <c r="F98" i="245" s="1"/>
  <c r="E112" i="231"/>
  <c r="C98" i="245" s="1"/>
  <c r="D113" i="231"/>
  <c r="B99" i="245" s="1"/>
  <c r="D99" i="245" s="1"/>
  <c r="F99" i="245" s="1"/>
  <c r="E113" i="231"/>
  <c r="C99" i="245" s="1"/>
  <c r="D114" i="231"/>
  <c r="B100" i="245" s="1"/>
  <c r="D100" i="245" s="1"/>
  <c r="F100" i="245" s="1"/>
  <c r="E114" i="231"/>
  <c r="C100" i="245" s="1"/>
  <c r="D115" i="231"/>
  <c r="B101" i="245" s="1"/>
  <c r="D101" i="245" s="1"/>
  <c r="F101" i="245" s="1"/>
  <c r="E115" i="231"/>
  <c r="C101" i="245" s="1"/>
  <c r="D116" i="231"/>
  <c r="B102" i="245" s="1"/>
  <c r="D102" i="245" s="1"/>
  <c r="F102" i="245" s="1"/>
  <c r="E116" i="231"/>
  <c r="C102" i="245" s="1"/>
  <c r="D117" i="231"/>
  <c r="B103" i="245" s="1"/>
  <c r="D103" i="245" s="1"/>
  <c r="F103" i="245" s="1"/>
  <c r="E117" i="231"/>
  <c r="C103" i="245" s="1"/>
  <c r="D118" i="231"/>
  <c r="B104" i="245" s="1"/>
  <c r="D104" i="245" s="1"/>
  <c r="F104" i="245" s="1"/>
  <c r="E118" i="231"/>
  <c r="C104" i="245" s="1"/>
  <c r="D119" i="231"/>
  <c r="B105" i="245" s="1"/>
  <c r="D105" i="245" s="1"/>
  <c r="F105" i="245" s="1"/>
  <c r="E119" i="231"/>
  <c r="C105" i="245" s="1"/>
  <c r="D120" i="231"/>
  <c r="B106" i="245" s="1"/>
  <c r="D106" i="245" s="1"/>
  <c r="F106" i="245" s="1"/>
  <c r="E120" i="231"/>
  <c r="C106" i="245" s="1"/>
  <c r="D121" i="231"/>
  <c r="B107" i="245" s="1"/>
  <c r="D107" i="245" s="1"/>
  <c r="F107" i="245" s="1"/>
  <c r="E121" i="231"/>
  <c r="C107" i="245" s="1"/>
  <c r="D122" i="231"/>
  <c r="B108" i="245" s="1"/>
  <c r="D108" i="245" s="1"/>
  <c r="F108" i="245" s="1"/>
  <c r="E122" i="231"/>
  <c r="C108" i="245" s="1"/>
  <c r="E91" i="231"/>
  <c r="C77" i="245" s="1"/>
  <c r="E92" i="231"/>
  <c r="C78" i="245" s="1"/>
  <c r="E93" i="231"/>
  <c r="C79" i="245" s="1"/>
  <c r="E94" i="231"/>
  <c r="C80" i="245" s="1"/>
  <c r="E95" i="231"/>
  <c r="C81" i="245" s="1"/>
  <c r="E96" i="231"/>
  <c r="C82" i="245" s="1"/>
  <c r="E97" i="231"/>
  <c r="C83" i="245" s="1"/>
  <c r="E98" i="231"/>
  <c r="C84" i="245" s="1"/>
  <c r="E90" i="231"/>
  <c r="C76" i="245" s="1"/>
  <c r="D90" i="231"/>
  <c r="B76" i="245" s="1"/>
  <c r="D76" i="245" s="1"/>
  <c r="G76" i="245" s="1"/>
  <c r="D91" i="231"/>
  <c r="B77" i="245" s="1"/>
  <c r="D92" i="231"/>
  <c r="B78" i="245" s="1"/>
  <c r="D93" i="231"/>
  <c r="B79" i="245" s="1"/>
  <c r="D79" i="245" s="1"/>
  <c r="D94" i="231"/>
  <c r="B80" i="245" s="1"/>
  <c r="D80" i="245" s="1"/>
  <c r="D95" i="231"/>
  <c r="B81" i="245" s="1"/>
  <c r="D96" i="231"/>
  <c r="B82" i="245" s="1"/>
  <c r="D97" i="231"/>
  <c r="B83" i="245" s="1"/>
  <c r="D98" i="231"/>
  <c r="B84" i="245" s="1"/>
  <c r="D84" i="245" s="1"/>
  <c r="D72" i="231"/>
  <c r="B58" i="245" s="1"/>
  <c r="E58" i="245" s="1"/>
  <c r="D73" i="231"/>
  <c r="B59" i="245" s="1"/>
  <c r="E59" i="245" s="1"/>
  <c r="D74" i="231"/>
  <c r="B60" i="245" s="1"/>
  <c r="E60" i="245" s="1"/>
  <c r="D75" i="231"/>
  <c r="B61" i="245" s="1"/>
  <c r="E61" i="245" s="1"/>
  <c r="D76" i="231"/>
  <c r="B62" i="245" s="1"/>
  <c r="E62" i="245" s="1"/>
  <c r="D77" i="231"/>
  <c r="B63" i="245" s="1"/>
  <c r="E63" i="245" s="1"/>
  <c r="D78" i="231"/>
  <c r="B64" i="245" s="1"/>
  <c r="E64" i="245" s="1"/>
  <c r="D79" i="231"/>
  <c r="B65" i="245" s="1"/>
  <c r="E65" i="245" s="1"/>
  <c r="D80" i="231"/>
  <c r="B66" i="245" s="1"/>
  <c r="E66" i="245" s="1"/>
  <c r="D81" i="231"/>
  <c r="B67" i="245" s="1"/>
  <c r="E67" i="245" s="1"/>
  <c r="B68" i="245"/>
  <c r="B69" i="245"/>
  <c r="D84" i="231"/>
  <c r="B70" i="245" s="1"/>
  <c r="E70" i="245" s="1"/>
  <c r="F70" i="245" s="1"/>
  <c r="D85" i="231"/>
  <c r="B71" i="245" s="1"/>
  <c r="E71" i="245" s="1"/>
  <c r="F71" i="245" s="1"/>
  <c r="D86" i="231"/>
  <c r="B72" i="245" s="1"/>
  <c r="E72" i="245" s="1"/>
  <c r="F72" i="245" s="1"/>
  <c r="D87" i="231"/>
  <c r="B73" i="245" s="1"/>
  <c r="E73" i="245" s="1"/>
  <c r="D88" i="231"/>
  <c r="B74" i="245" s="1"/>
  <c r="E74" i="245" s="1"/>
  <c r="D89" i="231"/>
  <c r="B75" i="245" s="1"/>
  <c r="E75" i="245" s="1"/>
  <c r="D40" i="231"/>
  <c r="B41" i="245" s="1"/>
  <c r="E41" i="245" s="1"/>
  <c r="F41" i="245" s="1"/>
  <c r="E40" i="231"/>
  <c r="C41" i="245" s="1"/>
  <c r="D41" i="231"/>
  <c r="B42" i="245" s="1"/>
  <c r="E42" i="245" s="1"/>
  <c r="E41" i="231"/>
  <c r="C42" i="245" s="1"/>
  <c r="D42" i="231"/>
  <c r="B43" i="245" s="1"/>
  <c r="E43" i="245" s="1"/>
  <c r="F43" i="245" s="1"/>
  <c r="E42" i="231"/>
  <c r="C43" i="245" s="1"/>
  <c r="D43" i="231"/>
  <c r="B44" i="245" s="1"/>
  <c r="E44" i="245" s="1"/>
  <c r="F44" i="245" s="1"/>
  <c r="E43" i="231"/>
  <c r="C44" i="245" s="1"/>
  <c r="D44" i="231"/>
  <c r="B45" i="245" s="1"/>
  <c r="E45" i="245" s="1"/>
  <c r="F45" i="245" s="1"/>
  <c r="E44" i="231"/>
  <c r="C45" i="245" s="1"/>
  <c r="D45" i="231"/>
  <c r="B46" i="245" s="1"/>
  <c r="E46" i="245" s="1"/>
  <c r="E45" i="231"/>
  <c r="C46" i="245" s="1"/>
  <c r="D46" i="231"/>
  <c r="B47" i="245" s="1"/>
  <c r="E47" i="245" s="1"/>
  <c r="E46" i="231"/>
  <c r="C47" i="245" s="1"/>
  <c r="D47" i="231"/>
  <c r="B48" i="245" s="1"/>
  <c r="E48" i="245" s="1"/>
  <c r="F48" i="245" s="1"/>
  <c r="E47" i="231"/>
  <c r="C48" i="245" s="1"/>
  <c r="D48" i="231"/>
  <c r="B49" i="245" s="1"/>
  <c r="E49" i="245" s="1"/>
  <c r="F49" i="245" s="1"/>
  <c r="E48" i="231"/>
  <c r="C49" i="245" s="1"/>
  <c r="D49" i="231"/>
  <c r="B50" i="245" s="1"/>
  <c r="E50" i="245" s="1"/>
  <c r="F50" i="245" s="1"/>
  <c r="E49" i="231"/>
  <c r="C50" i="245" s="1"/>
  <c r="D50" i="231"/>
  <c r="B51" i="245" s="1"/>
  <c r="E51" i="245" s="1"/>
  <c r="F51" i="245" s="1"/>
  <c r="E50" i="231"/>
  <c r="C51" i="245" s="1"/>
  <c r="D51" i="231"/>
  <c r="B52" i="245" s="1"/>
  <c r="E52" i="245" s="1"/>
  <c r="F52" i="245" s="1"/>
  <c r="E51" i="231"/>
  <c r="C52" i="245" s="1"/>
  <c r="D52" i="231"/>
  <c r="B53" i="245" s="1"/>
  <c r="E53" i="245" s="1"/>
  <c r="F53" i="245" s="1"/>
  <c r="E52" i="231"/>
  <c r="C53" i="245" s="1"/>
  <c r="D53" i="231"/>
  <c r="B54" i="245" s="1"/>
  <c r="E54" i="245" s="1"/>
  <c r="F54" i="245" s="1"/>
  <c r="E53" i="231"/>
  <c r="C54" i="245" s="1"/>
  <c r="D54" i="231"/>
  <c r="B55" i="245" s="1"/>
  <c r="E55" i="245" s="1"/>
  <c r="E54" i="231"/>
  <c r="C55" i="245" s="1"/>
  <c r="D55" i="231"/>
  <c r="B56" i="245" s="1"/>
  <c r="E56" i="245" s="1"/>
  <c r="F56" i="245" s="1"/>
  <c r="E55" i="231"/>
  <c r="C56" i="245" s="1"/>
  <c r="D7" i="231"/>
  <c r="B8" i="245" s="1"/>
  <c r="E8" i="245" s="1"/>
  <c r="G8" i="245" s="1"/>
  <c r="E7" i="231"/>
  <c r="C8" i="245" s="1"/>
  <c r="D8" i="231"/>
  <c r="B9" i="245" s="1"/>
  <c r="E9" i="245" s="1"/>
  <c r="K9" i="245" s="1"/>
  <c r="E8" i="231"/>
  <c r="C9" i="245" s="1"/>
  <c r="D9" i="231"/>
  <c r="B10" i="245" s="1"/>
  <c r="E10" i="245" s="1"/>
  <c r="K10" i="245" s="1"/>
  <c r="E9" i="231"/>
  <c r="C10" i="245" s="1"/>
  <c r="D10" i="231"/>
  <c r="B11" i="245" s="1"/>
  <c r="E11" i="245" s="1"/>
  <c r="G11" i="245" s="1"/>
  <c r="E10" i="231"/>
  <c r="C11" i="245" s="1"/>
  <c r="D11" i="231"/>
  <c r="B12" i="245" s="1"/>
  <c r="E12" i="245" s="1"/>
  <c r="AS12" i="245" s="1"/>
  <c r="E11" i="231"/>
  <c r="C12" i="245" s="1"/>
  <c r="D12" i="231"/>
  <c r="B13" i="245" s="1"/>
  <c r="E13" i="245" s="1"/>
  <c r="E12" i="231"/>
  <c r="C13" i="245" s="1"/>
  <c r="D13" i="231"/>
  <c r="B14" i="245" s="1"/>
  <c r="E13" i="231"/>
  <c r="C14" i="245" s="1"/>
  <c r="D14" i="231"/>
  <c r="B15" i="245" s="1"/>
  <c r="E15" i="245" s="1"/>
  <c r="F15" i="245" s="1"/>
  <c r="E14" i="231"/>
  <c r="C15" i="245" s="1"/>
  <c r="D15" i="231"/>
  <c r="B16" i="245" s="1"/>
  <c r="E15" i="231"/>
  <c r="C16" i="245" s="1"/>
  <c r="D16" i="231"/>
  <c r="B17" i="245" s="1"/>
  <c r="E17" i="245" s="1"/>
  <c r="E16" i="231"/>
  <c r="C17" i="245" s="1"/>
  <c r="D17" i="231"/>
  <c r="B18" i="245" s="1"/>
  <c r="E18" i="245" s="1"/>
  <c r="F18" i="245" s="1"/>
  <c r="E17" i="231"/>
  <c r="C18" i="245" s="1"/>
  <c r="D18" i="231"/>
  <c r="B19" i="245" s="1"/>
  <c r="E19" i="245" s="1"/>
  <c r="E18" i="231"/>
  <c r="C19" i="245" s="1"/>
  <c r="D19" i="231"/>
  <c r="B20" i="245" s="1"/>
  <c r="E20" i="245" s="1"/>
  <c r="E19" i="231"/>
  <c r="C20" i="245" s="1"/>
  <c r="D20" i="231"/>
  <c r="B21" i="245" s="1"/>
  <c r="E21" i="245" s="1"/>
  <c r="F21" i="245" s="1"/>
  <c r="E20" i="231"/>
  <c r="C21" i="245" s="1"/>
  <c r="D21" i="231"/>
  <c r="B22" i="245" s="1"/>
  <c r="E22" i="245" s="1"/>
  <c r="E21" i="231"/>
  <c r="C22" i="245" s="1"/>
  <c r="D22" i="231"/>
  <c r="B23" i="245" s="1"/>
  <c r="E23" i="245" s="1"/>
  <c r="E22" i="231"/>
  <c r="C23" i="245" s="1"/>
  <c r="D23" i="231"/>
  <c r="B24" i="245" s="1"/>
  <c r="E24" i="245" s="1"/>
  <c r="E23" i="231"/>
  <c r="C24" i="245" s="1"/>
  <c r="D24" i="231"/>
  <c r="B25" i="245" s="1"/>
  <c r="E25" i="245" s="1"/>
  <c r="E24" i="231"/>
  <c r="C25" i="245" s="1"/>
  <c r="D25" i="231"/>
  <c r="B26" i="245" s="1"/>
  <c r="E26" i="245" s="1"/>
  <c r="F26" i="245" s="1"/>
  <c r="E25" i="231"/>
  <c r="C26" i="245" s="1"/>
  <c r="D26" i="231"/>
  <c r="B27" i="245" s="1"/>
  <c r="E26" i="231"/>
  <c r="C27" i="245" s="1"/>
  <c r="D27" i="231"/>
  <c r="B28" i="245" s="1"/>
  <c r="E28" i="245" s="1"/>
  <c r="E27" i="231"/>
  <c r="C28" i="245" s="1"/>
  <c r="D28" i="231"/>
  <c r="B29" i="245" s="1"/>
  <c r="E29" i="245" s="1"/>
  <c r="E28" i="231"/>
  <c r="C29" i="245" s="1"/>
  <c r="D29" i="231"/>
  <c r="B30" i="245" s="1"/>
  <c r="E30" i="245" s="1"/>
  <c r="E29" i="231"/>
  <c r="C30" i="245" s="1"/>
  <c r="D30" i="231"/>
  <c r="B31" i="245" s="1"/>
  <c r="E31" i="245" s="1"/>
  <c r="E30" i="231"/>
  <c r="C31" i="245" s="1"/>
  <c r="D31" i="231"/>
  <c r="B32" i="245" s="1"/>
  <c r="E32" i="245" s="1"/>
  <c r="E31" i="231"/>
  <c r="C32" i="245" s="1"/>
  <c r="D32" i="231"/>
  <c r="B33" i="245" s="1"/>
  <c r="E33" i="245" s="1"/>
  <c r="E32" i="231"/>
  <c r="C33" i="245" s="1"/>
  <c r="D33" i="231"/>
  <c r="B34" i="245" s="1"/>
  <c r="E34" i="245" s="1"/>
  <c r="E33" i="231"/>
  <c r="C34" i="245" s="1"/>
  <c r="D34" i="231"/>
  <c r="B35" i="245" s="1"/>
  <c r="E35" i="245" s="1"/>
  <c r="E34" i="231"/>
  <c r="C35" i="245" s="1"/>
  <c r="D35" i="231"/>
  <c r="B36" i="245" s="1"/>
  <c r="E36" i="245" s="1"/>
  <c r="E35" i="231"/>
  <c r="C36" i="245" s="1"/>
  <c r="D36" i="231"/>
  <c r="B37" i="245" s="1"/>
  <c r="E37" i="245" s="1"/>
  <c r="E36" i="231"/>
  <c r="C37" i="245" s="1"/>
  <c r="D37" i="231"/>
  <c r="B38" i="245" s="1"/>
  <c r="E38" i="245" s="1"/>
  <c r="E37" i="231"/>
  <c r="C38" i="245" s="1"/>
  <c r="D38" i="231"/>
  <c r="B39" i="245" s="1"/>
  <c r="E39" i="245" s="1"/>
  <c r="E38" i="231"/>
  <c r="C39" i="245" s="1"/>
  <c r="D39" i="231"/>
  <c r="B40" i="245" s="1"/>
  <c r="E40" i="245" s="1"/>
  <c r="F40" i="245" s="1"/>
  <c r="E39" i="231"/>
  <c r="C40" i="245" s="1"/>
  <c r="E6" i="231"/>
  <c r="C7" i="245" s="1"/>
  <c r="D6" i="231"/>
  <c r="B7" i="245" s="1"/>
  <c r="E7" i="245" s="1"/>
  <c r="E16" i="245" l="1"/>
  <c r="F16" i="245" s="1"/>
  <c r="E14" i="245"/>
  <c r="F14" i="245" s="1"/>
  <c r="F67" i="245"/>
  <c r="J67" i="245"/>
  <c r="N67" i="245"/>
  <c r="R67" i="245"/>
  <c r="V67" i="245"/>
  <c r="Z67" i="245"/>
  <c r="AD67" i="245"/>
  <c r="AH67" i="245"/>
  <c r="AL67" i="245"/>
  <c r="AP67" i="245"/>
  <c r="AT67" i="245"/>
  <c r="L67" i="245"/>
  <c r="Q67" i="245"/>
  <c r="W67" i="245"/>
  <c r="AB67" i="245"/>
  <c r="AG67" i="245"/>
  <c r="AM67" i="245"/>
  <c r="AR67" i="245"/>
  <c r="H67" i="245"/>
  <c r="M67" i="245"/>
  <c r="S67" i="245"/>
  <c r="X67" i="245"/>
  <c r="AC67" i="245"/>
  <c r="AI67" i="245"/>
  <c r="AN67" i="245"/>
  <c r="AS67" i="245"/>
  <c r="I67" i="245"/>
  <c r="O67" i="245"/>
  <c r="T67" i="245"/>
  <c r="Y67" i="245"/>
  <c r="AE67" i="245"/>
  <c r="AJ67" i="245"/>
  <c r="AO67" i="245"/>
  <c r="AU67" i="245"/>
  <c r="K67" i="245"/>
  <c r="P67" i="245"/>
  <c r="U67" i="245"/>
  <c r="AA67" i="245"/>
  <c r="AF67" i="245"/>
  <c r="AK67" i="245"/>
  <c r="AQ67" i="245"/>
  <c r="G67" i="245"/>
  <c r="F63" i="245"/>
  <c r="AR63" i="245"/>
  <c r="S63" i="245"/>
  <c r="W63" i="245"/>
  <c r="AC63" i="245"/>
  <c r="AK63" i="245"/>
  <c r="Z63" i="245"/>
  <c r="N63" i="245"/>
  <c r="H63" i="245"/>
  <c r="AS63" i="245"/>
  <c r="AA63" i="245"/>
  <c r="Q63" i="245"/>
  <c r="AJ63" i="245"/>
  <c r="AM63" i="245"/>
  <c r="AO63" i="245"/>
  <c r="V63" i="245"/>
  <c r="Y63" i="245"/>
  <c r="AI63" i="245"/>
  <c r="AL63" i="245"/>
  <c r="U63" i="245"/>
  <c r="AD63" i="245"/>
  <c r="AH63" i="245"/>
  <c r="K63" i="245"/>
  <c r="AB63" i="245"/>
  <c r="I63" i="245"/>
  <c r="J63" i="245"/>
  <c r="AG63" i="245"/>
  <c r="R63" i="245"/>
  <c r="AU63" i="245"/>
  <c r="G63" i="245"/>
  <c r="M63" i="245"/>
  <c r="AN63" i="245"/>
  <c r="T63" i="245"/>
  <c r="AQ63" i="245"/>
  <c r="P63" i="245"/>
  <c r="AF63" i="245"/>
  <c r="X63" i="245"/>
  <c r="AT63" i="245"/>
  <c r="AP63" i="245"/>
  <c r="O63" i="245"/>
  <c r="AE63" i="245"/>
  <c r="L63" i="245"/>
  <c r="F59" i="245"/>
  <c r="J59" i="245"/>
  <c r="N59" i="245"/>
  <c r="R59" i="245"/>
  <c r="V59" i="245"/>
  <c r="Z59" i="245"/>
  <c r="AD59" i="245"/>
  <c r="AH59" i="245"/>
  <c r="AL59" i="245"/>
  <c r="AP59" i="245"/>
  <c r="AT59" i="245"/>
  <c r="K59" i="245"/>
  <c r="O59" i="245"/>
  <c r="M59" i="245"/>
  <c r="T59" i="245"/>
  <c r="Y59" i="245"/>
  <c r="AE59" i="245"/>
  <c r="AJ59" i="245"/>
  <c r="AO59" i="245"/>
  <c r="AU59" i="245"/>
  <c r="H59" i="245"/>
  <c r="P59" i="245"/>
  <c r="U59" i="245"/>
  <c r="AA59" i="245"/>
  <c r="AF59" i="245"/>
  <c r="AK59" i="245"/>
  <c r="AQ59" i="245"/>
  <c r="I59" i="245"/>
  <c r="Q59" i="245"/>
  <c r="W59" i="245"/>
  <c r="AB59" i="245"/>
  <c r="AG59" i="245"/>
  <c r="AM59" i="245"/>
  <c r="AR59" i="245"/>
  <c r="L59" i="245"/>
  <c r="S59" i="245"/>
  <c r="X59" i="245"/>
  <c r="AC59" i="245"/>
  <c r="AI59" i="245"/>
  <c r="AN59" i="245"/>
  <c r="AS59" i="245"/>
  <c r="G59" i="245"/>
  <c r="F60" i="245"/>
  <c r="J60" i="245"/>
  <c r="N60" i="245"/>
  <c r="R60" i="245"/>
  <c r="V60" i="245"/>
  <c r="Z60" i="245"/>
  <c r="AD60" i="245"/>
  <c r="AH60" i="245"/>
  <c r="AL60" i="245"/>
  <c r="AP60" i="245"/>
  <c r="AT60" i="245"/>
  <c r="L60" i="245"/>
  <c r="Q60" i="245"/>
  <c r="W60" i="245"/>
  <c r="AB60" i="245"/>
  <c r="AG60" i="245"/>
  <c r="AM60" i="245"/>
  <c r="AR60" i="245"/>
  <c r="H60" i="245"/>
  <c r="M60" i="245"/>
  <c r="S60" i="245"/>
  <c r="X60" i="245"/>
  <c r="AC60" i="245"/>
  <c r="AI60" i="245"/>
  <c r="AN60" i="245"/>
  <c r="AS60" i="245"/>
  <c r="I60" i="245"/>
  <c r="O60" i="245"/>
  <c r="T60" i="245"/>
  <c r="Y60" i="245"/>
  <c r="AE60" i="245"/>
  <c r="AJ60" i="245"/>
  <c r="AO60" i="245"/>
  <c r="AU60" i="245"/>
  <c r="G60" i="245"/>
  <c r="K60" i="245"/>
  <c r="P60" i="245"/>
  <c r="U60" i="245"/>
  <c r="AA60" i="245"/>
  <c r="AF60" i="245"/>
  <c r="AK60" i="245"/>
  <c r="AQ60" i="245"/>
  <c r="F66" i="245"/>
  <c r="J66" i="245"/>
  <c r="N66" i="245"/>
  <c r="R66" i="245"/>
  <c r="V66" i="245"/>
  <c r="Z66" i="245"/>
  <c r="AD66" i="245"/>
  <c r="AH66" i="245"/>
  <c r="AL66" i="245"/>
  <c r="AP66" i="245"/>
  <c r="AT66" i="245"/>
  <c r="I66" i="245"/>
  <c r="O66" i="245"/>
  <c r="T66" i="245"/>
  <c r="Y66" i="245"/>
  <c r="AE66" i="245"/>
  <c r="AJ66" i="245"/>
  <c r="AO66" i="245"/>
  <c r="AU66" i="245"/>
  <c r="G66" i="245"/>
  <c r="K66" i="245"/>
  <c r="P66" i="245"/>
  <c r="U66" i="245"/>
  <c r="AA66" i="245"/>
  <c r="AF66" i="245"/>
  <c r="AK66" i="245"/>
  <c r="AQ66" i="245"/>
  <c r="L66" i="245"/>
  <c r="Q66" i="245"/>
  <c r="W66" i="245"/>
  <c r="AB66" i="245"/>
  <c r="AG66" i="245"/>
  <c r="AM66" i="245"/>
  <c r="AR66" i="245"/>
  <c r="H66" i="245"/>
  <c r="M66" i="245"/>
  <c r="S66" i="245"/>
  <c r="X66" i="245"/>
  <c r="AC66" i="245"/>
  <c r="AI66" i="245"/>
  <c r="AN66" i="245"/>
  <c r="AS66" i="245"/>
  <c r="F62" i="245"/>
  <c r="J62" i="245"/>
  <c r="N62" i="245"/>
  <c r="R62" i="245"/>
  <c r="V62" i="245"/>
  <c r="Z62" i="245"/>
  <c r="AD62" i="245"/>
  <c r="AH62" i="245"/>
  <c r="AL62" i="245"/>
  <c r="AP62" i="245"/>
  <c r="AT62" i="245"/>
  <c r="G62" i="245"/>
  <c r="L62" i="245"/>
  <c r="Q62" i="245"/>
  <c r="W62" i="245"/>
  <c r="AB62" i="245"/>
  <c r="AG62" i="245"/>
  <c r="AM62" i="245"/>
  <c r="AR62" i="245"/>
  <c r="H62" i="245"/>
  <c r="M62" i="245"/>
  <c r="S62" i="245"/>
  <c r="X62" i="245"/>
  <c r="AC62" i="245"/>
  <c r="AI62" i="245"/>
  <c r="AN62" i="245"/>
  <c r="AS62" i="245"/>
  <c r="I62" i="245"/>
  <c r="O62" i="245"/>
  <c r="T62" i="245"/>
  <c r="Y62" i="245"/>
  <c r="AJ62" i="245"/>
  <c r="AO62" i="245"/>
  <c r="AE62" i="245"/>
  <c r="AU62" i="245"/>
  <c r="K62" i="245"/>
  <c r="P62" i="245"/>
  <c r="U62" i="245"/>
  <c r="AA62" i="245"/>
  <c r="AF62" i="245"/>
  <c r="AK62" i="245"/>
  <c r="AQ62" i="245"/>
  <c r="F58" i="245"/>
  <c r="J58" i="245"/>
  <c r="N58" i="245"/>
  <c r="R58" i="245"/>
  <c r="V58" i="245"/>
  <c r="Z58" i="245"/>
  <c r="AD58" i="245"/>
  <c r="AH58" i="245"/>
  <c r="AL58" i="245"/>
  <c r="AP58" i="245"/>
  <c r="AT58" i="245"/>
  <c r="G58" i="245"/>
  <c r="K58" i="245"/>
  <c r="O58" i="245"/>
  <c r="S58" i="245"/>
  <c r="W58" i="245"/>
  <c r="AA58" i="245"/>
  <c r="AE58" i="245"/>
  <c r="AI58" i="245"/>
  <c r="AM58" i="245"/>
  <c r="AQ58" i="245"/>
  <c r="AU58" i="245"/>
  <c r="M58" i="245"/>
  <c r="U58" i="245"/>
  <c r="AC58" i="245"/>
  <c r="AK58" i="245"/>
  <c r="AS58" i="245"/>
  <c r="H58" i="245"/>
  <c r="P58" i="245"/>
  <c r="X58" i="245"/>
  <c r="AF58" i="245"/>
  <c r="AN58" i="245"/>
  <c r="I58" i="245"/>
  <c r="Y58" i="245"/>
  <c r="AG58" i="245"/>
  <c r="AO58" i="245"/>
  <c r="Q58" i="245"/>
  <c r="L58" i="245"/>
  <c r="T58" i="245"/>
  <c r="AB58" i="245"/>
  <c r="AJ58" i="245"/>
  <c r="AR58" i="245"/>
  <c r="F47" i="245"/>
  <c r="G47" i="245"/>
  <c r="F64" i="245"/>
  <c r="AE64" i="245"/>
  <c r="J64" i="245"/>
  <c r="AS64" i="245"/>
  <c r="AC64" i="245"/>
  <c r="Y64" i="245"/>
  <c r="P64" i="245"/>
  <c r="H64" i="245"/>
  <c r="AF64" i="245"/>
  <c r="AP64" i="245"/>
  <c r="AB64" i="245"/>
  <c r="T64" i="245"/>
  <c r="AI64" i="245"/>
  <c r="K64" i="245"/>
  <c r="U64" i="245"/>
  <c r="S64" i="245"/>
  <c r="N64" i="245"/>
  <c r="AU64" i="245"/>
  <c r="Q64" i="245"/>
  <c r="AN64" i="245"/>
  <c r="AT64" i="245"/>
  <c r="X64" i="245"/>
  <c r="M64" i="245"/>
  <c r="V64" i="245"/>
  <c r="AL64" i="245"/>
  <c r="R64" i="245"/>
  <c r="AH64" i="245"/>
  <c r="I64" i="245"/>
  <c r="AG64" i="245"/>
  <c r="O64" i="245"/>
  <c r="G64" i="245"/>
  <c r="Z64" i="245"/>
  <c r="AA64" i="245"/>
  <c r="AK64" i="245"/>
  <c r="AM64" i="245"/>
  <c r="AD64" i="245"/>
  <c r="AJ64" i="245"/>
  <c r="AQ64" i="245"/>
  <c r="W64" i="245"/>
  <c r="AR64" i="245"/>
  <c r="L64" i="245"/>
  <c r="AO64" i="245"/>
  <c r="F65" i="245"/>
  <c r="AT65" i="245"/>
  <c r="Q65" i="245"/>
  <c r="G65" i="245"/>
  <c r="H65" i="245"/>
  <c r="AH65" i="245"/>
  <c r="U65" i="245"/>
  <c r="P65" i="245"/>
  <c r="AL65" i="245"/>
  <c r="AF65" i="245"/>
  <c r="AM65" i="245"/>
  <c r="AD65" i="245"/>
  <c r="AC65" i="245"/>
  <c r="W65" i="245"/>
  <c r="AP65" i="245"/>
  <c r="AN65" i="245"/>
  <c r="AQ65" i="245"/>
  <c r="Y65" i="245"/>
  <c r="V65" i="245"/>
  <c r="AU65" i="245"/>
  <c r="AK65" i="245"/>
  <c r="AG65" i="245"/>
  <c r="X65" i="245"/>
  <c r="O65" i="245"/>
  <c r="AI65" i="245"/>
  <c r="T65" i="245"/>
  <c r="AS65" i="245"/>
  <c r="AO65" i="245"/>
  <c r="AA65" i="245"/>
  <c r="L65" i="245"/>
  <c r="R65" i="245"/>
  <c r="AR65" i="245"/>
  <c r="I65" i="245"/>
  <c r="AE65" i="245"/>
  <c r="AB65" i="245"/>
  <c r="Z65" i="245"/>
  <c r="K65" i="245"/>
  <c r="AJ65" i="245"/>
  <c r="N65" i="245"/>
  <c r="J65" i="245"/>
  <c r="S65" i="245"/>
  <c r="M65" i="245"/>
  <c r="J61" i="245"/>
  <c r="N61" i="245"/>
  <c r="R61" i="245"/>
  <c r="V61" i="245"/>
  <c r="Z61" i="245"/>
  <c r="AD61" i="245"/>
  <c r="AH61" i="245"/>
  <c r="AL61" i="245"/>
  <c r="AP61" i="245"/>
  <c r="AT61" i="245"/>
  <c r="I61" i="245"/>
  <c r="O61" i="245"/>
  <c r="T61" i="245"/>
  <c r="Y61" i="245"/>
  <c r="AE61" i="245"/>
  <c r="AJ61" i="245"/>
  <c r="AO61" i="245"/>
  <c r="AU61" i="245"/>
  <c r="K61" i="245"/>
  <c r="P61" i="245"/>
  <c r="U61" i="245"/>
  <c r="AA61" i="245"/>
  <c r="AF61" i="245"/>
  <c r="AK61" i="245"/>
  <c r="AQ61" i="245"/>
  <c r="G61" i="245"/>
  <c r="L61" i="245"/>
  <c r="Q61" i="245"/>
  <c r="W61" i="245"/>
  <c r="AB61" i="245"/>
  <c r="AG61" i="245"/>
  <c r="AM61" i="245"/>
  <c r="AR61" i="245"/>
  <c r="H61" i="245"/>
  <c r="M61" i="245"/>
  <c r="S61" i="245"/>
  <c r="X61" i="245"/>
  <c r="AC61" i="245"/>
  <c r="AI61" i="245"/>
  <c r="AN61" i="245"/>
  <c r="AS61" i="245"/>
  <c r="F61" i="245"/>
  <c r="D78" i="245"/>
  <c r="AG78" i="245" s="1"/>
  <c r="D77" i="245"/>
  <c r="D83" i="245"/>
  <c r="AE83" i="245" s="1"/>
  <c r="D85" i="245"/>
  <c r="Y85" i="245" s="1"/>
  <c r="D82" i="245"/>
  <c r="AN82" i="245" s="1"/>
  <c r="D81" i="245"/>
  <c r="V81" i="245" s="1"/>
  <c r="F84" i="245"/>
  <c r="N84" i="245"/>
  <c r="N88" i="245" s="1"/>
  <c r="AP84" i="245"/>
  <c r="AP88" i="245" s="1"/>
  <c r="O84" i="245"/>
  <c r="O88" i="245" s="1"/>
  <c r="AQ84" i="245"/>
  <c r="AQ88" i="245" s="1"/>
  <c r="P84" i="245"/>
  <c r="P88" i="245" s="1"/>
  <c r="AR84" i="245"/>
  <c r="AR88" i="245" s="1"/>
  <c r="Q84" i="245"/>
  <c r="Q88" i="245" s="1"/>
  <c r="AS84" i="245"/>
  <c r="AS88" i="245" s="1"/>
  <c r="R84" i="245"/>
  <c r="R88" i="245" s="1"/>
  <c r="AT84" i="245"/>
  <c r="AT88" i="245" s="1"/>
  <c r="AO84" i="245"/>
  <c r="AO88" i="245" s="1"/>
  <c r="S84" i="245"/>
  <c r="S88" i="245" s="1"/>
  <c r="AU84" i="245"/>
  <c r="AU88" i="245" s="1"/>
  <c r="T84" i="245"/>
  <c r="T88" i="245" s="1"/>
  <c r="U84" i="245"/>
  <c r="U88" i="245" s="1"/>
  <c r="AK84" i="245"/>
  <c r="AK88" i="245" s="1"/>
  <c r="K84" i="245"/>
  <c r="K88" i="245" s="1"/>
  <c r="V84" i="245"/>
  <c r="V88" i="245" s="1"/>
  <c r="W84" i="245"/>
  <c r="W88" i="245" s="1"/>
  <c r="AM84" i="245"/>
  <c r="AM88" i="245" s="1"/>
  <c r="AN84" i="245"/>
  <c r="AN88" i="245" s="1"/>
  <c r="X84" i="245"/>
  <c r="X88" i="245" s="1"/>
  <c r="Y84" i="245"/>
  <c r="Y88" i="245" s="1"/>
  <c r="Z84" i="245"/>
  <c r="Z88" i="245" s="1"/>
  <c r="AA84" i="245"/>
  <c r="AA88" i="245" s="1"/>
  <c r="AB84" i="245"/>
  <c r="AB88" i="245" s="1"/>
  <c r="AC84" i="245"/>
  <c r="AC88" i="245" s="1"/>
  <c r="AD84" i="245"/>
  <c r="AD88" i="245" s="1"/>
  <c r="AE84" i="245"/>
  <c r="AE88" i="245" s="1"/>
  <c r="M84" i="245"/>
  <c r="M88" i="245" s="1"/>
  <c r="AF84" i="245"/>
  <c r="AF88" i="245" s="1"/>
  <c r="AG84" i="245"/>
  <c r="AG88" i="245" s="1"/>
  <c r="AH84" i="245"/>
  <c r="AH88" i="245" s="1"/>
  <c r="I84" i="245"/>
  <c r="I88" i="245" s="1"/>
  <c r="AI84" i="245"/>
  <c r="AI88" i="245" s="1"/>
  <c r="H84" i="245"/>
  <c r="H88" i="245" s="1"/>
  <c r="AJ84" i="245"/>
  <c r="AJ88" i="245" s="1"/>
  <c r="AL84" i="245"/>
  <c r="AL88" i="245" s="1"/>
  <c r="L84" i="245"/>
  <c r="L88" i="245" s="1"/>
  <c r="J84" i="245"/>
  <c r="J88" i="245" s="1"/>
  <c r="F89" i="245"/>
  <c r="L89" i="245"/>
  <c r="AN89" i="245"/>
  <c r="M89" i="245"/>
  <c r="AO89" i="245"/>
  <c r="N89" i="245"/>
  <c r="AP89" i="245"/>
  <c r="O89" i="245"/>
  <c r="AQ89" i="245"/>
  <c r="P89" i="245"/>
  <c r="AR89" i="245"/>
  <c r="Q89" i="245"/>
  <c r="AS89" i="245"/>
  <c r="AJ89" i="245"/>
  <c r="R89" i="245"/>
  <c r="AT89" i="245"/>
  <c r="AK89" i="245"/>
  <c r="S89" i="245"/>
  <c r="AU89" i="245"/>
  <c r="T89" i="245"/>
  <c r="U89" i="245"/>
  <c r="G89" i="245"/>
  <c r="AL89" i="245"/>
  <c r="V89" i="245"/>
  <c r="W89" i="245"/>
  <c r="AI89" i="245"/>
  <c r="X89" i="245"/>
  <c r="Y89" i="245"/>
  <c r="Z89" i="245"/>
  <c r="AA89" i="245"/>
  <c r="H89" i="245"/>
  <c r="AB89" i="245"/>
  <c r="AC89" i="245"/>
  <c r="AD89" i="245"/>
  <c r="AE89" i="245"/>
  <c r="AF89" i="245"/>
  <c r="AG89" i="245"/>
  <c r="AH89" i="245"/>
  <c r="I89" i="245"/>
  <c r="J89" i="245"/>
  <c r="AM89" i="245"/>
  <c r="K89" i="245"/>
  <c r="F80" i="245"/>
  <c r="AH80" i="245"/>
  <c r="AI80" i="245"/>
  <c r="H80" i="245"/>
  <c r="AJ80" i="245"/>
  <c r="I80" i="245"/>
  <c r="AK80" i="245"/>
  <c r="J80" i="245"/>
  <c r="AL80" i="245"/>
  <c r="K80" i="245"/>
  <c r="AM80" i="245"/>
  <c r="L80" i="245"/>
  <c r="AN80" i="245"/>
  <c r="M80" i="245"/>
  <c r="AO80" i="245"/>
  <c r="N80" i="245"/>
  <c r="AP80" i="245"/>
  <c r="O80" i="245"/>
  <c r="AQ80" i="245"/>
  <c r="P80" i="245"/>
  <c r="AR80" i="245"/>
  <c r="AE80" i="245"/>
  <c r="Q80" i="245"/>
  <c r="AS80" i="245"/>
  <c r="R80" i="245"/>
  <c r="AT80" i="245"/>
  <c r="S80" i="245"/>
  <c r="AU80" i="245"/>
  <c r="AC80" i="245"/>
  <c r="T80" i="245"/>
  <c r="U80" i="245"/>
  <c r="V80" i="245"/>
  <c r="AG80" i="245"/>
  <c r="W80" i="245"/>
  <c r="X80" i="245"/>
  <c r="Y80" i="245"/>
  <c r="Z80" i="245"/>
  <c r="AA80" i="245"/>
  <c r="AB80" i="245"/>
  <c r="AF80" i="245"/>
  <c r="AD80" i="245"/>
  <c r="F76" i="245"/>
  <c r="Z76" i="245"/>
  <c r="AA76" i="245"/>
  <c r="AB76" i="245"/>
  <c r="AC76" i="245"/>
  <c r="W76" i="245"/>
  <c r="AD76" i="245"/>
  <c r="AE76" i="245"/>
  <c r="AF76" i="245"/>
  <c r="AG76" i="245"/>
  <c r="AH76" i="245"/>
  <c r="AI76" i="245"/>
  <c r="H76" i="245"/>
  <c r="AJ76" i="245"/>
  <c r="I76" i="245"/>
  <c r="AK76" i="245"/>
  <c r="J76" i="245"/>
  <c r="AL76" i="245"/>
  <c r="K76" i="245"/>
  <c r="AM76" i="245"/>
  <c r="L76" i="245"/>
  <c r="AN76" i="245"/>
  <c r="M76" i="245"/>
  <c r="AO76" i="245"/>
  <c r="N76" i="245"/>
  <c r="AP76" i="245"/>
  <c r="O76" i="245"/>
  <c r="AQ76" i="245"/>
  <c r="P76" i="245"/>
  <c r="AR76" i="245"/>
  <c r="Q76" i="245"/>
  <c r="AS76" i="245"/>
  <c r="R76" i="245"/>
  <c r="AT76" i="245"/>
  <c r="S76" i="245"/>
  <c r="AU76" i="245"/>
  <c r="T76" i="245"/>
  <c r="U76" i="245"/>
  <c r="X76" i="245"/>
  <c r="Y76" i="245"/>
  <c r="V76" i="245"/>
  <c r="F79" i="245"/>
  <c r="R79" i="245"/>
  <c r="R109" i="245" s="1"/>
  <c r="AT79" i="245"/>
  <c r="AT109" i="245" s="1"/>
  <c r="S79" i="245"/>
  <c r="S109" i="245" s="1"/>
  <c r="AU79" i="245"/>
  <c r="AU109" i="245" s="1"/>
  <c r="AO79" i="245"/>
  <c r="AO109" i="245" s="1"/>
  <c r="AR79" i="245"/>
  <c r="AR109" i="245" s="1"/>
  <c r="T79" i="245"/>
  <c r="T109" i="245" s="1"/>
  <c r="U79" i="245"/>
  <c r="U109" i="245" s="1"/>
  <c r="V79" i="245"/>
  <c r="V109" i="245" s="1"/>
  <c r="AQ79" i="245"/>
  <c r="AQ109" i="245" s="1"/>
  <c r="W79" i="245"/>
  <c r="W109" i="245" s="1"/>
  <c r="X79" i="245"/>
  <c r="X109" i="245" s="1"/>
  <c r="Y79" i="245"/>
  <c r="Y109" i="245" s="1"/>
  <c r="Z79" i="245"/>
  <c r="Z109" i="245" s="1"/>
  <c r="AA79" i="245"/>
  <c r="AA109" i="245" s="1"/>
  <c r="AB79" i="245"/>
  <c r="AB109" i="245" s="1"/>
  <c r="AC79" i="245"/>
  <c r="AC109" i="245" s="1"/>
  <c r="Q79" i="245"/>
  <c r="Q109" i="245" s="1"/>
  <c r="AD79" i="245"/>
  <c r="AD109" i="245" s="1"/>
  <c r="P79" i="245"/>
  <c r="P109" i="245" s="1"/>
  <c r="AE79" i="245"/>
  <c r="AE109" i="245" s="1"/>
  <c r="AF79" i="245"/>
  <c r="AF109" i="245" s="1"/>
  <c r="AG79" i="245"/>
  <c r="AG109" i="245" s="1"/>
  <c r="AH79" i="245"/>
  <c r="AH109" i="245" s="1"/>
  <c r="O79" i="245"/>
  <c r="O109" i="245" s="1"/>
  <c r="AI79" i="245"/>
  <c r="AI109" i="245" s="1"/>
  <c r="H79" i="245"/>
  <c r="H109" i="245" s="1"/>
  <c r="AJ79" i="245"/>
  <c r="AJ109" i="245" s="1"/>
  <c r="AS79" i="245"/>
  <c r="AS109" i="245" s="1"/>
  <c r="I79" i="245"/>
  <c r="I109" i="245" s="1"/>
  <c r="AK79" i="245"/>
  <c r="AK109" i="245" s="1"/>
  <c r="J79" i="245"/>
  <c r="J109" i="245" s="1"/>
  <c r="AL79" i="245"/>
  <c r="AL109" i="245" s="1"/>
  <c r="K79" i="245"/>
  <c r="K109" i="245" s="1"/>
  <c r="AM79" i="245"/>
  <c r="AM109" i="245" s="1"/>
  <c r="L79" i="245"/>
  <c r="L109" i="245" s="1"/>
  <c r="AN79" i="245"/>
  <c r="AN109" i="245" s="1"/>
  <c r="M79" i="245"/>
  <c r="M109" i="245" s="1"/>
  <c r="N79" i="245"/>
  <c r="N109" i="245" s="1"/>
  <c r="AP79" i="245"/>
  <c r="AP109" i="245" s="1"/>
  <c r="F110" i="245"/>
  <c r="G110" i="245"/>
  <c r="J34" i="245"/>
  <c r="F34" i="245"/>
  <c r="AI32" i="245"/>
  <c r="F32" i="245"/>
  <c r="AB31" i="245"/>
  <c r="F31" i="245"/>
  <c r="AH30" i="245"/>
  <c r="F30" i="245"/>
  <c r="X29" i="245"/>
  <c r="F29" i="245"/>
  <c r="AS28" i="245"/>
  <c r="F28" i="245"/>
  <c r="AJ14" i="245"/>
  <c r="H13" i="245"/>
  <c r="F13" i="245"/>
  <c r="AN46" i="245"/>
  <c r="F46" i="245"/>
  <c r="AA42" i="245"/>
  <c r="F42" i="245"/>
  <c r="AC25" i="245"/>
  <c r="F25" i="245"/>
  <c r="AC36" i="245"/>
  <c r="F36" i="245"/>
  <c r="AM75" i="245"/>
  <c r="F75" i="245"/>
  <c r="AN23" i="245"/>
  <c r="F23" i="245"/>
  <c r="AL33" i="245"/>
  <c r="F33" i="245"/>
  <c r="AB19" i="245"/>
  <c r="F19" i="245"/>
  <c r="Z74" i="245"/>
  <c r="F74" i="245"/>
  <c r="AH37" i="245"/>
  <c r="F37" i="245"/>
  <c r="K73" i="245"/>
  <c r="F73" i="245"/>
  <c r="H24" i="245"/>
  <c r="F24" i="245"/>
  <c r="N22" i="245"/>
  <c r="F22" i="245"/>
  <c r="AL55" i="245"/>
  <c r="F55" i="245"/>
  <c r="H17" i="245"/>
  <c r="F17" i="245"/>
  <c r="K35" i="245"/>
  <c r="F35" i="245"/>
  <c r="G57" i="245"/>
  <c r="F57" i="245"/>
  <c r="AJ20" i="245"/>
  <c r="F20" i="245"/>
  <c r="K38" i="245"/>
  <c r="F38" i="245"/>
  <c r="J39" i="245"/>
  <c r="F39" i="245"/>
  <c r="U50" i="245"/>
  <c r="U51" i="245" s="1"/>
  <c r="AH18" i="245"/>
  <c r="AS48" i="245"/>
  <c r="P40" i="245"/>
  <c r="AT47" i="245"/>
  <c r="L7" i="245"/>
  <c r="T7" i="245"/>
  <c r="AJ7" i="245"/>
  <c r="X7" i="245"/>
  <c r="S41" i="245"/>
  <c r="G30" i="245"/>
  <c r="G80" i="245"/>
  <c r="B112" i="245"/>
  <c r="D112" i="245" s="1"/>
  <c r="V112" i="245" s="1"/>
  <c r="G79" i="245"/>
  <c r="G109" i="245" s="1"/>
  <c r="P111" i="245"/>
  <c r="AR111" i="245"/>
  <c r="Q111" i="245"/>
  <c r="AS111" i="245"/>
  <c r="AT111" i="245"/>
  <c r="R111" i="245"/>
  <c r="S111" i="245"/>
  <c r="AU111" i="245"/>
  <c r="T111" i="245"/>
  <c r="U111" i="245"/>
  <c r="AA111" i="245"/>
  <c r="AB111" i="245"/>
  <c r="AC111" i="245"/>
  <c r="Z111" i="245"/>
  <c r="AD111" i="245"/>
  <c r="AE111" i="245"/>
  <c r="AF111" i="245"/>
  <c r="J111" i="245"/>
  <c r="AL111" i="245"/>
  <c r="O111" i="245"/>
  <c r="V111" i="245"/>
  <c r="Y111" i="245"/>
  <c r="AG111" i="245"/>
  <c r="AO111" i="245"/>
  <c r="N111" i="245"/>
  <c r="X111" i="245"/>
  <c r="AH111" i="245"/>
  <c r="AI111" i="245"/>
  <c r="AK111" i="245"/>
  <c r="AP111" i="245"/>
  <c r="H111" i="245"/>
  <c r="AJ111" i="245"/>
  <c r="W111" i="245"/>
  <c r="I111" i="245"/>
  <c r="K111" i="245"/>
  <c r="AM111" i="245"/>
  <c r="AN111" i="245"/>
  <c r="M111" i="245"/>
  <c r="AQ111" i="245"/>
  <c r="G111" i="245"/>
  <c r="L111" i="245"/>
  <c r="AB110" i="245"/>
  <c r="AC110" i="245"/>
  <c r="AD110" i="245"/>
  <c r="AG110" i="245"/>
  <c r="I110" i="245"/>
  <c r="J110" i="245"/>
  <c r="AE110" i="245"/>
  <c r="AF110" i="245"/>
  <c r="AL110" i="245"/>
  <c r="AK110" i="245"/>
  <c r="L110" i="245"/>
  <c r="AN110" i="245"/>
  <c r="M110" i="245"/>
  <c r="AO110" i="245"/>
  <c r="N110" i="245"/>
  <c r="AP110" i="245"/>
  <c r="O110" i="245"/>
  <c r="AQ110" i="245"/>
  <c r="AM110" i="245"/>
  <c r="P110" i="245"/>
  <c r="AR110" i="245"/>
  <c r="AU110" i="245"/>
  <c r="V110" i="245"/>
  <c r="Y110" i="245"/>
  <c r="AI110" i="245"/>
  <c r="AJ110" i="245"/>
  <c r="Q110" i="245"/>
  <c r="AS110" i="245"/>
  <c r="S110" i="245"/>
  <c r="R110" i="245"/>
  <c r="AT110" i="245"/>
  <c r="AH110" i="245"/>
  <c r="K110" i="245"/>
  <c r="T110" i="245"/>
  <c r="U110" i="245"/>
  <c r="W110" i="245"/>
  <c r="X110" i="245"/>
  <c r="Z110" i="245"/>
  <c r="AA110" i="245"/>
  <c r="H110" i="245"/>
  <c r="G84" i="245"/>
  <c r="G88" i="245" s="1"/>
  <c r="G45" i="245"/>
  <c r="G34" i="245"/>
  <c r="H26" i="245"/>
  <c r="H53" i="245"/>
  <c r="H21" i="245"/>
  <c r="L49" i="245"/>
  <c r="G15" i="245"/>
  <c r="AT55" i="245"/>
  <c r="I55" i="245"/>
  <c r="AU29" i="245"/>
  <c r="AN29" i="245"/>
  <c r="AM29" i="245"/>
  <c r="AF29" i="245"/>
  <c r="I29" i="245"/>
  <c r="AD49" i="245"/>
  <c r="AC15" i="245"/>
  <c r="V49" i="245"/>
  <c r="X15" i="245"/>
  <c r="U49" i="245"/>
  <c r="N49" i="245"/>
  <c r="M49" i="245"/>
  <c r="S46" i="245"/>
  <c r="L50" i="245"/>
  <c r="L51" i="245" s="1"/>
  <c r="AP36" i="245"/>
  <c r="AT15" i="245"/>
  <c r="R15" i="245"/>
  <c r="AJ36" i="245"/>
  <c r="AI36" i="245"/>
  <c r="AA36" i="245"/>
  <c r="AM43" i="245"/>
  <c r="Y36" i="245"/>
  <c r="AP15" i="245"/>
  <c r="AG43" i="245"/>
  <c r="U36" i="245"/>
  <c r="AN22" i="245"/>
  <c r="AR34" i="245"/>
  <c r="V17" i="245"/>
  <c r="J43" i="245"/>
  <c r="AQ34" i="245"/>
  <c r="AB8" i="245"/>
  <c r="AH34" i="245"/>
  <c r="P15" i="245"/>
  <c r="AR54" i="245"/>
  <c r="AC34" i="245"/>
  <c r="U54" i="245"/>
  <c r="S34" i="245"/>
  <c r="S54" i="245"/>
  <c r="O34" i="245"/>
  <c r="AT69" i="245"/>
  <c r="R69" i="245"/>
  <c r="I34" i="245"/>
  <c r="U30" i="245"/>
  <c r="P69" i="245"/>
  <c r="R30" i="245"/>
  <c r="H30" i="245"/>
  <c r="AT26" i="245"/>
  <c r="AO12" i="245"/>
  <c r="AK15" i="245"/>
  <c r="M40" i="245"/>
  <c r="T36" i="245"/>
  <c r="H34" i="245"/>
  <c r="AE29" i="245"/>
  <c r="AS26" i="245"/>
  <c r="AL22" i="245"/>
  <c r="AN12" i="245"/>
  <c r="Y8" i="245"/>
  <c r="AP41" i="245"/>
  <c r="L40" i="245"/>
  <c r="S36" i="245"/>
  <c r="AQ31" i="245"/>
  <c r="AC29" i="245"/>
  <c r="AR26" i="245"/>
  <c r="AK22" i="245"/>
  <c r="AK12" i="245"/>
  <c r="X8" i="245"/>
  <c r="AU40" i="245"/>
  <c r="K40" i="245"/>
  <c r="R36" i="245"/>
  <c r="AU30" i="245"/>
  <c r="AB29" i="245"/>
  <c r="AQ26" i="245"/>
  <c r="AG22" i="245"/>
  <c r="AJ12" i="245"/>
  <c r="V8" i="245"/>
  <c r="G40" i="245"/>
  <c r="O40" i="245"/>
  <c r="G26" i="245"/>
  <c r="AT40" i="245"/>
  <c r="J40" i="245"/>
  <c r="Q36" i="245"/>
  <c r="AR30" i="245"/>
  <c r="AA29" i="245"/>
  <c r="AN26" i="245"/>
  <c r="AF22" i="245"/>
  <c r="AF12" i="245"/>
  <c r="U8" i="245"/>
  <c r="G20" i="245"/>
  <c r="AS40" i="245"/>
  <c r="I40" i="245"/>
  <c r="P36" i="245"/>
  <c r="AM30" i="245"/>
  <c r="W29" i="245"/>
  <c r="AF26" i="245"/>
  <c r="AC22" i="245"/>
  <c r="AE12" i="245"/>
  <c r="T8" i="245"/>
  <c r="AF15" i="245"/>
  <c r="G16" i="245"/>
  <c r="AR40" i="245"/>
  <c r="H40" i="245"/>
  <c r="O36" i="245"/>
  <c r="AK30" i="245"/>
  <c r="V29" i="245"/>
  <c r="AE26" i="245"/>
  <c r="AB22" i="245"/>
  <c r="AD12" i="245"/>
  <c r="S8" i="245"/>
  <c r="AQ40" i="245"/>
  <c r="AO39" i="245"/>
  <c r="N36" i="245"/>
  <c r="AJ30" i="245"/>
  <c r="T29" i="245"/>
  <c r="AB26" i="245"/>
  <c r="X22" i="245"/>
  <c r="AB12" i="245"/>
  <c r="R8" i="245"/>
  <c r="W22" i="245"/>
  <c r="P8" i="245"/>
  <c r="AA26" i="245"/>
  <c r="AN55" i="245"/>
  <c r="AN40" i="245"/>
  <c r="AC37" i="245"/>
  <c r="K36" i="245"/>
  <c r="AC30" i="245"/>
  <c r="R29" i="245"/>
  <c r="Z26" i="245"/>
  <c r="V22" i="245"/>
  <c r="W12" i="245"/>
  <c r="I8" i="245"/>
  <c r="AO40" i="245"/>
  <c r="AH38" i="245"/>
  <c r="L36" i="245"/>
  <c r="AD30" i="245"/>
  <c r="S29" i="245"/>
  <c r="X12" i="245"/>
  <c r="J49" i="245"/>
  <c r="AB15" i="245"/>
  <c r="Z43" i="245"/>
  <c r="AM55" i="245"/>
  <c r="AM40" i="245"/>
  <c r="AU36" i="245"/>
  <c r="J36" i="245"/>
  <c r="Z30" i="245"/>
  <c r="Q29" i="245"/>
  <c r="Y26" i="245"/>
  <c r="T22" i="245"/>
  <c r="T12" i="245"/>
  <c r="H8" i="245"/>
  <c r="AL40" i="245"/>
  <c r="AT36" i="245"/>
  <c r="I36" i="245"/>
  <c r="Y30" i="245"/>
  <c r="P29" i="245"/>
  <c r="X26" i="245"/>
  <c r="P22" i="245"/>
  <c r="R12" i="245"/>
  <c r="AK40" i="245"/>
  <c r="AS36" i="245"/>
  <c r="H36" i="245"/>
  <c r="X30" i="245"/>
  <c r="N29" i="245"/>
  <c r="V26" i="245"/>
  <c r="O22" i="245"/>
  <c r="Q12" i="245"/>
  <c r="L43" i="245"/>
  <c r="AJ40" i="245"/>
  <c r="AR36" i="245"/>
  <c r="AT34" i="245"/>
  <c r="W30" i="245"/>
  <c r="J29" i="245"/>
  <c r="U26" i="245"/>
  <c r="L22" i="245"/>
  <c r="P12" i="245"/>
  <c r="AI40" i="245"/>
  <c r="T26" i="245"/>
  <c r="J22" i="245"/>
  <c r="O12" i="245"/>
  <c r="AF40" i="245"/>
  <c r="AO36" i="245"/>
  <c r="V28" i="245"/>
  <c r="P26" i="245"/>
  <c r="I22" i="245"/>
  <c r="L12" i="245"/>
  <c r="V15" i="245"/>
  <c r="O50" i="245"/>
  <c r="O51" i="245" s="1"/>
  <c r="AE40" i="245"/>
  <c r="AN36" i="245"/>
  <c r="AN34" i="245"/>
  <c r="Q30" i="245"/>
  <c r="O26" i="245"/>
  <c r="H22" i="245"/>
  <c r="K12" i="245"/>
  <c r="U15" i="245"/>
  <c r="AM49" i="245"/>
  <c r="AD40" i="245"/>
  <c r="AM36" i="245"/>
  <c r="AM34" i="245"/>
  <c r="L30" i="245"/>
  <c r="L26" i="245"/>
  <c r="AK20" i="245"/>
  <c r="I12" i="245"/>
  <c r="T15" i="245"/>
  <c r="AJ49" i="245"/>
  <c r="AC40" i="245"/>
  <c r="AL36" i="245"/>
  <c r="AI34" i="245"/>
  <c r="J30" i="245"/>
  <c r="K26" i="245"/>
  <c r="V9" i="245"/>
  <c r="AB40" i="245"/>
  <c r="I26" i="245"/>
  <c r="AT8" i="245"/>
  <c r="Z40" i="245"/>
  <c r="AN15" i="245"/>
  <c r="AS8" i="245"/>
  <c r="AS15" i="245"/>
  <c r="AM45" i="245"/>
  <c r="Y40" i="245"/>
  <c r="AE36" i="245"/>
  <c r="AB34" i="245"/>
  <c r="AT29" i="245"/>
  <c r="K25" i="245"/>
  <c r="AI15" i="245"/>
  <c r="AO8" i="245"/>
  <c r="AJ53" i="245"/>
  <c r="X40" i="245"/>
  <c r="AD36" i="245"/>
  <c r="AA34" i="245"/>
  <c r="AR29" i="245"/>
  <c r="AH23" i="245"/>
  <c r="S15" i="245"/>
  <c r="AN8" i="245"/>
  <c r="V40" i="245"/>
  <c r="AT22" i="245"/>
  <c r="L15" i="245"/>
  <c r="AM8" i="245"/>
  <c r="AS22" i="245"/>
  <c r="J15" i="245"/>
  <c r="AK8" i="245"/>
  <c r="U40" i="245"/>
  <c r="AO15" i="245"/>
  <c r="K53" i="245"/>
  <c r="V48" i="245"/>
  <c r="R40" i="245"/>
  <c r="X36" i="245"/>
  <c r="N34" i="245"/>
  <c r="AJ29" i="245"/>
  <c r="AR22" i="245"/>
  <c r="AJ13" i="245"/>
  <c r="AJ8" i="245"/>
  <c r="G46" i="245"/>
  <c r="W47" i="245"/>
  <c r="Q40" i="245"/>
  <c r="W36" i="245"/>
  <c r="L34" i="245"/>
  <c r="AI29" i="245"/>
  <c r="AQ22" i="245"/>
  <c r="AT12" i="245"/>
  <c r="AG8" i="245"/>
  <c r="G43" i="245"/>
  <c r="G42" i="245"/>
  <c r="R47" i="245"/>
  <c r="V36" i="245"/>
  <c r="AG29" i="245"/>
  <c r="AP22" i="245"/>
  <c r="AF8" i="245"/>
  <c r="U56" i="245"/>
  <c r="V56" i="245"/>
  <c r="W56" i="245"/>
  <c r="X56" i="245"/>
  <c r="Y56" i="245"/>
  <c r="AI56" i="245"/>
  <c r="H56" i="245"/>
  <c r="AJ56" i="245"/>
  <c r="I56" i="245"/>
  <c r="AK56" i="245"/>
  <c r="J56" i="245"/>
  <c r="AL56" i="245"/>
  <c r="K56" i="245"/>
  <c r="AM56" i="245"/>
  <c r="L56" i="245"/>
  <c r="AN56" i="245"/>
  <c r="M56" i="245"/>
  <c r="AO56" i="245"/>
  <c r="N56" i="245"/>
  <c r="AP56" i="245"/>
  <c r="R56" i="245"/>
  <c r="AT56" i="245"/>
  <c r="AQ56" i="245"/>
  <c r="AR56" i="245"/>
  <c r="AS56" i="245"/>
  <c r="AU56" i="245"/>
  <c r="O56" i="245"/>
  <c r="P56" i="245"/>
  <c r="Q56" i="245"/>
  <c r="S56" i="245"/>
  <c r="G56" i="245"/>
  <c r="T56" i="245"/>
  <c r="Z56" i="245"/>
  <c r="AA56" i="245"/>
  <c r="AB56" i="245"/>
  <c r="AC56" i="245"/>
  <c r="AD56" i="245"/>
  <c r="AE56" i="245"/>
  <c r="AF56" i="245"/>
  <c r="AG56" i="245"/>
  <c r="I19" i="245"/>
  <c r="AC7" i="245"/>
  <c r="M55" i="245"/>
  <c r="AO55" i="245"/>
  <c r="P55" i="245"/>
  <c r="AR55" i="245"/>
  <c r="AA55" i="245"/>
  <c r="AB55" i="245"/>
  <c r="AE55" i="245"/>
  <c r="AF55" i="245"/>
  <c r="AI55" i="245"/>
  <c r="AS55" i="245"/>
  <c r="H55" i="245"/>
  <c r="S50" i="245"/>
  <c r="S51" i="245" s="1"/>
  <c r="T48" i="245"/>
  <c r="V47" i="245"/>
  <c r="Q46" i="245"/>
  <c r="AO41" i="245"/>
  <c r="AN39" i="245"/>
  <c r="AG38" i="245"/>
  <c r="AB37" i="245"/>
  <c r="V35" i="245"/>
  <c r="I33" i="245"/>
  <c r="AP31" i="245"/>
  <c r="Q28" i="245"/>
  <c r="J25" i="245"/>
  <c r="AG23" i="245"/>
  <c r="AR18" i="245"/>
  <c r="S17" i="245"/>
  <c r="AG13" i="245"/>
  <c r="T9" i="245"/>
  <c r="U7" i="245"/>
  <c r="V34" i="245"/>
  <c r="AD34" i="245"/>
  <c r="AG34" i="245"/>
  <c r="AJ34" i="245"/>
  <c r="AK34" i="245"/>
  <c r="K34" i="245"/>
  <c r="AO34" i="245"/>
  <c r="Q34" i="245"/>
  <c r="AU34" i="245"/>
  <c r="R34" i="245"/>
  <c r="U34" i="245"/>
  <c r="W34" i="245"/>
  <c r="X34" i="245"/>
  <c r="Z34" i="245"/>
  <c r="AI20" i="245"/>
  <c r="U20" i="245"/>
  <c r="V20" i="245"/>
  <c r="W20" i="245"/>
  <c r="Z20" i="245"/>
  <c r="AD20" i="245"/>
  <c r="AM20" i="245"/>
  <c r="H20" i="245"/>
  <c r="AP20" i="245"/>
  <c r="I20" i="245"/>
  <c r="AQ20" i="245"/>
  <c r="K20" i="245"/>
  <c r="AS20" i="245"/>
  <c r="M20" i="245"/>
  <c r="AU20" i="245"/>
  <c r="O20" i="245"/>
  <c r="S20" i="245"/>
  <c r="X20" i="245"/>
  <c r="T20" i="245"/>
  <c r="AA20" i="245"/>
  <c r="AB20" i="245"/>
  <c r="AC20" i="245"/>
  <c r="AF20" i="245"/>
  <c r="AF53" i="245"/>
  <c r="AQ55" i="245"/>
  <c r="R50" i="245"/>
  <c r="R51" i="245" s="1"/>
  <c r="R49" i="245"/>
  <c r="S48" i="245"/>
  <c r="U47" i="245"/>
  <c r="P46" i="245"/>
  <c r="AU42" i="245"/>
  <c r="AL41" i="245"/>
  <c r="AM39" i="245"/>
  <c r="AE38" i="245"/>
  <c r="Z37" i="245"/>
  <c r="U35" i="245"/>
  <c r="M34" i="245"/>
  <c r="H33" i="245"/>
  <c r="AN31" i="245"/>
  <c r="P28" i="245"/>
  <c r="H25" i="245"/>
  <c r="AF23" i="245"/>
  <c r="AH20" i="245"/>
  <c r="AQ18" i="245"/>
  <c r="R17" i="245"/>
  <c r="AF13" i="245"/>
  <c r="AR11" i="245"/>
  <c r="O9" i="245"/>
  <c r="AT54" i="245"/>
  <c r="W53" i="245"/>
  <c r="AP55" i="245"/>
  <c r="P50" i="245"/>
  <c r="P51" i="245" s="1"/>
  <c r="Q49" i="245"/>
  <c r="R48" i="245"/>
  <c r="T47" i="245"/>
  <c r="O46" i="245"/>
  <c r="AS42" i="245"/>
  <c r="AK41" i="245"/>
  <c r="AL39" i="245"/>
  <c r="AC38" i="245"/>
  <c r="U37" i="245"/>
  <c r="T35" i="245"/>
  <c r="AU32" i="245"/>
  <c r="AM31" i="245"/>
  <c r="M28" i="245"/>
  <c r="AR24" i="245"/>
  <c r="AC23" i="245"/>
  <c r="AG20" i="245"/>
  <c r="AP18" i="245"/>
  <c r="P17" i="245"/>
  <c r="AE13" i="245"/>
  <c r="AQ11" i="245"/>
  <c r="N9" i="245"/>
  <c r="Q48" i="245"/>
  <c r="N46" i="245"/>
  <c r="AQ42" i="245"/>
  <c r="AJ41" i="245"/>
  <c r="AJ39" i="245"/>
  <c r="AB38" i="245"/>
  <c r="T37" i="245"/>
  <c r="S35" i="245"/>
  <c r="AR32" i="245"/>
  <c r="AK31" i="245"/>
  <c r="L28" i="245"/>
  <c r="AP24" i="245"/>
  <c r="AB23" i="245"/>
  <c r="AE20" i="245"/>
  <c r="AO18" i="245"/>
  <c r="N17" i="245"/>
  <c r="AC13" i="245"/>
  <c r="AO11" i="245"/>
  <c r="M9" i="245"/>
  <c r="G41" i="245"/>
  <c r="N50" i="245"/>
  <c r="N51" i="245" s="1"/>
  <c r="O48" i="245"/>
  <c r="Q47" i="245"/>
  <c r="L46" i="245"/>
  <c r="AP42" i="245"/>
  <c r="AI41" i="245"/>
  <c r="AF39" i="245"/>
  <c r="Y38" i="245"/>
  <c r="Q37" i="245"/>
  <c r="Q35" i="245"/>
  <c r="AN32" i="245"/>
  <c r="AH31" i="245"/>
  <c r="H28" i="245"/>
  <c r="AM24" i="245"/>
  <c r="Y23" i="245"/>
  <c r="Y20" i="245"/>
  <c r="AN18" i="245"/>
  <c r="M17" i="245"/>
  <c r="AB13" i="245"/>
  <c r="AN11" i="245"/>
  <c r="L9" i="245"/>
  <c r="AN75" i="245"/>
  <c r="M50" i="245"/>
  <c r="M51" i="245" s="1"/>
  <c r="N48" i="245"/>
  <c r="M47" i="245"/>
  <c r="K46" i="245"/>
  <c r="AO42" i="245"/>
  <c r="AH41" i="245"/>
  <c r="AE39" i="245"/>
  <c r="X38" i="245"/>
  <c r="P37" i="245"/>
  <c r="O35" i="245"/>
  <c r="AM32" i="245"/>
  <c r="AG31" i="245"/>
  <c r="AK24" i="245"/>
  <c r="X23" i="245"/>
  <c r="R20" i="245"/>
  <c r="AL18" i="245"/>
  <c r="L17" i="245"/>
  <c r="R13" i="245"/>
  <c r="AM11" i="245"/>
  <c r="AL54" i="245"/>
  <c r="J53" i="245"/>
  <c r="G39" i="245"/>
  <c r="AK55" i="245"/>
  <c r="K49" i="245"/>
  <c r="L48" i="245"/>
  <c r="L47" i="245"/>
  <c r="J46" i="245"/>
  <c r="AN42" i="245"/>
  <c r="AF41" i="245"/>
  <c r="AB39" i="245"/>
  <c r="V38" i="245"/>
  <c r="O37" i="245"/>
  <c r="AS33" i="245"/>
  <c r="AJ32" i="245"/>
  <c r="AE31" i="245"/>
  <c r="AJ24" i="245"/>
  <c r="W23" i="245"/>
  <c r="AU21" i="245"/>
  <c r="Q20" i="245"/>
  <c r="K17" i="245"/>
  <c r="L13" i="245"/>
  <c r="AL11" i="245"/>
  <c r="AA74" i="245"/>
  <c r="J35" i="245"/>
  <c r="AL35" i="245"/>
  <c r="R35" i="245"/>
  <c r="AT35" i="245"/>
  <c r="W35" i="245"/>
  <c r="Z35" i="245"/>
  <c r="AA35" i="245"/>
  <c r="AE35" i="245"/>
  <c r="AK35" i="245"/>
  <c r="H35" i="245"/>
  <c r="AM35" i="245"/>
  <c r="L35" i="245"/>
  <c r="AP35" i="245"/>
  <c r="M35" i="245"/>
  <c r="AQ35" i="245"/>
  <c r="N35" i="245"/>
  <c r="AR35" i="245"/>
  <c r="P35" i="245"/>
  <c r="AU35" i="245"/>
  <c r="AE18" i="245"/>
  <c r="Q18" i="245"/>
  <c r="AS18" i="245"/>
  <c r="R18" i="245"/>
  <c r="AT18" i="245"/>
  <c r="S18" i="245"/>
  <c r="AU18" i="245"/>
  <c r="V18" i="245"/>
  <c r="Z18" i="245"/>
  <c r="K18" i="245"/>
  <c r="N18" i="245"/>
  <c r="O18" i="245"/>
  <c r="T18" i="245"/>
  <c r="W18" i="245"/>
  <c r="Y18" i="245"/>
  <c r="AD18" i="245"/>
  <c r="AG18" i="245"/>
  <c r="AF18" i="245"/>
  <c r="AI18" i="245"/>
  <c r="AJ18" i="245"/>
  <c r="AK18" i="245"/>
  <c r="AM18" i="245"/>
  <c r="Q50" i="245"/>
  <c r="Q51" i="245" s="1"/>
  <c r="AS50" i="245"/>
  <c r="AS51" i="245" s="1"/>
  <c r="T50" i="245"/>
  <c r="T51" i="245" s="1"/>
  <c r="Y50" i="245"/>
  <c r="Y51" i="245" s="1"/>
  <c r="AE50" i="245"/>
  <c r="AE51" i="245" s="1"/>
  <c r="AF50" i="245"/>
  <c r="AF51" i="245" s="1"/>
  <c r="G50" i="245"/>
  <c r="G51" i="245" s="1"/>
  <c r="AI50" i="245"/>
  <c r="AI51" i="245" s="1"/>
  <c r="H50" i="245"/>
  <c r="H51" i="245" s="1"/>
  <c r="AJ50" i="245"/>
  <c r="AJ51" i="245" s="1"/>
  <c r="K50" i="245"/>
  <c r="K51" i="245" s="1"/>
  <c r="AM50" i="245"/>
  <c r="AM51" i="245" s="1"/>
  <c r="AP43" i="245"/>
  <c r="I53" i="245"/>
  <c r="G37" i="245"/>
  <c r="AJ55" i="245"/>
  <c r="J50" i="245"/>
  <c r="J51" i="245" s="1"/>
  <c r="K48" i="245"/>
  <c r="I47" i="245"/>
  <c r="I46" i="245"/>
  <c r="AM42" i="245"/>
  <c r="AE41" i="245"/>
  <c r="AA39" i="245"/>
  <c r="U38" i="245"/>
  <c r="M37" i="245"/>
  <c r="I35" i="245"/>
  <c r="AR33" i="245"/>
  <c r="AC31" i="245"/>
  <c r="AI24" i="245"/>
  <c r="U23" i="245"/>
  <c r="AR21" i="245"/>
  <c r="P20" i="245"/>
  <c r="AC18" i="245"/>
  <c r="J13" i="245"/>
  <c r="AK11" i="245"/>
  <c r="R32" i="245"/>
  <c r="AT32" i="245"/>
  <c r="Z32" i="245"/>
  <c r="V32" i="245"/>
  <c r="Y32" i="245"/>
  <c r="AA32" i="245"/>
  <c r="AE32" i="245"/>
  <c r="AK32" i="245"/>
  <c r="H32" i="245"/>
  <c r="AL32" i="245"/>
  <c r="K32" i="245"/>
  <c r="AO32" i="245"/>
  <c r="L32" i="245"/>
  <c r="AP32" i="245"/>
  <c r="M32" i="245"/>
  <c r="AQ32" i="245"/>
  <c r="O32" i="245"/>
  <c r="AS32" i="245"/>
  <c r="AA54" i="245"/>
  <c r="AB54" i="245"/>
  <c r="AI54" i="245"/>
  <c r="AJ54" i="245"/>
  <c r="AP54" i="245"/>
  <c r="J72" i="245"/>
  <c r="AL72" i="245"/>
  <c r="K72" i="245"/>
  <c r="AM72" i="245"/>
  <c r="L72" i="245"/>
  <c r="AN72" i="245"/>
  <c r="M72" i="245"/>
  <c r="AO72" i="245"/>
  <c r="N72" i="245"/>
  <c r="AP72" i="245"/>
  <c r="X72" i="245"/>
  <c r="Y72" i="245"/>
  <c r="Z72" i="245"/>
  <c r="AA72" i="245"/>
  <c r="AB72" i="245"/>
  <c r="AC72" i="245"/>
  <c r="AD72" i="245"/>
  <c r="AE72" i="245"/>
  <c r="AI72" i="245"/>
  <c r="H72" i="245"/>
  <c r="I72" i="245"/>
  <c r="O72" i="245"/>
  <c r="P72" i="245"/>
  <c r="Q72" i="245"/>
  <c r="R72" i="245"/>
  <c r="S72" i="245"/>
  <c r="T72" i="245"/>
  <c r="U72" i="245"/>
  <c r="V72" i="245"/>
  <c r="W72" i="245"/>
  <c r="G72" i="245"/>
  <c r="AF72" i="245"/>
  <c r="AG72" i="245"/>
  <c r="AH72" i="245"/>
  <c r="AJ72" i="245"/>
  <c r="AK72" i="245"/>
  <c r="AQ72" i="245"/>
  <c r="AR72" i="245"/>
  <c r="AS72" i="245"/>
  <c r="AT72" i="245"/>
  <c r="AU72" i="245"/>
  <c r="AC49" i="245"/>
  <c r="AF49" i="245"/>
  <c r="I49" i="245"/>
  <c r="AK49" i="245"/>
  <c r="O49" i="245"/>
  <c r="AQ49" i="245"/>
  <c r="G49" i="245"/>
  <c r="P49" i="245"/>
  <c r="AR49" i="245"/>
  <c r="S49" i="245"/>
  <c r="AU49" i="245"/>
  <c r="T49" i="245"/>
  <c r="W49" i="245"/>
  <c r="AH55" i="245"/>
  <c r="H49" i="245"/>
  <c r="Y39" i="245"/>
  <c r="T38" i="245"/>
  <c r="L37" i="245"/>
  <c r="AO33" i="245"/>
  <c r="AH32" i="245"/>
  <c r="AG24" i="245"/>
  <c r="T23" i="245"/>
  <c r="AO21" i="245"/>
  <c r="N20" i="245"/>
  <c r="AB18" i="245"/>
  <c r="Q11" i="245"/>
  <c r="J33" i="245"/>
  <c r="W52" i="245"/>
  <c r="P52" i="245"/>
  <c r="N74" i="245"/>
  <c r="AP74" i="245"/>
  <c r="O74" i="245"/>
  <c r="AQ74" i="245"/>
  <c r="P74" i="245"/>
  <c r="AR74" i="245"/>
  <c r="Q74" i="245"/>
  <c r="AS74" i="245"/>
  <c r="R74" i="245"/>
  <c r="AT74" i="245"/>
  <c r="AB74" i="245"/>
  <c r="AC74" i="245"/>
  <c r="AD74" i="245"/>
  <c r="AE74" i="245"/>
  <c r="AF74" i="245"/>
  <c r="AG74" i="245"/>
  <c r="AH74" i="245"/>
  <c r="AI74" i="245"/>
  <c r="K74" i="245"/>
  <c r="AM74" i="245"/>
  <c r="AJ74" i="245"/>
  <c r="AK74" i="245"/>
  <c r="AL74" i="245"/>
  <c r="AN74" i="245"/>
  <c r="AO74" i="245"/>
  <c r="AU74" i="245"/>
  <c r="H74" i="245"/>
  <c r="I74" i="245"/>
  <c r="G74" i="245"/>
  <c r="J74" i="245"/>
  <c r="L74" i="245"/>
  <c r="M74" i="245"/>
  <c r="S74" i="245"/>
  <c r="T74" i="245"/>
  <c r="U74" i="245"/>
  <c r="V74" i="245"/>
  <c r="W74" i="245"/>
  <c r="X74" i="245"/>
  <c r="Y74" i="245"/>
  <c r="T53" i="245"/>
  <c r="V53" i="245"/>
  <c r="AK53" i="245"/>
  <c r="Z73" i="245"/>
  <c r="AA73" i="245"/>
  <c r="AB73" i="245"/>
  <c r="AC73" i="245"/>
  <c r="AD73" i="245"/>
  <c r="L73" i="245"/>
  <c r="AN73" i="245"/>
  <c r="M73" i="245"/>
  <c r="AO73" i="245"/>
  <c r="N73" i="245"/>
  <c r="AP73" i="245"/>
  <c r="O73" i="245"/>
  <c r="AQ73" i="245"/>
  <c r="P73" i="245"/>
  <c r="AR73" i="245"/>
  <c r="Q73" i="245"/>
  <c r="AS73" i="245"/>
  <c r="R73" i="245"/>
  <c r="AT73" i="245"/>
  <c r="S73" i="245"/>
  <c r="AU73" i="245"/>
  <c r="W73" i="245"/>
  <c r="T73" i="245"/>
  <c r="U73" i="245"/>
  <c r="V73" i="245"/>
  <c r="X73" i="245"/>
  <c r="Y73" i="245"/>
  <c r="AE73" i="245"/>
  <c r="AF73" i="245"/>
  <c r="AG73" i="245"/>
  <c r="AH73" i="245"/>
  <c r="AI73" i="245"/>
  <c r="AJ73" i="245"/>
  <c r="AK73" i="245"/>
  <c r="AL73" i="245"/>
  <c r="AM73" i="245"/>
  <c r="G73" i="245"/>
  <c r="H73" i="245"/>
  <c r="I73" i="245"/>
  <c r="AD31" i="245"/>
  <c r="J31" i="245"/>
  <c r="AL31" i="245"/>
  <c r="AF31" i="245"/>
  <c r="AI31" i="245"/>
  <c r="AJ31" i="245"/>
  <c r="K31" i="245"/>
  <c r="AO31" i="245"/>
  <c r="Q31" i="245"/>
  <c r="AU31" i="245"/>
  <c r="R31" i="245"/>
  <c r="U31" i="245"/>
  <c r="V31" i="245"/>
  <c r="W31" i="245"/>
  <c r="Y31" i="245"/>
  <c r="O17" i="245"/>
  <c r="AQ17" i="245"/>
  <c r="AC17" i="245"/>
  <c r="AD17" i="245"/>
  <c r="AE17" i="245"/>
  <c r="AH17" i="245"/>
  <c r="J17" i="245"/>
  <c r="AL17" i="245"/>
  <c r="Q17" i="245"/>
  <c r="T17" i="245"/>
  <c r="U17" i="245"/>
  <c r="W17" i="245"/>
  <c r="Y17" i="245"/>
  <c r="AA17" i="245"/>
  <c r="AI17" i="245"/>
  <c r="AK17" i="245"/>
  <c r="AJ17" i="245"/>
  <c r="AN17" i="245"/>
  <c r="AO17" i="245"/>
  <c r="AP17" i="245"/>
  <c r="I17" i="245"/>
  <c r="AS17" i="245"/>
  <c r="I43" i="245"/>
  <c r="AR43" i="245"/>
  <c r="AD43" i="245"/>
  <c r="AE43" i="245"/>
  <c r="AH43" i="245"/>
  <c r="AI43" i="245"/>
  <c r="AL43" i="245"/>
  <c r="V71" i="245"/>
  <c r="W71" i="245"/>
  <c r="X71" i="245"/>
  <c r="Y71" i="245"/>
  <c r="Z71" i="245"/>
  <c r="H71" i="245"/>
  <c r="AJ71" i="245"/>
  <c r="I71" i="245"/>
  <c r="AK71" i="245"/>
  <c r="J71" i="245"/>
  <c r="AL71" i="245"/>
  <c r="K71" i="245"/>
  <c r="AM71" i="245"/>
  <c r="L71" i="245"/>
  <c r="AN71" i="245"/>
  <c r="M71" i="245"/>
  <c r="AO71" i="245"/>
  <c r="N71" i="245"/>
  <c r="AP71" i="245"/>
  <c r="O71" i="245"/>
  <c r="AQ71" i="245"/>
  <c r="S71" i="245"/>
  <c r="AU71" i="245"/>
  <c r="AR71" i="245"/>
  <c r="AS71" i="245"/>
  <c r="AT71" i="245"/>
  <c r="G71" i="245"/>
  <c r="P71" i="245"/>
  <c r="Q71" i="245"/>
  <c r="R71" i="245"/>
  <c r="T71" i="245"/>
  <c r="U71" i="245"/>
  <c r="AA71" i="245"/>
  <c r="AB71" i="245"/>
  <c r="AC71" i="245"/>
  <c r="AD71" i="245"/>
  <c r="AE71" i="245"/>
  <c r="AF71" i="245"/>
  <c r="AG71" i="245"/>
  <c r="AG54" i="245"/>
  <c r="AU50" i="245"/>
  <c r="AU51" i="245" s="1"/>
  <c r="I50" i="245"/>
  <c r="I51" i="245" s="1"/>
  <c r="J48" i="245"/>
  <c r="H47" i="245"/>
  <c r="AJ42" i="245"/>
  <c r="AC41" i="245"/>
  <c r="G44" i="245"/>
  <c r="AL45" i="245"/>
  <c r="N30" i="245"/>
  <c r="AP30" i="245"/>
  <c r="V30" i="245"/>
  <c r="K30" i="245"/>
  <c r="AO30" i="245"/>
  <c r="O30" i="245"/>
  <c r="AS30" i="245"/>
  <c r="P30" i="245"/>
  <c r="AT30" i="245"/>
  <c r="T30" i="245"/>
  <c r="AA30" i="245"/>
  <c r="AB30" i="245"/>
  <c r="AE30" i="245"/>
  <c r="AF30" i="245"/>
  <c r="AG30" i="245"/>
  <c r="AI30" i="245"/>
  <c r="M16" i="245"/>
  <c r="AO16" i="245"/>
  <c r="O16" i="245"/>
  <c r="AQ16" i="245"/>
  <c r="V16" i="245"/>
  <c r="U16" i="245"/>
  <c r="AC16" i="245"/>
  <c r="AE16" i="245"/>
  <c r="AM16" i="245"/>
  <c r="AL16" i="245"/>
  <c r="AS16" i="245"/>
  <c r="I16" i="245"/>
  <c r="AH70" i="245"/>
  <c r="AI70" i="245"/>
  <c r="H70" i="245"/>
  <c r="AJ70" i="245"/>
  <c r="G70" i="245"/>
  <c r="I70" i="245"/>
  <c r="AK70" i="245"/>
  <c r="J70" i="245"/>
  <c r="AL70" i="245"/>
  <c r="T70" i="245"/>
  <c r="U70" i="245"/>
  <c r="V70" i="245"/>
  <c r="W70" i="245"/>
  <c r="X70" i="245"/>
  <c r="Y70" i="245"/>
  <c r="Z70" i="245"/>
  <c r="AA70" i="245"/>
  <c r="AE70" i="245"/>
  <c r="AB70" i="245"/>
  <c r="AC70" i="245"/>
  <c r="AD70" i="245"/>
  <c r="AF70" i="245"/>
  <c r="AG70" i="245"/>
  <c r="AM70" i="245"/>
  <c r="AN70" i="245"/>
  <c r="AO70" i="245"/>
  <c r="AP70" i="245"/>
  <c r="AQ70" i="245"/>
  <c r="AR70" i="245"/>
  <c r="AS70" i="245"/>
  <c r="AT70" i="245"/>
  <c r="AU70" i="245"/>
  <c r="K70" i="245"/>
  <c r="L70" i="245"/>
  <c r="M70" i="245"/>
  <c r="N70" i="245"/>
  <c r="O70" i="245"/>
  <c r="P70" i="245"/>
  <c r="Q70" i="245"/>
  <c r="AN43" i="245"/>
  <c r="AT52" i="245"/>
  <c r="AG55" i="245"/>
  <c r="AH54" i="245"/>
  <c r="AT50" i="245"/>
  <c r="AT51" i="245" s="1"/>
  <c r="AT49" i="245"/>
  <c r="AU48" i="245"/>
  <c r="I48" i="245"/>
  <c r="AU46" i="245"/>
  <c r="AO43" i="245"/>
  <c r="AF42" i="245"/>
  <c r="Z41" i="245"/>
  <c r="X39" i="245"/>
  <c r="S38" i="245"/>
  <c r="J37" i="245"/>
  <c r="AS34" i="245"/>
  <c r="AN33" i="245"/>
  <c r="AG32" i="245"/>
  <c r="AA31" i="245"/>
  <c r="S30" i="245"/>
  <c r="AB24" i="245"/>
  <c r="Q23" i="245"/>
  <c r="AI21" i="245"/>
  <c r="L20" i="245"/>
  <c r="AA18" i="245"/>
  <c r="AJ16" i="245"/>
  <c r="M11" i="245"/>
  <c r="J73" i="245"/>
  <c r="AF69" i="245"/>
  <c r="AU69" i="245"/>
  <c r="G69" i="245"/>
  <c r="V69" i="245"/>
  <c r="W69" i="245"/>
  <c r="X69" i="245"/>
  <c r="Y69" i="245"/>
  <c r="Z69" i="245"/>
  <c r="AA69" i="245"/>
  <c r="AB69" i="245"/>
  <c r="AC69" i="245"/>
  <c r="AH69" i="245"/>
  <c r="H69" i="245"/>
  <c r="M69" i="245"/>
  <c r="S69" i="245"/>
  <c r="U69" i="245"/>
  <c r="AD69" i="245"/>
  <c r="AE69" i="245"/>
  <c r="AG69" i="245"/>
  <c r="AJ69" i="245"/>
  <c r="AO69" i="245"/>
  <c r="AS52" i="245"/>
  <c r="G33" i="245"/>
  <c r="AD55" i="245"/>
  <c r="AR50" i="245"/>
  <c r="AR51" i="245" s="1"/>
  <c r="AS49" i="245"/>
  <c r="AT48" i="245"/>
  <c r="H48" i="245"/>
  <c r="AS46" i="245"/>
  <c r="AE42" i="245"/>
  <c r="Y41" i="245"/>
  <c r="W39" i="245"/>
  <c r="R38" i="245"/>
  <c r="I37" i="245"/>
  <c r="AM33" i="245"/>
  <c r="AF32" i="245"/>
  <c r="Z31" i="245"/>
  <c r="AR25" i="245"/>
  <c r="AA24" i="245"/>
  <c r="J23" i="245"/>
  <c r="AH21" i="245"/>
  <c r="J20" i="245"/>
  <c r="X18" i="245"/>
  <c r="AR14" i="245"/>
  <c r="J11" i="245"/>
  <c r="AI71" i="245"/>
  <c r="X35" i="245"/>
  <c r="AE75" i="245"/>
  <c r="AF75" i="245"/>
  <c r="P75" i="245"/>
  <c r="Q75" i="245"/>
  <c r="AS75" i="245"/>
  <c r="R75" i="245"/>
  <c r="AT75" i="245"/>
  <c r="S75" i="245"/>
  <c r="AU75" i="245"/>
  <c r="T75" i="245"/>
  <c r="U75" i="245"/>
  <c r="V75" i="245"/>
  <c r="W75" i="245"/>
  <c r="AA75" i="245"/>
  <c r="AO75" i="245"/>
  <c r="AP75" i="245"/>
  <c r="AQ75" i="245"/>
  <c r="AR75" i="245"/>
  <c r="H75" i="245"/>
  <c r="I75" i="245"/>
  <c r="J75" i="245"/>
  <c r="K75" i="245"/>
  <c r="L75" i="245"/>
  <c r="M75" i="245"/>
  <c r="N75" i="245"/>
  <c r="O75" i="245"/>
  <c r="X75" i="245"/>
  <c r="Y75" i="245"/>
  <c r="Z75" i="245"/>
  <c r="G75" i="245"/>
  <c r="AB75" i="245"/>
  <c r="AC75" i="245"/>
  <c r="AD75" i="245"/>
  <c r="AG75" i="245"/>
  <c r="AH75" i="245"/>
  <c r="AI75" i="245"/>
  <c r="AJ75" i="245"/>
  <c r="AK75" i="245"/>
  <c r="AL75" i="245"/>
  <c r="AL68" i="245"/>
  <c r="AF68" i="245"/>
  <c r="AH68" i="245"/>
  <c r="AI68" i="245"/>
  <c r="AJ68" i="245"/>
  <c r="AK68" i="245"/>
  <c r="H68" i="245"/>
  <c r="I68" i="245"/>
  <c r="J68" i="245"/>
  <c r="Y68" i="245"/>
  <c r="K68" i="245"/>
  <c r="L68" i="245"/>
  <c r="M68" i="245"/>
  <c r="Z68" i="245"/>
  <c r="AD68" i="245"/>
  <c r="AN68" i="245"/>
  <c r="AO68" i="245"/>
  <c r="AP68" i="245"/>
  <c r="AT68" i="245"/>
  <c r="AK43" i="245"/>
  <c r="AR52" i="245"/>
  <c r="G32" i="245"/>
  <c r="AC55" i="245"/>
  <c r="AQ50" i="245"/>
  <c r="AQ51" i="245" s="1"/>
  <c r="AP49" i="245"/>
  <c r="AR46" i="245"/>
  <c r="AB42" i="245"/>
  <c r="W41" i="245"/>
  <c r="U39" i="245"/>
  <c r="P38" i="245"/>
  <c r="H37" i="245"/>
  <c r="AD32" i="245"/>
  <c r="X31" i="245"/>
  <c r="AP25" i="245"/>
  <c r="Z24" i="245"/>
  <c r="I23" i="245"/>
  <c r="AF21" i="245"/>
  <c r="AT19" i="245"/>
  <c r="U18" i="245"/>
  <c r="AH16" i="245"/>
  <c r="AO14" i="245"/>
  <c r="I11" i="245"/>
  <c r="AH71" i="245"/>
  <c r="AH33" i="245"/>
  <c r="N33" i="245"/>
  <c r="AP33" i="245"/>
  <c r="L33" i="245"/>
  <c r="AQ33" i="245"/>
  <c r="P33" i="245"/>
  <c r="AT33" i="245"/>
  <c r="Q33" i="245"/>
  <c r="AU33" i="245"/>
  <c r="U33" i="245"/>
  <c r="AA33" i="245"/>
  <c r="AB33" i="245"/>
  <c r="AE33" i="245"/>
  <c r="AF33" i="245"/>
  <c r="AG33" i="245"/>
  <c r="AJ33" i="245"/>
  <c r="AA7" i="245"/>
  <c r="AB7" i="245"/>
  <c r="M7" i="245"/>
  <c r="AO7" i="245"/>
  <c r="N7" i="245"/>
  <c r="AP7" i="245"/>
  <c r="O7" i="245"/>
  <c r="AQ7" i="245"/>
  <c r="P7" i="245"/>
  <c r="AR7" i="245"/>
  <c r="S7" i="245"/>
  <c r="AU7" i="245"/>
  <c r="W7" i="245"/>
  <c r="V7" i="245"/>
  <c r="Y7" i="245"/>
  <c r="Z7" i="245"/>
  <c r="AE7" i="245"/>
  <c r="AF7" i="245"/>
  <c r="AG7" i="245"/>
  <c r="AH7" i="245"/>
  <c r="AI7" i="245"/>
  <c r="AK7" i="245"/>
  <c r="AL7" i="245"/>
  <c r="AM7" i="245"/>
  <c r="AN7" i="245"/>
  <c r="AS7" i="245"/>
  <c r="AT7" i="245"/>
  <c r="G7" i="245"/>
  <c r="H7" i="245"/>
  <c r="I7" i="245"/>
  <c r="J7" i="245"/>
  <c r="K7" i="245"/>
  <c r="Q7" i="245"/>
  <c r="R7" i="245"/>
  <c r="M48" i="245"/>
  <c r="AO48" i="245"/>
  <c r="P48" i="245"/>
  <c r="AR48" i="245"/>
  <c r="U48" i="245"/>
  <c r="AA48" i="245"/>
  <c r="AB48" i="245"/>
  <c r="AE48" i="245"/>
  <c r="AF48" i="245"/>
  <c r="AI48" i="245"/>
  <c r="N47" i="245"/>
  <c r="Y47" i="245"/>
  <c r="AB47" i="245"/>
  <c r="AG47" i="245"/>
  <c r="J47" i="245"/>
  <c r="AM47" i="245"/>
  <c r="K47" i="245"/>
  <c r="AN47" i="245"/>
  <c r="O47" i="245"/>
  <c r="AQ47" i="245"/>
  <c r="P47" i="245"/>
  <c r="AR47" i="245"/>
  <c r="S47" i="245"/>
  <c r="AU47" i="245"/>
  <c r="AJ43" i="245"/>
  <c r="AI52" i="245"/>
  <c r="G31" i="245"/>
  <c r="Z55" i="245"/>
  <c r="AP50" i="245"/>
  <c r="AP51" i="245" s="1"/>
  <c r="AO49" i="245"/>
  <c r="AQ48" i="245"/>
  <c r="AS47" i="245"/>
  <c r="AP46" i="245"/>
  <c r="U41" i="245"/>
  <c r="T39" i="245"/>
  <c r="L38" i="245"/>
  <c r="AP34" i="245"/>
  <c r="AK33" i="245"/>
  <c r="AC32" i="245"/>
  <c r="T31" i="245"/>
  <c r="M30" i="245"/>
  <c r="AL25" i="245"/>
  <c r="W24" i="245"/>
  <c r="AE21" i="245"/>
  <c r="AS19" i="245"/>
  <c r="P18" i="245"/>
  <c r="AF16" i="245"/>
  <c r="S70" i="245"/>
  <c r="J42" i="245"/>
  <c r="AL42" i="245"/>
  <c r="R42" i="245"/>
  <c r="AT42" i="245"/>
  <c r="N42" i="245"/>
  <c r="AR42" i="245"/>
  <c r="Q42" i="245"/>
  <c r="S42" i="245"/>
  <c r="W42" i="245"/>
  <c r="AC42" i="245"/>
  <c r="AD42" i="245"/>
  <c r="AG42" i="245"/>
  <c r="AH42" i="245"/>
  <c r="AI42" i="245"/>
  <c r="AK42" i="245"/>
  <c r="W28" i="245"/>
  <c r="I28" i="245"/>
  <c r="J28" i="245"/>
  <c r="AL28" i="245"/>
  <c r="K28" i="245"/>
  <c r="AM28" i="245"/>
  <c r="R28" i="245"/>
  <c r="AT28" i="245"/>
  <c r="AD28" i="245"/>
  <c r="AG28" i="245"/>
  <c r="AH28" i="245"/>
  <c r="AN28" i="245"/>
  <c r="N28" i="245"/>
  <c r="AU28" i="245"/>
  <c r="O28" i="245"/>
  <c r="S28" i="245"/>
  <c r="T28" i="245"/>
  <c r="U28" i="245"/>
  <c r="X28" i="245"/>
  <c r="W14" i="245"/>
  <c r="I14" i="245"/>
  <c r="AK14" i="245"/>
  <c r="J14" i="245"/>
  <c r="AL14" i="245"/>
  <c r="K14" i="245"/>
  <c r="AM14" i="245"/>
  <c r="N14" i="245"/>
  <c r="AP14" i="245"/>
  <c r="R14" i="245"/>
  <c r="AT14" i="245"/>
  <c r="AC14" i="245"/>
  <c r="AF14" i="245"/>
  <c r="AG14" i="245"/>
  <c r="AI14" i="245"/>
  <c r="AN14" i="245"/>
  <c r="AQ14" i="245"/>
  <c r="AS14" i="245"/>
  <c r="H14" i="245"/>
  <c r="AU14" i="245"/>
  <c r="L14" i="245"/>
  <c r="O14" i="245"/>
  <c r="M14" i="245"/>
  <c r="Q14" i="245"/>
  <c r="S14" i="245"/>
  <c r="T14" i="245"/>
  <c r="U14" i="245"/>
  <c r="V14" i="245"/>
  <c r="AH52" i="245"/>
  <c r="Y55" i="245"/>
  <c r="AO50" i="245"/>
  <c r="AO51" i="245" s="1"/>
  <c r="AN49" i="245"/>
  <c r="AP48" i="245"/>
  <c r="AP47" i="245"/>
  <c r="AO46" i="245"/>
  <c r="Z42" i="245"/>
  <c r="T41" i="245"/>
  <c r="S39" i="245"/>
  <c r="AI33" i="245"/>
  <c r="AB32" i="245"/>
  <c r="S31" i="245"/>
  <c r="AR28" i="245"/>
  <c r="AK25" i="245"/>
  <c r="V24" i="245"/>
  <c r="AD21" i="245"/>
  <c r="AQ19" i="245"/>
  <c r="M18" i="245"/>
  <c r="AD16" i="245"/>
  <c r="AH14" i="245"/>
  <c r="AU10" i="245"/>
  <c r="R70" i="245"/>
  <c r="AH56" i="245"/>
  <c r="AF52" i="245"/>
  <c r="X55" i="245"/>
  <c r="AN50" i="245"/>
  <c r="AN51" i="245" s="1"/>
  <c r="AN48" i="245"/>
  <c r="AO47" i="245"/>
  <c r="AF43" i="245"/>
  <c r="Y42" i="245"/>
  <c r="O39" i="245"/>
  <c r="AU37" i="245"/>
  <c r="AD33" i="245"/>
  <c r="X32" i="245"/>
  <c r="P31" i="245"/>
  <c r="AQ28" i="245"/>
  <c r="AH25" i="245"/>
  <c r="T24" i="245"/>
  <c r="AC21" i="245"/>
  <c r="AO19" i="245"/>
  <c r="L18" i="245"/>
  <c r="AB16" i="245"/>
  <c r="AE14" i="245"/>
  <c r="AT10" i="245"/>
  <c r="R46" i="245"/>
  <c r="AT46" i="245"/>
  <c r="Z46" i="245"/>
  <c r="AI46" i="245"/>
  <c r="H46" i="245"/>
  <c r="AL46" i="245"/>
  <c r="M46" i="245"/>
  <c r="AQ46" i="245"/>
  <c r="T46" i="245"/>
  <c r="U46" i="245"/>
  <c r="X46" i="245"/>
  <c r="Y46" i="245"/>
  <c r="AC46" i="245"/>
  <c r="V41" i="245"/>
  <c r="AD41" i="245"/>
  <c r="X41" i="245"/>
  <c r="AA41" i="245"/>
  <c r="AB41" i="245"/>
  <c r="AG41" i="245"/>
  <c r="I41" i="245"/>
  <c r="AM41" i="245"/>
  <c r="J41" i="245"/>
  <c r="AN41" i="245"/>
  <c r="M41" i="245"/>
  <c r="AQ41" i="245"/>
  <c r="N41" i="245"/>
  <c r="AR41" i="245"/>
  <c r="O41" i="245"/>
  <c r="AS41" i="245"/>
  <c r="Q41" i="245"/>
  <c r="AU41" i="245"/>
  <c r="AI13" i="245"/>
  <c r="U13" i="245"/>
  <c r="V13" i="245"/>
  <c r="W13" i="245"/>
  <c r="Z13" i="245"/>
  <c r="AD13" i="245"/>
  <c r="AH13" i="245"/>
  <c r="AL13" i="245"/>
  <c r="AM13" i="245"/>
  <c r="AO13" i="245"/>
  <c r="I13" i="245"/>
  <c r="AQ13" i="245"/>
  <c r="K13" i="245"/>
  <c r="AS13" i="245"/>
  <c r="M13" i="245"/>
  <c r="AU13" i="245"/>
  <c r="N13" i="245"/>
  <c r="O13" i="245"/>
  <c r="Q13" i="245"/>
  <c r="P13" i="245"/>
  <c r="S13" i="245"/>
  <c r="T13" i="245"/>
  <c r="X13" i="245"/>
  <c r="Y13" i="245"/>
  <c r="AA13" i="245"/>
  <c r="AA43" i="245"/>
  <c r="AE52" i="245"/>
  <c r="W55" i="245"/>
  <c r="AL50" i="245"/>
  <c r="AL51" i="245" s="1"/>
  <c r="AL49" i="245"/>
  <c r="AM48" i="245"/>
  <c r="AL47" i="245"/>
  <c r="AM46" i="245"/>
  <c r="X42" i="245"/>
  <c r="R41" i="245"/>
  <c r="N39" i="245"/>
  <c r="AT37" i="245"/>
  <c r="AS35" i="245"/>
  <c r="AL34" i="245"/>
  <c r="AC33" i="245"/>
  <c r="W32" i="245"/>
  <c r="O31" i="245"/>
  <c r="I30" i="245"/>
  <c r="AP28" i="245"/>
  <c r="AG25" i="245"/>
  <c r="S24" i="245"/>
  <c r="AB21" i="245"/>
  <c r="AN19" i="245"/>
  <c r="J18" i="245"/>
  <c r="X16" i="245"/>
  <c r="AD14" i="245"/>
  <c r="AR10" i="245"/>
  <c r="V52" i="245"/>
  <c r="V55" i="245"/>
  <c r="AL48" i="245"/>
  <c r="AK47" i="245"/>
  <c r="AK46" i="245"/>
  <c r="V42" i="245"/>
  <c r="P41" i="245"/>
  <c r="L39" i="245"/>
  <c r="AS37" i="245"/>
  <c r="AO35" i="245"/>
  <c r="Z33" i="245"/>
  <c r="U32" i="245"/>
  <c r="N31" i="245"/>
  <c r="AO28" i="245"/>
  <c r="AF25" i="245"/>
  <c r="R24" i="245"/>
  <c r="Z21" i="245"/>
  <c r="AM19" i="245"/>
  <c r="I18" i="245"/>
  <c r="W16" i="245"/>
  <c r="AB14" i="245"/>
  <c r="AQ10" i="245"/>
  <c r="AD45" i="245"/>
  <c r="O45" i="245"/>
  <c r="W45" i="245"/>
  <c r="AK50" i="245"/>
  <c r="AK51" i="245" s="1"/>
  <c r="X43" i="245"/>
  <c r="U55" i="245"/>
  <c r="AH50" i="245"/>
  <c r="AH51" i="245" s="1"/>
  <c r="AI49" i="245"/>
  <c r="AK48" i="245"/>
  <c r="AJ47" i="245"/>
  <c r="AJ46" i="245"/>
  <c r="U42" i="245"/>
  <c r="L41" i="245"/>
  <c r="K39" i="245"/>
  <c r="AR37" i="245"/>
  <c r="AN35" i="245"/>
  <c r="Y33" i="245"/>
  <c r="T32" i="245"/>
  <c r="M31" i="245"/>
  <c r="AK28" i="245"/>
  <c r="AD25" i="245"/>
  <c r="Q24" i="245"/>
  <c r="U21" i="245"/>
  <c r="AK19" i="245"/>
  <c r="H18" i="245"/>
  <c r="T16" i="245"/>
  <c r="AA14" i="245"/>
  <c r="X10" i="245"/>
  <c r="AM44" i="245"/>
  <c r="O44" i="245"/>
  <c r="W43" i="245"/>
  <c r="T52" i="245"/>
  <c r="G23" i="245"/>
  <c r="T55" i="245"/>
  <c r="AG50" i="245"/>
  <c r="AG51" i="245" s="1"/>
  <c r="AH49" i="245"/>
  <c r="AJ48" i="245"/>
  <c r="AI47" i="245"/>
  <c r="AH46" i="245"/>
  <c r="AD44" i="245"/>
  <c r="T42" i="245"/>
  <c r="K41" i="245"/>
  <c r="AQ37" i="245"/>
  <c r="AJ35" i="245"/>
  <c r="AF34" i="245"/>
  <c r="X33" i="245"/>
  <c r="S32" i="245"/>
  <c r="L31" i="245"/>
  <c r="AJ28" i="245"/>
  <c r="P24" i="245"/>
  <c r="P21" i="245"/>
  <c r="AF19" i="245"/>
  <c r="AU17" i="245"/>
  <c r="S16" i="245"/>
  <c r="Z14" i="245"/>
  <c r="T10" i="245"/>
  <c r="R39" i="245"/>
  <c r="AT39" i="245"/>
  <c r="Z39" i="245"/>
  <c r="M39" i="245"/>
  <c r="AQ39" i="245"/>
  <c r="P39" i="245"/>
  <c r="AU39" i="245"/>
  <c r="Q39" i="245"/>
  <c r="V39" i="245"/>
  <c r="AC39" i="245"/>
  <c r="AD39" i="245"/>
  <c r="AG39" i="245"/>
  <c r="AH39" i="245"/>
  <c r="AI39" i="245"/>
  <c r="AK39" i="245"/>
  <c r="AE25" i="245"/>
  <c r="Q25" i="245"/>
  <c r="AS25" i="245"/>
  <c r="R25" i="245"/>
  <c r="AT25" i="245"/>
  <c r="S25" i="245"/>
  <c r="AU25" i="245"/>
  <c r="V25" i="245"/>
  <c r="Z25" i="245"/>
  <c r="O25" i="245"/>
  <c r="U25" i="245"/>
  <c r="W25" i="245"/>
  <c r="AB25" i="245"/>
  <c r="AI25" i="245"/>
  <c r="AJ25" i="245"/>
  <c r="AM25" i="245"/>
  <c r="G25" i="245"/>
  <c r="AN25" i="245"/>
  <c r="AO25" i="245"/>
  <c r="I25" i="245"/>
  <c r="AQ25" i="245"/>
  <c r="AF11" i="245"/>
  <c r="R11" i="245"/>
  <c r="AT11" i="245"/>
  <c r="S11" i="245"/>
  <c r="AU11" i="245"/>
  <c r="T11" i="245"/>
  <c r="W11" i="245"/>
  <c r="AA11" i="245"/>
  <c r="H11" i="245"/>
  <c r="AP11" i="245"/>
  <c r="K11" i="245"/>
  <c r="AS11" i="245"/>
  <c r="L11" i="245"/>
  <c r="N11" i="245"/>
  <c r="O11" i="245"/>
  <c r="P11" i="245"/>
  <c r="U11" i="245"/>
  <c r="V11" i="245"/>
  <c r="X11" i="245"/>
  <c r="Y11" i="245"/>
  <c r="Z11" i="245"/>
  <c r="AB11" i="245"/>
  <c r="AC11" i="245"/>
  <c r="AD11" i="245"/>
  <c r="AE11" i="245"/>
  <c r="AG11" i="245"/>
  <c r="AH11" i="245"/>
  <c r="AI11" i="245"/>
  <c r="AJ11" i="245"/>
  <c r="V43" i="245"/>
  <c r="S55" i="245"/>
  <c r="AD50" i="245"/>
  <c r="AD51" i="245" s="1"/>
  <c r="AG49" i="245"/>
  <c r="AH48" i="245"/>
  <c r="AH47" i="245"/>
  <c r="AG46" i="245"/>
  <c r="P42" i="245"/>
  <c r="H41" i="245"/>
  <c r="I39" i="245"/>
  <c r="AN37" i="245"/>
  <c r="AI35" i="245"/>
  <c r="AE34" i="245"/>
  <c r="W33" i="245"/>
  <c r="Q32" i="245"/>
  <c r="I31" i="245"/>
  <c r="AI28" i="245"/>
  <c r="AA25" i="245"/>
  <c r="M24" i="245"/>
  <c r="O21" i="245"/>
  <c r="AT17" i="245"/>
  <c r="Q16" i="245"/>
  <c r="Y14" i="245"/>
  <c r="P10" i="245"/>
  <c r="S19" i="245"/>
  <c r="AU19" i="245"/>
  <c r="AG19" i="245"/>
  <c r="AH19" i="245"/>
  <c r="AI19" i="245"/>
  <c r="J19" i="245"/>
  <c r="AL19" i="245"/>
  <c r="N19" i="245"/>
  <c r="AP19" i="245"/>
  <c r="H19" i="245"/>
  <c r="AR19" i="245"/>
  <c r="L19" i="245"/>
  <c r="M19" i="245"/>
  <c r="P19" i="245"/>
  <c r="R19" i="245"/>
  <c r="U19" i="245"/>
  <c r="Y19" i="245"/>
  <c r="AA19" i="245"/>
  <c r="Z19" i="245"/>
  <c r="AC19" i="245"/>
  <c r="AD19" i="245"/>
  <c r="AE19" i="245"/>
  <c r="AJ19" i="245"/>
  <c r="Q52" i="245"/>
  <c r="G19" i="245"/>
  <c r="R55" i="245"/>
  <c r="AC50" i="245"/>
  <c r="AC51" i="245" s="1"/>
  <c r="AE49" i="245"/>
  <c r="AG48" i="245"/>
  <c r="AF47" i="245"/>
  <c r="AF46" i="245"/>
  <c r="AA45" i="245"/>
  <c r="U43" i="245"/>
  <c r="O42" i="245"/>
  <c r="H39" i="245"/>
  <c r="AM37" i="245"/>
  <c r="AH35" i="245"/>
  <c r="V33" i="245"/>
  <c r="P32" i="245"/>
  <c r="H31" i="245"/>
  <c r="AF28" i="245"/>
  <c r="Y25" i="245"/>
  <c r="M21" i="245"/>
  <c r="X19" i="245"/>
  <c r="AR17" i="245"/>
  <c r="P16" i="245"/>
  <c r="X14" i="245"/>
  <c r="O10" i="245"/>
  <c r="AD38" i="245"/>
  <c r="J38" i="245"/>
  <c r="AL38" i="245"/>
  <c r="W38" i="245"/>
  <c r="Z38" i="245"/>
  <c r="G38" i="245"/>
  <c r="AA38" i="245"/>
  <c r="AF38" i="245"/>
  <c r="H38" i="245"/>
  <c r="AM38" i="245"/>
  <c r="I38" i="245"/>
  <c r="AN38" i="245"/>
  <c r="M38" i="245"/>
  <c r="AQ38" i="245"/>
  <c r="N38" i="245"/>
  <c r="AR38" i="245"/>
  <c r="O38" i="245"/>
  <c r="AS38" i="245"/>
  <c r="Q38" i="245"/>
  <c r="AU38" i="245"/>
  <c r="G13" i="245"/>
  <c r="G18" i="245"/>
  <c r="Q55" i="245"/>
  <c r="AB50" i="245"/>
  <c r="AB51" i="245" s="1"/>
  <c r="AD48" i="245"/>
  <c r="AE47" i="245"/>
  <c r="AE46" i="245"/>
  <c r="M42" i="245"/>
  <c r="AT38" i="245"/>
  <c r="AL37" i="245"/>
  <c r="AG35" i="245"/>
  <c r="T33" i="245"/>
  <c r="N32" i="245"/>
  <c r="AE28" i="245"/>
  <c r="X25" i="245"/>
  <c r="AU23" i="245"/>
  <c r="W19" i="245"/>
  <c r="AM17" i="245"/>
  <c r="P14" i="245"/>
  <c r="M10" i="245"/>
  <c r="O24" i="245"/>
  <c r="AQ24" i="245"/>
  <c r="AC24" i="245"/>
  <c r="AD24" i="245"/>
  <c r="AE24" i="245"/>
  <c r="AH24" i="245"/>
  <c r="J24" i="245"/>
  <c r="AL24" i="245"/>
  <c r="U24" i="245"/>
  <c r="X24" i="245"/>
  <c r="Y24" i="245"/>
  <c r="AF24" i="245"/>
  <c r="AN24" i="245"/>
  <c r="AO24" i="245"/>
  <c r="I24" i="245"/>
  <c r="AS24" i="245"/>
  <c r="K24" i="245"/>
  <c r="AT24" i="245"/>
  <c r="L24" i="245"/>
  <c r="AU24" i="245"/>
  <c r="N24" i="245"/>
  <c r="O43" i="245"/>
  <c r="G55" i="245"/>
  <c r="G17" i="245"/>
  <c r="O55" i="245"/>
  <c r="AA50" i="245"/>
  <c r="AA51" i="245" s="1"/>
  <c r="AB49" i="245"/>
  <c r="AC48" i="245"/>
  <c r="AD47" i="245"/>
  <c r="AD46" i="245"/>
  <c r="X44" i="245"/>
  <c r="L42" i="245"/>
  <c r="AP38" i="245"/>
  <c r="AI37" i="245"/>
  <c r="AF35" i="245"/>
  <c r="S33" i="245"/>
  <c r="J32" i="245"/>
  <c r="AC28" i="245"/>
  <c r="T25" i="245"/>
  <c r="AT20" i="245"/>
  <c r="V19" i="245"/>
  <c r="AG17" i="245"/>
  <c r="J16" i="245"/>
  <c r="AT13" i="245"/>
  <c r="W21" i="245"/>
  <c r="I21" i="245"/>
  <c r="AK21" i="245"/>
  <c r="J21" i="245"/>
  <c r="AL21" i="245"/>
  <c r="K21" i="245"/>
  <c r="AM21" i="245"/>
  <c r="N21" i="245"/>
  <c r="AP21" i="245"/>
  <c r="R21" i="245"/>
  <c r="AT21" i="245"/>
  <c r="AG21" i="245"/>
  <c r="AJ21" i="245"/>
  <c r="AN21" i="245"/>
  <c r="AQ21" i="245"/>
  <c r="AS21" i="245"/>
  <c r="L21" i="245"/>
  <c r="Q21" i="245"/>
  <c r="G21" i="245"/>
  <c r="T21" i="245"/>
  <c r="S21" i="245"/>
  <c r="V21" i="245"/>
  <c r="X21" i="245"/>
  <c r="Y21" i="245"/>
  <c r="AA21" i="245"/>
  <c r="Q10" i="245"/>
  <c r="AS10" i="245"/>
  <c r="AE10" i="245"/>
  <c r="AF10" i="245"/>
  <c r="AG10" i="245"/>
  <c r="H10" i="245"/>
  <c r="AJ10" i="245"/>
  <c r="L10" i="245"/>
  <c r="AN10" i="245"/>
  <c r="N10" i="245"/>
  <c r="R10" i="245"/>
  <c r="S10" i="245"/>
  <c r="U10" i="245"/>
  <c r="V10" i="245"/>
  <c r="W10" i="245"/>
  <c r="Y10" i="245"/>
  <c r="Z10" i="245"/>
  <c r="AA10" i="245"/>
  <c r="AB10" i="245"/>
  <c r="AC10" i="245"/>
  <c r="AD10" i="245"/>
  <c r="AH10" i="245"/>
  <c r="AI10" i="245"/>
  <c r="AK10" i="245"/>
  <c r="AL10" i="245"/>
  <c r="AM10" i="245"/>
  <c r="AO10" i="245"/>
  <c r="AP10" i="245"/>
  <c r="AA23" i="245"/>
  <c r="M23" i="245"/>
  <c r="AO23" i="245"/>
  <c r="N23" i="245"/>
  <c r="AP23" i="245"/>
  <c r="O23" i="245"/>
  <c r="AQ23" i="245"/>
  <c r="R23" i="245"/>
  <c r="AT23" i="245"/>
  <c r="V23" i="245"/>
  <c r="Z23" i="245"/>
  <c r="AD23" i="245"/>
  <c r="AE23" i="245"/>
  <c r="AI23" i="245"/>
  <c r="AR23" i="245"/>
  <c r="H23" i="245"/>
  <c r="AS23" i="245"/>
  <c r="K23" i="245"/>
  <c r="L23" i="245"/>
  <c r="P23" i="245"/>
  <c r="S23" i="245"/>
  <c r="AD9" i="245"/>
  <c r="P9" i="245"/>
  <c r="AR9" i="245"/>
  <c r="Q9" i="245"/>
  <c r="AS9" i="245"/>
  <c r="R9" i="245"/>
  <c r="AT9" i="245"/>
  <c r="U9" i="245"/>
  <c r="Y9" i="245"/>
  <c r="S9" i="245"/>
  <c r="W9" i="245"/>
  <c r="X9" i="245"/>
  <c r="Z9" i="245"/>
  <c r="AA9" i="245"/>
  <c r="AB9" i="245"/>
  <c r="AC9" i="245"/>
  <c r="AE9" i="245"/>
  <c r="AF9" i="245"/>
  <c r="AG9" i="245"/>
  <c r="AH9" i="245"/>
  <c r="AI9" i="245"/>
  <c r="AJ9" i="245"/>
  <c r="AK9" i="245"/>
  <c r="AM9" i="245"/>
  <c r="AN9" i="245"/>
  <c r="G9" i="245"/>
  <c r="AO9" i="245"/>
  <c r="H9" i="245"/>
  <c r="AP9" i="245"/>
  <c r="I9" i="245"/>
  <c r="AQ9" i="245"/>
  <c r="J9" i="245"/>
  <c r="AU9" i="245"/>
  <c r="N43" i="245"/>
  <c r="AU53" i="245"/>
  <c r="N55" i="245"/>
  <c r="Z50" i="245"/>
  <c r="Z51" i="245" s="1"/>
  <c r="AA49" i="245"/>
  <c r="Z48" i="245"/>
  <c r="AC47" i="245"/>
  <c r="AB46" i="245"/>
  <c r="X45" i="245"/>
  <c r="W44" i="245"/>
  <c r="P43" i="245"/>
  <c r="K42" i="245"/>
  <c r="AO38" i="245"/>
  <c r="AD35" i="245"/>
  <c r="Y34" i="245"/>
  <c r="R33" i="245"/>
  <c r="I32" i="245"/>
  <c r="AQ30" i="245"/>
  <c r="AB28" i="245"/>
  <c r="P25" i="245"/>
  <c r="AM23" i="245"/>
  <c r="AR20" i="245"/>
  <c r="T19" i="245"/>
  <c r="AF17" i="245"/>
  <c r="AR13" i="245"/>
  <c r="J10" i="245"/>
  <c r="N37" i="245"/>
  <c r="AP37" i="245"/>
  <c r="V37" i="245"/>
  <c r="AG37" i="245"/>
  <c r="AJ37" i="245"/>
  <c r="AK37" i="245"/>
  <c r="K37" i="245"/>
  <c r="AO37" i="245"/>
  <c r="R37" i="245"/>
  <c r="S37" i="245"/>
  <c r="W37" i="245"/>
  <c r="X37" i="245"/>
  <c r="Y37" i="245"/>
  <c r="AA37" i="245"/>
  <c r="M43" i="245"/>
  <c r="AT53" i="245"/>
  <c r="L55" i="245"/>
  <c r="X50" i="245"/>
  <c r="X51" i="245" s="1"/>
  <c r="Z49" i="245"/>
  <c r="Y48" i="245"/>
  <c r="AA47" i="245"/>
  <c r="AA46" i="245"/>
  <c r="I42" i="245"/>
  <c r="AS39" i="245"/>
  <c r="AK38" i="245"/>
  <c r="AF37" i="245"/>
  <c r="AC35" i="245"/>
  <c r="T34" i="245"/>
  <c r="O33" i="245"/>
  <c r="AT31" i="245"/>
  <c r="AN30" i="245"/>
  <c r="AA28" i="245"/>
  <c r="N25" i="245"/>
  <c r="AL23" i="245"/>
  <c r="AO20" i="245"/>
  <c r="Q19" i="245"/>
  <c r="AB17" i="245"/>
  <c r="AP13" i="245"/>
  <c r="I10" i="245"/>
  <c r="G48" i="245"/>
  <c r="G14" i="245"/>
  <c r="K55" i="245"/>
  <c r="W50" i="245"/>
  <c r="W51" i="245" s="1"/>
  <c r="Y49" i="245"/>
  <c r="X48" i="245"/>
  <c r="Z47" i="245"/>
  <c r="W46" i="245"/>
  <c r="H42" i="245"/>
  <c r="AR39" i="245"/>
  <c r="AJ38" i="245"/>
  <c r="AE37" i="245"/>
  <c r="AB35" i="245"/>
  <c r="M33" i="245"/>
  <c r="AS31" i="245"/>
  <c r="Z28" i="245"/>
  <c r="M25" i="245"/>
  <c r="AK23" i="245"/>
  <c r="AN20" i="245"/>
  <c r="O19" i="245"/>
  <c r="Z17" i="245"/>
  <c r="AN13" i="245"/>
  <c r="G10" i="245"/>
  <c r="H43" i="245"/>
  <c r="AQ43" i="245"/>
  <c r="K54" i="245"/>
  <c r="AM54" i="245"/>
  <c r="AQ54" i="245"/>
  <c r="AU54" i="245"/>
  <c r="I57" i="245"/>
  <c r="AK57" i="245"/>
  <c r="J57" i="245"/>
  <c r="AL57" i="245"/>
  <c r="K57" i="245"/>
  <c r="AM57" i="245"/>
  <c r="L57" i="245"/>
  <c r="AN57" i="245"/>
  <c r="M57" i="245"/>
  <c r="AO57" i="245"/>
  <c r="W57" i="245"/>
  <c r="X57" i="245"/>
  <c r="Y57" i="245"/>
  <c r="Z57" i="245"/>
  <c r="AA57" i="245"/>
  <c r="AB57" i="245"/>
  <c r="AC57" i="245"/>
  <c r="AD57" i="245"/>
  <c r="AH57" i="245"/>
  <c r="H57" i="245"/>
  <c r="N57" i="245"/>
  <c r="O57" i="245"/>
  <c r="P57" i="245"/>
  <c r="Q57" i="245"/>
  <c r="R57" i="245"/>
  <c r="S57" i="245"/>
  <c r="T57" i="245"/>
  <c r="U57" i="245"/>
  <c r="V57" i="245"/>
  <c r="AE57" i="245"/>
  <c r="AF57" i="245"/>
  <c r="AG57" i="245"/>
  <c r="AI57" i="245"/>
  <c r="AJ57" i="245"/>
  <c r="AP57" i="245"/>
  <c r="AQ57" i="245"/>
  <c r="AR57" i="245"/>
  <c r="AS57" i="245"/>
  <c r="AT57" i="245"/>
  <c r="AU57" i="245"/>
  <c r="K43" i="245"/>
  <c r="AL53" i="245"/>
  <c r="AU55" i="245"/>
  <c r="J55" i="245"/>
  <c r="V50" i="245"/>
  <c r="V51" i="245" s="1"/>
  <c r="X49" i="245"/>
  <c r="W48" i="245"/>
  <c r="X47" i="245"/>
  <c r="V46" i="245"/>
  <c r="AT41" i="245"/>
  <c r="AP39" i="245"/>
  <c r="AI38" i="245"/>
  <c r="AD37" i="245"/>
  <c r="Y35" i="245"/>
  <c r="P34" i="245"/>
  <c r="K33" i="245"/>
  <c r="AR31" i="245"/>
  <c r="AL30" i="245"/>
  <c r="Y28" i="245"/>
  <c r="L25" i="245"/>
  <c r="AJ23" i="245"/>
  <c r="AL20" i="245"/>
  <c r="K19" i="245"/>
  <c r="X17" i="245"/>
  <c r="AK13" i="245"/>
  <c r="AL9" i="245"/>
  <c r="AD7" i="245"/>
  <c r="AH40" i="245"/>
  <c r="N40" i="245"/>
  <c r="AP40" i="245"/>
  <c r="S26" i="245"/>
  <c r="AU26" i="245"/>
  <c r="AG26" i="245"/>
  <c r="AH26" i="245"/>
  <c r="AI26" i="245"/>
  <c r="J26" i="245"/>
  <c r="AL26" i="245"/>
  <c r="N26" i="245"/>
  <c r="AP26" i="245"/>
  <c r="S12" i="245"/>
  <c r="AU12" i="245"/>
  <c r="AG12" i="245"/>
  <c r="AH12" i="245"/>
  <c r="G12" i="245"/>
  <c r="AI12" i="245"/>
  <c r="J12" i="245"/>
  <c r="AL12" i="245"/>
  <c r="N12" i="245"/>
  <c r="AP12" i="245"/>
  <c r="G29" i="245"/>
  <c r="AA40" i="245"/>
  <c r="AK36" i="245"/>
  <c r="AS29" i="245"/>
  <c r="O29" i="245"/>
  <c r="AO26" i="245"/>
  <c r="U22" i="245"/>
  <c r="Q15" i="245"/>
  <c r="AC12" i="245"/>
  <c r="Q8" i="245"/>
  <c r="AQ29" i="245"/>
  <c r="M29" i="245"/>
  <c r="AM26" i="245"/>
  <c r="S22" i="245"/>
  <c r="O15" i="245"/>
  <c r="AA12" i="245"/>
  <c r="M8" i="245"/>
  <c r="AG36" i="245"/>
  <c r="AP29" i="245"/>
  <c r="L29" i="245"/>
  <c r="AK26" i="245"/>
  <c r="R22" i="245"/>
  <c r="N15" i="245"/>
  <c r="Z12" i="245"/>
  <c r="L8" i="245"/>
  <c r="W40" i="245"/>
  <c r="AF36" i="245"/>
  <c r="AO29" i="245"/>
  <c r="K29" i="245"/>
  <c r="AJ26" i="245"/>
  <c r="Q22" i="245"/>
  <c r="AU15" i="245"/>
  <c r="M15" i="245"/>
  <c r="Y12" i="245"/>
  <c r="AU8" i="245"/>
  <c r="K8" i="245"/>
  <c r="G22" i="245"/>
  <c r="T40" i="245"/>
  <c r="AL29" i="245"/>
  <c r="H29" i="245"/>
  <c r="AD26" i="245"/>
  <c r="AR15" i="245"/>
  <c r="I15" i="245"/>
  <c r="V12" i="245"/>
  <c r="AR8" i="245"/>
  <c r="Z36" i="245"/>
  <c r="AH36" i="245"/>
  <c r="K22" i="245"/>
  <c r="AM22" i="245"/>
  <c r="Y22" i="245"/>
  <c r="Z22" i="245"/>
  <c r="AA22" i="245"/>
  <c r="AD22" i="245"/>
  <c r="AH22" i="245"/>
  <c r="N8" i="245"/>
  <c r="O8" i="245"/>
  <c r="AQ8" i="245"/>
  <c r="AC8" i="245"/>
  <c r="AD8" i="245"/>
  <c r="AE8" i="245"/>
  <c r="AH8" i="245"/>
  <c r="J8" i="245"/>
  <c r="AL8" i="245"/>
  <c r="S40" i="245"/>
  <c r="AB36" i="245"/>
  <c r="AK29" i="245"/>
  <c r="AC26" i="245"/>
  <c r="AU22" i="245"/>
  <c r="M22" i="245"/>
  <c r="AQ15" i="245"/>
  <c r="H15" i="245"/>
  <c r="U12" i="245"/>
  <c r="AP8" i="245"/>
  <c r="AL15" i="245"/>
  <c r="AD29" i="245"/>
  <c r="W26" i="245"/>
  <c r="AO22" i="245"/>
  <c r="AJ15" i="245"/>
  <c r="M12" i="245"/>
  <c r="AI8" i="245"/>
  <c r="AG15" i="245"/>
  <c r="Y29" i="245"/>
  <c r="R26" i="245"/>
  <c r="AJ22" i="245"/>
  <c r="AE15" i="245"/>
  <c r="AR12" i="245"/>
  <c r="H12" i="245"/>
  <c r="AA8" i="245"/>
  <c r="Q26" i="245"/>
  <c r="AI22" i="245"/>
  <c r="AQ12" i="245"/>
  <c r="Z8" i="245"/>
  <c r="Z29" i="245"/>
  <c r="AH29" i="245"/>
  <c r="K15" i="245"/>
  <c r="AM15" i="245"/>
  <c r="Y15" i="245"/>
  <c r="Z15" i="245"/>
  <c r="AA15" i="245"/>
  <c r="AD15" i="245"/>
  <c r="AH15" i="245"/>
  <c r="AG40" i="245"/>
  <c r="AQ36" i="245"/>
  <c r="M36" i="245"/>
  <c r="U29" i="245"/>
  <c r="M26" i="245"/>
  <c r="AE22" i="245"/>
  <c r="W15" i="245"/>
  <c r="AM12" i="245"/>
  <c r="W8" i="245"/>
  <c r="AG68" i="245"/>
  <c r="AC68" i="245"/>
  <c r="X68" i="245"/>
  <c r="V68" i="245"/>
  <c r="U68" i="245"/>
  <c r="T68" i="245"/>
  <c r="R68" i="245"/>
  <c r="N68" i="245"/>
  <c r="AM68" i="245"/>
  <c r="T69" i="245"/>
  <c r="AS69" i="245"/>
  <c r="Q69" i="245"/>
  <c r="AR69" i="245"/>
  <c r="AQ69" i="245"/>
  <c r="O69" i="245"/>
  <c r="AP69" i="245"/>
  <c r="N69" i="245"/>
  <c r="AN69" i="245"/>
  <c r="L69" i="245"/>
  <c r="AM69" i="245"/>
  <c r="K69" i="245"/>
  <c r="AL69" i="245"/>
  <c r="J69" i="245"/>
  <c r="AK69" i="245"/>
  <c r="I69" i="245"/>
  <c r="AI69" i="245"/>
  <c r="AB68" i="245"/>
  <c r="AA68" i="245"/>
  <c r="W68" i="245"/>
  <c r="AU68" i="245"/>
  <c r="AS68" i="245"/>
  <c r="Q68" i="245"/>
  <c r="AR68" i="245"/>
  <c r="P68" i="245"/>
  <c r="AQ68" i="245"/>
  <c r="O68" i="245"/>
  <c r="AE68" i="245"/>
  <c r="AQ52" i="245"/>
  <c r="AP52" i="245"/>
  <c r="N52" i="245"/>
  <c r="AS54" i="245"/>
  <c r="Q54" i="245"/>
  <c r="AO52" i="245"/>
  <c r="M52" i="245"/>
  <c r="AB53" i="245"/>
  <c r="AN52" i="245"/>
  <c r="L52" i="245"/>
  <c r="AA53" i="245"/>
  <c r="AM52" i="245"/>
  <c r="K52" i="245"/>
  <c r="Z53" i="245"/>
  <c r="AL52" i="245"/>
  <c r="J52" i="245"/>
  <c r="AC43" i="245"/>
  <c r="AO54" i="245"/>
  <c r="M54" i="245"/>
  <c r="Y53" i="245"/>
  <c r="I52" i="245"/>
  <c r="AB43" i="245"/>
  <c r="X53" i="245"/>
  <c r="AJ52" i="245"/>
  <c r="H52" i="245"/>
  <c r="G54" i="245"/>
  <c r="Y43" i="245"/>
  <c r="I54" i="245"/>
  <c r="AG52" i="245"/>
  <c r="T43" i="245"/>
  <c r="AR53" i="245"/>
  <c r="P53" i="245"/>
  <c r="AB52" i="245"/>
  <c r="AS53" i="245"/>
  <c r="Q53" i="245"/>
  <c r="AC52" i="245"/>
  <c r="AU43" i="245"/>
  <c r="S43" i="245"/>
  <c r="AE54" i="245"/>
  <c r="AQ53" i="245"/>
  <c r="AT43" i="245"/>
  <c r="R43" i="245"/>
  <c r="AP53" i="245"/>
  <c r="N53" i="245"/>
  <c r="AS43" i="245"/>
  <c r="Q43" i="245"/>
  <c r="AO53" i="245"/>
  <c r="M53" i="245"/>
  <c r="K16" i="245" l="1"/>
  <c r="H16" i="245"/>
  <c r="AK16" i="245"/>
  <c r="Z16" i="245"/>
  <c r="AT16" i="245"/>
  <c r="AP16" i="245"/>
  <c r="AA16" i="245"/>
  <c r="AI16" i="245"/>
  <c r="AU16" i="245"/>
  <c r="AR16" i="245"/>
  <c r="AG16" i="245"/>
  <c r="Y16" i="245"/>
  <c r="R16" i="245"/>
  <c r="N16" i="245"/>
  <c r="L16" i="245"/>
  <c r="AN16" i="245"/>
  <c r="H83" i="245"/>
  <c r="H102" i="245" s="1"/>
  <c r="P83" i="245"/>
  <c r="P93" i="245" s="1"/>
  <c r="AA78" i="245"/>
  <c r="Y82" i="245"/>
  <c r="Y96" i="245" s="1"/>
  <c r="Y83" i="245"/>
  <c r="Y101" i="245" s="1"/>
  <c r="G83" i="245"/>
  <c r="G102" i="245" s="1"/>
  <c r="G78" i="245"/>
  <c r="S78" i="245"/>
  <c r="O82" i="245"/>
  <c r="O96" i="245" s="1"/>
  <c r="AK78" i="245"/>
  <c r="J82" i="245"/>
  <c r="J94" i="245" s="1"/>
  <c r="Q78" i="245"/>
  <c r="AM82" i="245"/>
  <c r="AM96" i="245" s="1"/>
  <c r="AN83" i="245"/>
  <c r="AN102" i="245" s="1"/>
  <c r="AC78" i="245"/>
  <c r="J78" i="245"/>
  <c r="R82" i="245"/>
  <c r="R96" i="245" s="1"/>
  <c r="AR83" i="245"/>
  <c r="AR92" i="245" s="1"/>
  <c r="AH83" i="245"/>
  <c r="AH100" i="245" s="1"/>
  <c r="AQ78" i="245"/>
  <c r="AE78" i="245"/>
  <c r="AQ82" i="245"/>
  <c r="AQ86" i="245" s="1"/>
  <c r="T83" i="245"/>
  <c r="T102" i="245" s="1"/>
  <c r="AL83" i="245"/>
  <c r="AL92" i="245" s="1"/>
  <c r="U78" i="245"/>
  <c r="AO78" i="245"/>
  <c r="AF78" i="245"/>
  <c r="AT82" i="245"/>
  <c r="AT86" i="245" s="1"/>
  <c r="AK82" i="245"/>
  <c r="AK94" i="245" s="1"/>
  <c r="AT83" i="245"/>
  <c r="AT102" i="245" s="1"/>
  <c r="L83" i="245"/>
  <c r="L101" i="245" s="1"/>
  <c r="AD83" i="245"/>
  <c r="AD93" i="245" s="1"/>
  <c r="X78" i="245"/>
  <c r="AS78" i="245"/>
  <c r="M78" i="245"/>
  <c r="H78" i="245"/>
  <c r="I82" i="245"/>
  <c r="I86" i="245" s="1"/>
  <c r="AG82" i="245"/>
  <c r="AG96" i="245" s="1"/>
  <c r="L82" i="245"/>
  <c r="L96" i="245" s="1"/>
  <c r="AU83" i="245"/>
  <c r="AU93" i="245" s="1"/>
  <c r="AP83" i="245"/>
  <c r="AP101" i="245" s="1"/>
  <c r="AJ83" i="245"/>
  <c r="AJ101" i="245" s="1"/>
  <c r="AC83" i="245"/>
  <c r="AC92" i="245" s="1"/>
  <c r="Q77" i="245"/>
  <c r="Q98" i="245" s="1"/>
  <c r="T77" i="245"/>
  <c r="T90" i="245" s="1"/>
  <c r="AE82" i="245"/>
  <c r="AE96" i="245" s="1"/>
  <c r="AI82" i="245"/>
  <c r="AI95" i="245" s="1"/>
  <c r="X82" i="245"/>
  <c r="X86" i="245" s="1"/>
  <c r="U82" i="245"/>
  <c r="U86" i="245" s="1"/>
  <c r="X85" i="245"/>
  <c r="AH85" i="245"/>
  <c r="T78" i="245"/>
  <c r="AR78" i="245"/>
  <c r="AN78" i="245"/>
  <c r="I78" i="245"/>
  <c r="AD78" i="245"/>
  <c r="AD82" i="245"/>
  <c r="AD94" i="245" s="1"/>
  <c r="W82" i="245"/>
  <c r="W86" i="245" s="1"/>
  <c r="AS82" i="245"/>
  <c r="AS86" i="245" s="1"/>
  <c r="AP82" i="245"/>
  <c r="AP94" i="245" s="1"/>
  <c r="K82" i="245"/>
  <c r="K94" i="245" s="1"/>
  <c r="S83" i="245"/>
  <c r="S92" i="245" s="1"/>
  <c r="AQ83" i="245"/>
  <c r="AQ101" i="245" s="1"/>
  <c r="AM83" i="245"/>
  <c r="AM92" i="245" s="1"/>
  <c r="X83" i="245"/>
  <c r="X101" i="245" s="1"/>
  <c r="AB83" i="245"/>
  <c r="AB93" i="245" s="1"/>
  <c r="G82" i="245"/>
  <c r="G86" i="245" s="1"/>
  <c r="Z78" i="245"/>
  <c r="AU78" i="245"/>
  <c r="P78" i="245"/>
  <c r="L78" i="245"/>
  <c r="AJ78" i="245"/>
  <c r="F78" i="245"/>
  <c r="AC82" i="245"/>
  <c r="AC86" i="245" s="1"/>
  <c r="V82" i="245"/>
  <c r="V95" i="245" s="1"/>
  <c r="Q82" i="245"/>
  <c r="Q95" i="245" s="1"/>
  <c r="N82" i="245"/>
  <c r="N96" i="245" s="1"/>
  <c r="AL82" i="245"/>
  <c r="AL96" i="245" s="1"/>
  <c r="W83" i="245"/>
  <c r="W93" i="245" s="1"/>
  <c r="O83" i="245"/>
  <c r="O102" i="245" s="1"/>
  <c r="K83" i="245"/>
  <c r="K100" i="245" s="1"/>
  <c r="AI83" i="245"/>
  <c r="AI93" i="245" s="1"/>
  <c r="AA83" i="245"/>
  <c r="AA102" i="245" s="1"/>
  <c r="U77" i="245"/>
  <c r="U99" i="245" s="1"/>
  <c r="Y78" i="245"/>
  <c r="AT78" i="245"/>
  <c r="O78" i="245"/>
  <c r="AM78" i="245"/>
  <c r="AI78" i="245"/>
  <c r="AH82" i="245"/>
  <c r="AH94" i="245" s="1"/>
  <c r="AB82" i="245"/>
  <c r="AB95" i="245" s="1"/>
  <c r="T82" i="245"/>
  <c r="T94" i="245" s="1"/>
  <c r="AR82" i="245"/>
  <c r="AR86" i="245" s="1"/>
  <c r="AO82" i="245"/>
  <c r="AO95" i="245" s="1"/>
  <c r="F82" i="245"/>
  <c r="R83" i="245"/>
  <c r="R93" i="245" s="1"/>
  <c r="N83" i="245"/>
  <c r="N101" i="245" s="1"/>
  <c r="J83" i="245"/>
  <c r="J102" i="245" s="1"/>
  <c r="AG83" i="245"/>
  <c r="AG100" i="245" s="1"/>
  <c r="Z83" i="245"/>
  <c r="Z100" i="245" s="1"/>
  <c r="W78" i="245"/>
  <c r="R78" i="245"/>
  <c r="AP78" i="245"/>
  <c r="K78" i="245"/>
  <c r="AH78" i="245"/>
  <c r="AJ82" i="245"/>
  <c r="AJ86" i="245" s="1"/>
  <c r="AA82" i="245"/>
  <c r="AA94" i="245" s="1"/>
  <c r="AU82" i="245"/>
  <c r="AU96" i="245" s="1"/>
  <c r="P82" i="245"/>
  <c r="P96" i="245" s="1"/>
  <c r="M82" i="245"/>
  <c r="M86" i="245" s="1"/>
  <c r="V83" i="245"/>
  <c r="V92" i="245" s="1"/>
  <c r="AS83" i="245"/>
  <c r="AS102" i="245" s="1"/>
  <c r="AO83" i="245"/>
  <c r="AO101" i="245" s="1"/>
  <c r="AK83" i="245"/>
  <c r="AK100" i="245" s="1"/>
  <c r="AF83" i="245"/>
  <c r="AF102" i="245" s="1"/>
  <c r="F83" i="245"/>
  <c r="AO81" i="245"/>
  <c r="AO104" i="245" s="1"/>
  <c r="AO107" i="245" s="1"/>
  <c r="V78" i="245"/>
  <c r="AB78" i="245"/>
  <c r="N78" i="245"/>
  <c r="AL78" i="245"/>
  <c r="AF82" i="245"/>
  <c r="AF96" i="245" s="1"/>
  <c r="Z82" i="245"/>
  <c r="Z94" i="245" s="1"/>
  <c r="S82" i="245"/>
  <c r="S86" i="245" s="1"/>
  <c r="H82" i="245"/>
  <c r="H94" i="245" s="1"/>
  <c r="U83" i="245"/>
  <c r="U92" i="245" s="1"/>
  <c r="Q83" i="245"/>
  <c r="Q93" i="245" s="1"/>
  <c r="M83" i="245"/>
  <c r="M102" i="245" s="1"/>
  <c r="I83" i="245"/>
  <c r="I92" i="245" s="1"/>
  <c r="AU77" i="245"/>
  <c r="AU99" i="245" s="1"/>
  <c r="AL81" i="245"/>
  <c r="AL105" i="245" s="1"/>
  <c r="AL108" i="245" s="1"/>
  <c r="S85" i="245"/>
  <c r="AD85" i="245"/>
  <c r="I77" i="245"/>
  <c r="I91" i="245" s="1"/>
  <c r="AR77" i="245"/>
  <c r="AR98" i="245" s="1"/>
  <c r="AK81" i="245"/>
  <c r="AK105" i="245" s="1"/>
  <c r="AK108" i="245" s="1"/>
  <c r="R85" i="245"/>
  <c r="AK77" i="245"/>
  <c r="AK98" i="245" s="1"/>
  <c r="AQ77" i="245"/>
  <c r="AQ98" i="245" s="1"/>
  <c r="AU81" i="245"/>
  <c r="AU105" i="245" s="1"/>
  <c r="AU108" i="245" s="1"/>
  <c r="O85" i="245"/>
  <c r="AF77" i="245"/>
  <c r="AF87" i="245" s="1"/>
  <c r="AF81" i="245"/>
  <c r="AF103" i="245" s="1"/>
  <c r="AF106" i="245" s="1"/>
  <c r="N85" i="245"/>
  <c r="AE77" i="245"/>
  <c r="AE98" i="245" s="1"/>
  <c r="AT81" i="245"/>
  <c r="AT104" i="245" s="1"/>
  <c r="AT107" i="245" s="1"/>
  <c r="AC81" i="245"/>
  <c r="AC103" i="245" s="1"/>
  <c r="AC106" i="245" s="1"/>
  <c r="Z85" i="245"/>
  <c r="Z77" i="245"/>
  <c r="Z98" i="245" s="1"/>
  <c r="Q81" i="245"/>
  <c r="Q104" i="245" s="1"/>
  <c r="Q107" i="245" s="1"/>
  <c r="AA81" i="245"/>
  <c r="AA103" i="245" s="1"/>
  <c r="AA106" i="245" s="1"/>
  <c r="K85" i="245"/>
  <c r="X77" i="245"/>
  <c r="X97" i="245" s="1"/>
  <c r="N81" i="245"/>
  <c r="N104" i="245" s="1"/>
  <c r="N107" i="245" s="1"/>
  <c r="F81" i="245"/>
  <c r="H85" i="245"/>
  <c r="G77" i="245"/>
  <c r="G98" i="245" s="1"/>
  <c r="AM77" i="245"/>
  <c r="AM90" i="245" s="1"/>
  <c r="K77" i="245"/>
  <c r="K99" i="245" s="1"/>
  <c r="Y77" i="245"/>
  <c r="Y99" i="245" s="1"/>
  <c r="P77" i="245"/>
  <c r="P87" i="245" s="1"/>
  <c r="R81" i="245"/>
  <c r="R104" i="245" s="1"/>
  <c r="R107" i="245" s="1"/>
  <c r="S81" i="245"/>
  <c r="S105" i="245" s="1"/>
  <c r="S108" i="245" s="1"/>
  <c r="J81" i="245"/>
  <c r="J104" i="245" s="1"/>
  <c r="J107" i="245" s="1"/>
  <c r="AG81" i="245"/>
  <c r="AG105" i="245" s="1"/>
  <c r="AG108" i="245" s="1"/>
  <c r="AB81" i="245"/>
  <c r="AB105" i="245" s="1"/>
  <c r="AB108" i="245" s="1"/>
  <c r="AB85" i="245"/>
  <c r="AT85" i="245"/>
  <c r="AP85" i="245"/>
  <c r="AM85" i="245"/>
  <c r="AI85" i="245"/>
  <c r="F85" i="245"/>
  <c r="AJ77" i="245"/>
  <c r="AJ97" i="245" s="1"/>
  <c r="AD77" i="245"/>
  <c r="AD87" i="245" s="1"/>
  <c r="M77" i="245"/>
  <c r="M91" i="245" s="1"/>
  <c r="S77" i="245"/>
  <c r="S99" i="245" s="1"/>
  <c r="O77" i="245"/>
  <c r="O98" i="245" s="1"/>
  <c r="AR81" i="245"/>
  <c r="AR103" i="245" s="1"/>
  <c r="AR106" i="245" s="1"/>
  <c r="M81" i="245"/>
  <c r="M104" i="245" s="1"/>
  <c r="M107" i="245" s="1"/>
  <c r="I81" i="245"/>
  <c r="I105" i="245" s="1"/>
  <c r="I108" i="245" s="1"/>
  <c r="T81" i="245"/>
  <c r="T105" i="245" s="1"/>
  <c r="T108" i="245" s="1"/>
  <c r="Z81" i="245"/>
  <c r="Z104" i="245" s="1"/>
  <c r="Z107" i="245" s="1"/>
  <c r="W85" i="245"/>
  <c r="AS85" i="245"/>
  <c r="AO85" i="245"/>
  <c r="AL85" i="245"/>
  <c r="AG85" i="245"/>
  <c r="G85" i="245"/>
  <c r="H77" i="245"/>
  <c r="H99" i="245" s="1"/>
  <c r="AC77" i="245"/>
  <c r="AC91" i="245" s="1"/>
  <c r="L77" i="245"/>
  <c r="L90" i="245" s="1"/>
  <c r="AT77" i="245"/>
  <c r="AT99" i="245" s="1"/>
  <c r="AP77" i="245"/>
  <c r="AP90" i="245" s="1"/>
  <c r="P81" i="245"/>
  <c r="P104" i="245" s="1"/>
  <c r="P107" i="245" s="1"/>
  <c r="AN81" i="245"/>
  <c r="AN104" i="245" s="1"/>
  <c r="AN107" i="245" s="1"/>
  <c r="AJ81" i="245"/>
  <c r="AJ105" i="245" s="1"/>
  <c r="AJ108" i="245" s="1"/>
  <c r="AE81" i="245"/>
  <c r="AE103" i="245" s="1"/>
  <c r="AE106" i="245" s="1"/>
  <c r="Y81" i="245"/>
  <c r="Y103" i="245" s="1"/>
  <c r="Y106" i="245" s="1"/>
  <c r="V85" i="245"/>
  <c r="Q85" i="245"/>
  <c r="M85" i="245"/>
  <c r="J85" i="245"/>
  <c r="AF85" i="245"/>
  <c r="AI77" i="245"/>
  <c r="AI91" i="245" s="1"/>
  <c r="AN77" i="245"/>
  <c r="AN91" i="245" s="1"/>
  <c r="W77" i="245"/>
  <c r="W99" i="245" s="1"/>
  <c r="R77" i="245"/>
  <c r="R97" i="245" s="1"/>
  <c r="N77" i="245"/>
  <c r="N99" i="245" s="1"/>
  <c r="AQ81" i="245"/>
  <c r="AQ105" i="245" s="1"/>
  <c r="AQ108" i="245" s="1"/>
  <c r="L81" i="245"/>
  <c r="L104" i="245" s="1"/>
  <c r="L107" i="245" s="1"/>
  <c r="H81" i="245"/>
  <c r="H105" i="245" s="1"/>
  <c r="H108" i="245" s="1"/>
  <c r="AS81" i="245"/>
  <c r="AS103" i="245" s="1"/>
  <c r="AS106" i="245" s="1"/>
  <c r="X81" i="245"/>
  <c r="X105" i="245" s="1"/>
  <c r="X108" i="245" s="1"/>
  <c r="U85" i="245"/>
  <c r="AR85" i="245"/>
  <c r="AC85" i="245"/>
  <c r="AK85" i="245"/>
  <c r="AE85" i="245"/>
  <c r="AL77" i="245"/>
  <c r="AL90" i="245" s="1"/>
  <c r="AH77" i="245"/>
  <c r="AH87" i="245" s="1"/>
  <c r="AB77" i="245"/>
  <c r="AB99" i="245" s="1"/>
  <c r="AO77" i="245"/>
  <c r="AO87" i="245" s="1"/>
  <c r="AS77" i="245"/>
  <c r="AS90" i="245" s="1"/>
  <c r="F77" i="245"/>
  <c r="O81" i="245"/>
  <c r="O105" i="245" s="1"/>
  <c r="O108" i="245" s="1"/>
  <c r="AM81" i="245"/>
  <c r="AM104" i="245" s="1"/>
  <c r="AM107" i="245" s="1"/>
  <c r="AI81" i="245"/>
  <c r="AI105" i="245" s="1"/>
  <c r="AI108" i="245" s="1"/>
  <c r="AD81" i="245"/>
  <c r="AD105" i="245" s="1"/>
  <c r="AD108" i="245" s="1"/>
  <c r="W81" i="245"/>
  <c r="W103" i="245" s="1"/>
  <c r="W106" i="245" s="1"/>
  <c r="T85" i="245"/>
  <c r="P85" i="245"/>
  <c r="AN85" i="245"/>
  <c r="I85" i="245"/>
  <c r="AA85" i="245"/>
  <c r="G81" i="245"/>
  <c r="G104" i="245" s="1"/>
  <c r="G107" i="245" s="1"/>
  <c r="J77" i="245"/>
  <c r="J87" i="245" s="1"/>
  <c r="AG77" i="245"/>
  <c r="AG99" i="245" s="1"/>
  <c r="AA77" i="245"/>
  <c r="AA91" i="245" s="1"/>
  <c r="V77" i="245"/>
  <c r="V91" i="245" s="1"/>
  <c r="AP81" i="245"/>
  <c r="AP104" i="245" s="1"/>
  <c r="AP107" i="245" s="1"/>
  <c r="K81" i="245"/>
  <c r="K105" i="245" s="1"/>
  <c r="K108" i="245" s="1"/>
  <c r="AH81" i="245"/>
  <c r="AH105" i="245" s="1"/>
  <c r="AH108" i="245" s="1"/>
  <c r="U81" i="245"/>
  <c r="U104" i="245" s="1"/>
  <c r="U107" i="245" s="1"/>
  <c r="AU85" i="245"/>
  <c r="AQ85" i="245"/>
  <c r="L85" i="245"/>
  <c r="AJ85" i="245"/>
  <c r="AM112" i="245"/>
  <c r="X112" i="245"/>
  <c r="AO112" i="245"/>
  <c r="Q112" i="245"/>
  <c r="AN112" i="245"/>
  <c r="AK112" i="245"/>
  <c r="AI112" i="245"/>
  <c r="N112" i="245"/>
  <c r="M112" i="245"/>
  <c r="O94" i="245"/>
  <c r="O112" i="245"/>
  <c r="V103" i="245"/>
  <c r="V106" i="245" s="1"/>
  <c r="V105" i="245"/>
  <c r="V108" i="245" s="1"/>
  <c r="V104" i="245"/>
  <c r="V107" i="245" s="1"/>
  <c r="AD112" i="245"/>
  <c r="W112" i="245"/>
  <c r="U112" i="245"/>
  <c r="AQ112" i="245"/>
  <c r="AN86" i="245"/>
  <c r="AN96" i="245"/>
  <c r="AN95" i="245"/>
  <c r="AN94" i="245"/>
  <c r="AE112" i="245"/>
  <c r="Y112" i="245"/>
  <c r="T112" i="245"/>
  <c r="AU112" i="245"/>
  <c r="AP112" i="245"/>
  <c r="J86" i="245"/>
  <c r="L112" i="245"/>
  <c r="H101" i="245"/>
  <c r="Z112" i="245"/>
  <c r="R112" i="245"/>
  <c r="AS112" i="245"/>
  <c r="AH92" i="245"/>
  <c r="AR112" i="245"/>
  <c r="AE101" i="245"/>
  <c r="AE92" i="245"/>
  <c r="AE93" i="245"/>
  <c r="AE100" i="245"/>
  <c r="AE102" i="245"/>
  <c r="H112" i="245"/>
  <c r="K112" i="245"/>
  <c r="AJ112" i="245"/>
  <c r="AC112" i="245"/>
  <c r="AG112" i="245"/>
  <c r="AB112" i="245"/>
  <c r="AF112" i="245"/>
  <c r="P101" i="245"/>
  <c r="P92" i="245"/>
  <c r="P100" i="245"/>
  <c r="AL112" i="245"/>
  <c r="G112" i="245"/>
  <c r="AT112" i="245"/>
  <c r="F112" i="245"/>
  <c r="S112" i="245"/>
  <c r="AA112" i="245"/>
  <c r="I112" i="245"/>
  <c r="AH112" i="245"/>
  <c r="AL44" i="245"/>
  <c r="AA44" i="245"/>
  <c r="J112" i="245"/>
  <c r="P112" i="245"/>
  <c r="AI53" i="245"/>
  <c r="AG53" i="245"/>
  <c r="J44" i="245"/>
  <c r="J45" i="245"/>
  <c r="M44" i="245"/>
  <c r="M45" i="245"/>
  <c r="AU44" i="245"/>
  <c r="AU45" i="245"/>
  <c r="AO44" i="245"/>
  <c r="AO45" i="245"/>
  <c r="AH44" i="245"/>
  <c r="AH45" i="245"/>
  <c r="S44" i="245"/>
  <c r="S45" i="245"/>
  <c r="AB44" i="245"/>
  <c r="AB45" i="245"/>
  <c r="N44" i="245"/>
  <c r="N45" i="245"/>
  <c r="AC44" i="245"/>
  <c r="AC45" i="245"/>
  <c r="Y44" i="245"/>
  <c r="Y45" i="245"/>
  <c r="T44" i="245"/>
  <c r="T45" i="245"/>
  <c r="Z44" i="245"/>
  <c r="Z45" i="245"/>
  <c r="AN44" i="245"/>
  <c r="AN45" i="245"/>
  <c r="U44" i="245"/>
  <c r="U45" i="245"/>
  <c r="K44" i="245"/>
  <c r="K45" i="245"/>
  <c r="I44" i="245"/>
  <c r="I45" i="245"/>
  <c r="AI44" i="245"/>
  <c r="AI45" i="245"/>
  <c r="AR44" i="245"/>
  <c r="AR45" i="245"/>
  <c r="AK44" i="245"/>
  <c r="AK45" i="245"/>
  <c r="V44" i="245"/>
  <c r="V45" i="245"/>
  <c r="P44" i="245"/>
  <c r="P45" i="245"/>
  <c r="AS44" i="245"/>
  <c r="AS45" i="245"/>
  <c r="AQ44" i="245"/>
  <c r="AQ45" i="245"/>
  <c r="AP44" i="245"/>
  <c r="AP45" i="245"/>
  <c r="AF44" i="245"/>
  <c r="AF45" i="245"/>
  <c r="Q44" i="245"/>
  <c r="Q45" i="245"/>
  <c r="H44" i="245"/>
  <c r="H45" i="245"/>
  <c r="AJ44" i="245"/>
  <c r="AJ45" i="245"/>
  <c r="R44" i="245"/>
  <c r="R45" i="245"/>
  <c r="AG44" i="245"/>
  <c r="AG45" i="245"/>
  <c r="AT44" i="245"/>
  <c r="AT45" i="245"/>
  <c r="AE44" i="245"/>
  <c r="AE45" i="245"/>
  <c r="L44" i="245"/>
  <c r="L45" i="245"/>
  <c r="X54" i="245"/>
  <c r="W54" i="245"/>
  <c r="G24" i="245"/>
  <c r="Y54" i="245"/>
  <c r="R53" i="245"/>
  <c r="J54" i="245"/>
  <c r="AH53" i="245"/>
  <c r="R54" i="245"/>
  <c r="Z54" i="245"/>
  <c r="T54" i="245"/>
  <c r="P54" i="245"/>
  <c r="R52" i="245"/>
  <c r="O54" i="245"/>
  <c r="V54" i="245"/>
  <c r="S53" i="245"/>
  <c r="AN54" i="245"/>
  <c r="O53" i="245"/>
  <c r="L54" i="245"/>
  <c r="AD54" i="245"/>
  <c r="N54" i="245"/>
  <c r="AE53" i="245"/>
  <c r="G52" i="245"/>
  <c r="X52" i="245"/>
  <c r="U52" i="245"/>
  <c r="G53" i="245"/>
  <c r="AK52" i="245"/>
  <c r="AD52" i="245"/>
  <c r="AM53" i="245"/>
  <c r="AN53" i="245"/>
  <c r="AC53" i="245"/>
  <c r="AF54" i="245"/>
  <c r="L53" i="245"/>
  <c r="Z52" i="245"/>
  <c r="U53" i="245"/>
  <c r="AA52" i="245"/>
  <c r="Y52" i="245"/>
  <c r="AC54" i="245"/>
  <c r="H54" i="245"/>
  <c r="AK54" i="245"/>
  <c r="AU52" i="245"/>
  <c r="S52" i="245"/>
  <c r="O52" i="245"/>
  <c r="AD53" i="245"/>
  <c r="AH101" i="245" l="1"/>
  <c r="P102" i="245"/>
  <c r="J95" i="245"/>
  <c r="J96" i="245"/>
  <c r="AH102" i="245"/>
  <c r="AH93" i="245"/>
  <c r="T101" i="245"/>
  <c r="H100" i="245"/>
  <c r="H93" i="245"/>
  <c r="Q90" i="245"/>
  <c r="H92" i="245"/>
  <c r="AQ95" i="245"/>
  <c r="AA93" i="245"/>
  <c r="Y94" i="245"/>
  <c r="AU95" i="245"/>
  <c r="Y86" i="245"/>
  <c r="AL100" i="245"/>
  <c r="Y95" i="245"/>
  <c r="AL102" i="245"/>
  <c r="AT94" i="245"/>
  <c r="AM94" i="245"/>
  <c r="O95" i="245"/>
  <c r="Y102" i="245"/>
  <c r="R86" i="245"/>
  <c r="AM86" i="245"/>
  <c r="AK95" i="245"/>
  <c r="Y93" i="245"/>
  <c r="R94" i="245"/>
  <c r="Y100" i="245"/>
  <c r="R95" i="245"/>
  <c r="AM95" i="245"/>
  <c r="O86" i="245"/>
  <c r="Y92" i="245"/>
  <c r="U95" i="245"/>
  <c r="K95" i="245"/>
  <c r="AP93" i="245"/>
  <c r="AG94" i="245"/>
  <c r="G101" i="245"/>
  <c r="AN100" i="245"/>
  <c r="AR100" i="245"/>
  <c r="AT93" i="245"/>
  <c r="AN93" i="245"/>
  <c r="G92" i="245"/>
  <c r="G100" i="245"/>
  <c r="AR93" i="245"/>
  <c r="AG103" i="245"/>
  <c r="AG106" i="245" s="1"/>
  <c r="AJ93" i="245"/>
  <c r="AN101" i="245"/>
  <c r="AQ94" i="245"/>
  <c r="G93" i="245"/>
  <c r="AR102" i="245"/>
  <c r="AR101" i="245"/>
  <c r="AJ102" i="245"/>
  <c r="AK102" i="245"/>
  <c r="AN92" i="245"/>
  <c r="AQ96" i="245"/>
  <c r="AG86" i="245"/>
  <c r="AT100" i="245"/>
  <c r="AJ100" i="245"/>
  <c r="AL101" i="245"/>
  <c r="AD92" i="245"/>
  <c r="AL93" i="245"/>
  <c r="L86" i="245"/>
  <c r="L92" i="245"/>
  <c r="G95" i="245"/>
  <c r="AA100" i="245"/>
  <c r="AC93" i="245"/>
  <c r="T92" i="245"/>
  <c r="L94" i="245"/>
  <c r="L102" i="245"/>
  <c r="G96" i="245"/>
  <c r="AC100" i="245"/>
  <c r="AF104" i="245"/>
  <c r="AF107" i="245" s="1"/>
  <c r="T93" i="245"/>
  <c r="T100" i="245"/>
  <c r="V100" i="245"/>
  <c r="AI94" i="245"/>
  <c r="L100" i="245"/>
  <c r="L93" i="245"/>
  <c r="AQ99" i="245"/>
  <c r="AC101" i="245"/>
  <c r="AG95" i="245"/>
  <c r="AT92" i="245"/>
  <c r="AG104" i="245"/>
  <c r="AG107" i="245" s="1"/>
  <c r="AJ92" i="245"/>
  <c r="M96" i="245"/>
  <c r="I96" i="245"/>
  <c r="AF90" i="245"/>
  <c r="P95" i="245"/>
  <c r="AT101" i="245"/>
  <c r="AI92" i="245"/>
  <c r="M94" i="245"/>
  <c r="AK99" i="245"/>
  <c r="AD100" i="245"/>
  <c r="AT96" i="245"/>
  <c r="U91" i="245"/>
  <c r="R103" i="245"/>
  <c r="R106" i="245" s="1"/>
  <c r="AD102" i="245"/>
  <c r="AT95" i="245"/>
  <c r="U97" i="245"/>
  <c r="AQ91" i="245"/>
  <c r="AD101" i="245"/>
  <c r="AU92" i="245"/>
  <c r="AQ90" i="245"/>
  <c r="Q91" i="245"/>
  <c r="U96" i="245"/>
  <c r="AB91" i="245"/>
  <c r="K92" i="245"/>
  <c r="I94" i="245"/>
  <c r="AK96" i="245"/>
  <c r="AP100" i="245"/>
  <c r="U94" i="245"/>
  <c r="X102" i="245"/>
  <c r="I95" i="245"/>
  <c r="AK86" i="245"/>
  <c r="AO102" i="245"/>
  <c r="AP102" i="245"/>
  <c r="AP92" i="245"/>
  <c r="X93" i="245"/>
  <c r="AS92" i="245"/>
  <c r="U90" i="245"/>
  <c r="AU101" i="245"/>
  <c r="AU102" i="245"/>
  <c r="AA92" i="245"/>
  <c r="AA101" i="245"/>
  <c r="AS93" i="245"/>
  <c r="AC102" i="245"/>
  <c r="U87" i="245"/>
  <c r="AU86" i="245"/>
  <c r="AO97" i="245"/>
  <c r="AU100" i="245"/>
  <c r="T95" i="245"/>
  <c r="V93" i="245"/>
  <c r="X94" i="245"/>
  <c r="L95" i="245"/>
  <c r="AQ87" i="245"/>
  <c r="Q99" i="245"/>
  <c r="Q87" i="245"/>
  <c r="AB104" i="245"/>
  <c r="AB107" i="245" s="1"/>
  <c r="U98" i="245"/>
  <c r="AU94" i="245"/>
  <c r="AO98" i="245"/>
  <c r="AU104" i="245"/>
  <c r="AU107" i="245" s="1"/>
  <c r="V102" i="245"/>
  <c r="X95" i="245"/>
  <c r="Z86" i="245"/>
  <c r="AI86" i="245"/>
  <c r="AQ97" i="245"/>
  <c r="Q97" i="245"/>
  <c r="AC98" i="245"/>
  <c r="AR97" i="245"/>
  <c r="AR91" i="245"/>
  <c r="AA95" i="245"/>
  <c r="AA86" i="245"/>
  <c r="AA96" i="245"/>
  <c r="AC99" i="245"/>
  <c r="W100" i="245"/>
  <c r="W92" i="245"/>
  <c r="W101" i="245"/>
  <c r="Z103" i="245"/>
  <c r="Z106" i="245" s="1"/>
  <c r="R92" i="245"/>
  <c r="S93" i="245"/>
  <c r="S100" i="245"/>
  <c r="S101" i="245"/>
  <c r="AL87" i="245"/>
  <c r="X96" i="245"/>
  <c r="AK103" i="245"/>
  <c r="AK106" i="245" s="1"/>
  <c r="AK104" i="245"/>
  <c r="AK107" i="245" s="1"/>
  <c r="I97" i="245"/>
  <c r="AP96" i="245"/>
  <c r="I90" i="245"/>
  <c r="AP95" i="245"/>
  <c r="I87" i="245"/>
  <c r="R105" i="245"/>
  <c r="R108" i="245" s="1"/>
  <c r="S102" i="245"/>
  <c r="AJ94" i="245"/>
  <c r="AR90" i="245"/>
  <c r="AO105" i="245"/>
  <c r="AO108" i="245" s="1"/>
  <c r="AH98" i="245"/>
  <c r="Q105" i="245"/>
  <c r="Q108" i="245" s="1"/>
  <c r="AL94" i="245"/>
  <c r="AL97" i="245"/>
  <c r="AL86" i="245"/>
  <c r="AI96" i="245"/>
  <c r="AL91" i="245"/>
  <c r="P94" i="245"/>
  <c r="K96" i="245"/>
  <c r="K86" i="245"/>
  <c r="Y105" i="245"/>
  <c r="Y108" i="245" s="1"/>
  <c r="Z92" i="245"/>
  <c r="AF100" i="245"/>
  <c r="AF101" i="245"/>
  <c r="AF92" i="245"/>
  <c r="AB90" i="245"/>
  <c r="AB98" i="245"/>
  <c r="AE86" i="245"/>
  <c r="AE94" i="245"/>
  <c r="AE95" i="245"/>
  <c r="AS94" i="245"/>
  <c r="M95" i="245"/>
  <c r="AF98" i="245"/>
  <c r="AS96" i="245"/>
  <c r="J105" i="245"/>
  <c r="J108" i="245" s="1"/>
  <c r="AD95" i="245"/>
  <c r="AS95" i="245"/>
  <c r="AF105" i="245"/>
  <c r="AF108" i="245" s="1"/>
  <c r="AU103" i="245"/>
  <c r="AU106" i="245" s="1"/>
  <c r="J103" i="245"/>
  <c r="J106" i="245" s="1"/>
  <c r="AD96" i="245"/>
  <c r="AR94" i="245"/>
  <c r="Q102" i="245"/>
  <c r="H103" i="245"/>
  <c r="H106" i="245" s="1"/>
  <c r="AB102" i="245"/>
  <c r="P99" i="245"/>
  <c r="AM101" i="245"/>
  <c r="AL98" i="245"/>
  <c r="AB96" i="245"/>
  <c r="AD99" i="245"/>
  <c r="AH95" i="245"/>
  <c r="G94" i="245"/>
  <c r="P105" i="245"/>
  <c r="P108" i="245" s="1"/>
  <c r="AO91" i="245"/>
  <c r="M98" i="245"/>
  <c r="AB86" i="245"/>
  <c r="AM102" i="245"/>
  <c r="AQ92" i="245"/>
  <c r="Z101" i="245"/>
  <c r="R102" i="245"/>
  <c r="AJ103" i="245"/>
  <c r="AJ106" i="245" s="1"/>
  <c r="AF91" i="245"/>
  <c r="R100" i="245"/>
  <c r="R101" i="245"/>
  <c r="AG92" i="245"/>
  <c r="U100" i="245"/>
  <c r="Q100" i="245"/>
  <c r="T96" i="245"/>
  <c r="Z97" i="245"/>
  <c r="AM93" i="245"/>
  <c r="AJ91" i="245"/>
  <c r="Q86" i="245"/>
  <c r="AJ90" i="245"/>
  <c r="Q96" i="245"/>
  <c r="AR104" i="245"/>
  <c r="AR107" i="245" s="1"/>
  <c r="Z95" i="245"/>
  <c r="Z96" i="245"/>
  <c r="H86" i="245"/>
  <c r="Z105" i="245"/>
  <c r="Z108" i="245" s="1"/>
  <c r="I100" i="245"/>
  <c r="I102" i="245"/>
  <c r="AF97" i="245"/>
  <c r="AQ93" i="245"/>
  <c r="AO99" i="245"/>
  <c r="AB87" i="245"/>
  <c r="AC90" i="245"/>
  <c r="AR87" i="245"/>
  <c r="Q94" i="245"/>
  <c r="AQ103" i="245"/>
  <c r="AQ106" i="245" s="1"/>
  <c r="AM103" i="245"/>
  <c r="AM106" i="245" s="1"/>
  <c r="M92" i="245"/>
  <c r="U103" i="245"/>
  <c r="U106" i="245" s="1"/>
  <c r="AO90" i="245"/>
  <c r="AQ102" i="245"/>
  <c r="AR105" i="245"/>
  <c r="AR108" i="245" s="1"/>
  <c r="AG101" i="245"/>
  <c r="AO96" i="245"/>
  <c r="J99" i="245"/>
  <c r="AG102" i="245"/>
  <c r="L97" i="245"/>
  <c r="AA105" i="245"/>
  <c r="AA108" i="245" s="1"/>
  <c r="S94" i="245"/>
  <c r="S95" i="245"/>
  <c r="U101" i="245"/>
  <c r="T103" i="245"/>
  <c r="T106" i="245" s="1"/>
  <c r="AO103" i="245"/>
  <c r="AO106" i="245" s="1"/>
  <c r="Z102" i="245"/>
  <c r="AC104" i="245"/>
  <c r="AC107" i="245" s="1"/>
  <c r="V87" i="245"/>
  <c r="Z93" i="245"/>
  <c r="AC105" i="245"/>
  <c r="AC108" i="245" s="1"/>
  <c r="AS101" i="245"/>
  <c r="AF93" i="245"/>
  <c r="T86" i="245"/>
  <c r="U93" i="245"/>
  <c r="AA104" i="245"/>
  <c r="AA107" i="245" s="1"/>
  <c r="AR95" i="245"/>
  <c r="M97" i="245"/>
  <c r="W91" i="245"/>
  <c r="W98" i="245"/>
  <c r="Q101" i="245"/>
  <c r="Q92" i="245"/>
  <c r="AE105" i="245"/>
  <c r="AE108" i="245" s="1"/>
  <c r="Z87" i="245"/>
  <c r="G91" i="245"/>
  <c r="Z99" i="245"/>
  <c r="AR96" i="245"/>
  <c r="I99" i="245"/>
  <c r="W102" i="245"/>
  <c r="Z91" i="245"/>
  <c r="AC97" i="245"/>
  <c r="AO86" i="245"/>
  <c r="AR99" i="245"/>
  <c r="AC87" i="245"/>
  <c r="AO94" i="245"/>
  <c r="AJ99" i="245"/>
  <c r="H98" i="245"/>
  <c r="AD104" i="245"/>
  <c r="AD107" i="245" s="1"/>
  <c r="AO92" i="245"/>
  <c r="H90" i="245"/>
  <c r="R90" i="245"/>
  <c r="AD103" i="245"/>
  <c r="AD106" i="245" s="1"/>
  <c r="Q103" i="245"/>
  <c r="Q106" i="245" s="1"/>
  <c r="S96" i="245"/>
  <c r="AG93" i="245"/>
  <c r="AL95" i="245"/>
  <c r="AB94" i="245"/>
  <c r="AP86" i="245"/>
  <c r="AQ100" i="245"/>
  <c r="O93" i="245"/>
  <c r="G97" i="245"/>
  <c r="O100" i="245"/>
  <c r="AM105" i="245"/>
  <c r="AM108" i="245" s="1"/>
  <c r="AF99" i="245"/>
  <c r="N102" i="245"/>
  <c r="Y97" i="245"/>
  <c r="Y90" i="245"/>
  <c r="Y91" i="245"/>
  <c r="I103" i="245"/>
  <c r="I106" i="245" s="1"/>
  <c r="G99" i="245"/>
  <c r="W90" i="245"/>
  <c r="I104" i="245"/>
  <c r="I107" i="245" s="1"/>
  <c r="N86" i="245"/>
  <c r="G90" i="245"/>
  <c r="AS105" i="245"/>
  <c r="AS108" i="245" s="1"/>
  <c r="W97" i="245"/>
  <c r="U102" i="245"/>
  <c r="AI99" i="245"/>
  <c r="G87" i="245"/>
  <c r="AS104" i="245"/>
  <c r="AS107" i="245" s="1"/>
  <c r="W87" i="245"/>
  <c r="AA99" i="245"/>
  <c r="AI98" i="245"/>
  <c r="Y104" i="245"/>
  <c r="Y107" i="245" s="1"/>
  <c r="AA90" i="245"/>
  <c r="AI87" i="245"/>
  <c r="AA98" i="245"/>
  <c r="L103" i="245"/>
  <c r="L106" i="245" s="1"/>
  <c r="AI90" i="245"/>
  <c r="AM97" i="245"/>
  <c r="AA97" i="245"/>
  <c r="AD97" i="245"/>
  <c r="L105" i="245"/>
  <c r="L108" i="245" s="1"/>
  <c r="G103" i="245"/>
  <c r="G106" i="245" s="1"/>
  <c r="AM87" i="245"/>
  <c r="AA87" i="245"/>
  <c r="AD91" i="245"/>
  <c r="AJ87" i="245"/>
  <c r="AJ98" i="245"/>
  <c r="P103" i="245"/>
  <c r="P106" i="245" s="1"/>
  <c r="T104" i="245"/>
  <c r="T107" i="245" s="1"/>
  <c r="V101" i="245"/>
  <c r="AH90" i="245"/>
  <c r="H91" i="245"/>
  <c r="AH97" i="245"/>
  <c r="AB103" i="245"/>
  <c r="AB106" i="245" s="1"/>
  <c r="J98" i="245"/>
  <c r="AN98" i="245"/>
  <c r="AH91" i="245"/>
  <c r="P86" i="245"/>
  <c r="H97" i="245"/>
  <c r="J97" i="245"/>
  <c r="AN90" i="245"/>
  <c r="AH99" i="245"/>
  <c r="I98" i="245"/>
  <c r="J91" i="245"/>
  <c r="V98" i="245"/>
  <c r="Z90" i="245"/>
  <c r="AN87" i="245"/>
  <c r="AD90" i="245"/>
  <c r="M93" i="245"/>
  <c r="H87" i="245"/>
  <c r="AN99" i="245"/>
  <c r="J90" i="245"/>
  <c r="G105" i="245"/>
  <c r="G108" i="245" s="1"/>
  <c r="R98" i="245"/>
  <c r="AE104" i="245"/>
  <c r="AE107" i="245" s="1"/>
  <c r="AD98" i="245"/>
  <c r="N95" i="245"/>
  <c r="N92" i="245"/>
  <c r="AB97" i="245"/>
  <c r="AI97" i="245"/>
  <c r="W105" i="245"/>
  <c r="W108" i="245" s="1"/>
  <c r="AL104" i="245"/>
  <c r="AL107" i="245" s="1"/>
  <c r="AM99" i="245"/>
  <c r="X103" i="245"/>
  <c r="X106" i="245" s="1"/>
  <c r="AJ104" i="245"/>
  <c r="AJ107" i="245" s="1"/>
  <c r="X104" i="245"/>
  <c r="X107" i="245" s="1"/>
  <c r="H96" i="245"/>
  <c r="AN97" i="245"/>
  <c r="H95" i="245"/>
  <c r="W104" i="245"/>
  <c r="W107" i="245" s="1"/>
  <c r="V86" i="245"/>
  <c r="AU98" i="245"/>
  <c r="V94" i="245"/>
  <c r="V96" i="245"/>
  <c r="AH104" i="245"/>
  <c r="AH107" i="245" s="1"/>
  <c r="AH103" i="245"/>
  <c r="AH106" i="245" s="1"/>
  <c r="K97" i="245"/>
  <c r="K98" i="245"/>
  <c r="K91" i="245"/>
  <c r="N94" i="245"/>
  <c r="K90" i="245"/>
  <c r="K87" i="245"/>
  <c r="AM91" i="245"/>
  <c r="AM98" i="245"/>
  <c r="AL103" i="245"/>
  <c r="AL106" i="245" s="1"/>
  <c r="AG98" i="245"/>
  <c r="AG97" i="245"/>
  <c r="AG91" i="245"/>
  <c r="AG87" i="245"/>
  <c r="AG90" i="245"/>
  <c r="AP87" i="245"/>
  <c r="AP99" i="245"/>
  <c r="AH86" i="245"/>
  <c r="AT87" i="245"/>
  <c r="AB92" i="245"/>
  <c r="T87" i="245"/>
  <c r="AI100" i="245"/>
  <c r="X92" i="245"/>
  <c r="W94" i="245"/>
  <c r="K93" i="245"/>
  <c r="AC94" i="245"/>
  <c r="AF86" i="245"/>
  <c r="O90" i="245"/>
  <c r="P98" i="245"/>
  <c r="AK97" i="245"/>
  <c r="N103" i="245"/>
  <c r="N106" i="245" s="1"/>
  <c r="AK91" i="245"/>
  <c r="N105" i="245"/>
  <c r="N108" i="245" s="1"/>
  <c r="R91" i="245"/>
  <c r="AB101" i="245"/>
  <c r="AU91" i="245"/>
  <c r="T99" i="245"/>
  <c r="L91" i="245"/>
  <c r="AI102" i="245"/>
  <c r="M87" i="245"/>
  <c r="X100" i="245"/>
  <c r="W96" i="245"/>
  <c r="Y98" i="245"/>
  <c r="J101" i="245"/>
  <c r="K101" i="245"/>
  <c r="AC96" i="245"/>
  <c r="M100" i="245"/>
  <c r="AF94" i="245"/>
  <c r="O87" i="245"/>
  <c r="AK90" i="245"/>
  <c r="O92" i="245"/>
  <c r="O91" i="245"/>
  <c r="R99" i="245"/>
  <c r="AS100" i="245"/>
  <c r="AU97" i="245"/>
  <c r="L87" i="245"/>
  <c r="AI101" i="245"/>
  <c r="M99" i="245"/>
  <c r="W95" i="245"/>
  <c r="Y87" i="245"/>
  <c r="AK101" i="245"/>
  <c r="J93" i="245"/>
  <c r="K102" i="245"/>
  <c r="AC95" i="245"/>
  <c r="AP97" i="245"/>
  <c r="M101" i="245"/>
  <c r="AF95" i="245"/>
  <c r="O97" i="245"/>
  <c r="AS87" i="245"/>
  <c r="AK87" i="245"/>
  <c r="O101" i="245"/>
  <c r="AB100" i="245"/>
  <c r="R87" i="245"/>
  <c r="S97" i="245"/>
  <c r="AU90" i="245"/>
  <c r="AT103" i="245"/>
  <c r="AT106" i="245" s="1"/>
  <c r="L99" i="245"/>
  <c r="M90" i="245"/>
  <c r="I101" i="245"/>
  <c r="AK93" i="245"/>
  <c r="J92" i="245"/>
  <c r="AM100" i="245"/>
  <c r="AE91" i="245"/>
  <c r="AP91" i="245"/>
  <c r="O99" i="245"/>
  <c r="AO93" i="245"/>
  <c r="N93" i="245"/>
  <c r="P91" i="245"/>
  <c r="AS97" i="245"/>
  <c r="AJ95" i="245"/>
  <c r="S98" i="245"/>
  <c r="AU87" i="245"/>
  <c r="AT105" i="245"/>
  <c r="AT108" i="245" s="1"/>
  <c r="L98" i="245"/>
  <c r="I93" i="245"/>
  <c r="AK92" i="245"/>
  <c r="J100" i="245"/>
  <c r="AD86" i="245"/>
  <c r="AP98" i="245"/>
  <c r="AO100" i="245"/>
  <c r="AJ96" i="245"/>
  <c r="N100" i="245"/>
  <c r="AH96" i="245"/>
  <c r="P90" i="245"/>
  <c r="AS91" i="245"/>
  <c r="P97" i="245"/>
  <c r="V90" i="245"/>
  <c r="N98" i="245"/>
  <c r="T98" i="245"/>
  <c r="X90" i="245"/>
  <c r="K103" i="245"/>
  <c r="K106" i="245" s="1"/>
  <c r="AT98" i="245"/>
  <c r="T97" i="245"/>
  <c r="V97" i="245"/>
  <c r="X87" i="245"/>
  <c r="K104" i="245"/>
  <c r="K107" i="245" s="1"/>
  <c r="N97" i="245"/>
  <c r="AS99" i="245"/>
  <c r="AT90" i="245"/>
  <c r="S91" i="245"/>
  <c r="V99" i="245"/>
  <c r="X99" i="245"/>
  <c r="AE90" i="245"/>
  <c r="N91" i="245"/>
  <c r="AS98" i="245"/>
  <c r="AP103" i="245"/>
  <c r="AP106" i="245" s="1"/>
  <c r="AT97" i="245"/>
  <c r="S90" i="245"/>
  <c r="X91" i="245"/>
  <c r="AE97" i="245"/>
  <c r="N90" i="245"/>
  <c r="O103" i="245"/>
  <c r="O106" i="245" s="1"/>
  <c r="AQ104" i="245"/>
  <c r="AQ107" i="245" s="1"/>
  <c r="AT91" i="245"/>
  <c r="S87" i="245"/>
  <c r="T91" i="245"/>
  <c r="X98" i="245"/>
  <c r="AE99" i="245"/>
  <c r="N87" i="245"/>
  <c r="O104" i="245"/>
  <c r="O107" i="245" s="1"/>
  <c r="AE87" i="245"/>
  <c r="U105" i="245"/>
  <c r="U108" i="245" s="1"/>
  <c r="AL99" i="245"/>
  <c r="H104" i="245"/>
  <c r="H107" i="245" s="1"/>
  <c r="S103" i="245"/>
  <c r="S106" i="245" s="1"/>
  <c r="AI103" i="245"/>
  <c r="AI106" i="245" s="1"/>
  <c r="AN103" i="245"/>
  <c r="AN106" i="245" s="1"/>
  <c r="M103" i="245"/>
  <c r="M106" i="245" s="1"/>
  <c r="S104" i="245"/>
  <c r="S107" i="245" s="1"/>
  <c r="AP105" i="245"/>
  <c r="AP108" i="245" s="1"/>
  <c r="AI104" i="245"/>
  <c r="AI107" i="245" s="1"/>
  <c r="AN105" i="245"/>
  <c r="AN108" i="245" s="1"/>
  <c r="M105" i="245"/>
  <c r="M108" i="245" s="1"/>
  <c r="G35" i="245"/>
  <c r="E98" i="216"/>
  <c r="D160" i="231" s="1"/>
  <c r="F98" i="216"/>
  <c r="E160" i="231" s="1"/>
  <c r="E99" i="216"/>
  <c r="D161" i="231" s="1"/>
  <c r="F99" i="216"/>
  <c r="E161" i="231" s="1"/>
  <c r="E100" i="216"/>
  <c r="D162" i="231" s="1"/>
  <c r="F100" i="216"/>
  <c r="E162" i="231" s="1"/>
  <c r="E101" i="216"/>
  <c r="D163" i="231" s="1"/>
  <c r="F101" i="216"/>
  <c r="E163" i="231" s="1"/>
  <c r="E102" i="216"/>
  <c r="D164" i="231" s="1"/>
  <c r="F102" i="216"/>
  <c r="E164" i="231" s="1"/>
  <c r="E103" i="216"/>
  <c r="D165" i="231" s="1"/>
  <c r="F103" i="216"/>
  <c r="E165" i="231" s="1"/>
  <c r="E104" i="216"/>
  <c r="D166" i="231" s="1"/>
  <c r="F104" i="216"/>
  <c r="E166" i="231" s="1"/>
  <c r="E105" i="216"/>
  <c r="D167" i="231" s="1"/>
  <c r="F105" i="216"/>
  <c r="E167" i="231" s="1"/>
  <c r="E106" i="216"/>
  <c r="D168" i="231" s="1"/>
  <c r="F106" i="216"/>
  <c r="E168" i="231" s="1"/>
  <c r="E107" i="216"/>
  <c r="D169" i="231" s="1"/>
  <c r="F107" i="216"/>
  <c r="E169" i="231" s="1"/>
  <c r="E108" i="216"/>
  <c r="D170" i="231" s="1"/>
  <c r="F108" i="216"/>
  <c r="E170" i="231" s="1"/>
  <c r="E109" i="216"/>
  <c r="D171" i="231" s="1"/>
  <c r="F109" i="216"/>
  <c r="E171" i="231" s="1"/>
  <c r="E110" i="216"/>
  <c r="D172" i="231" s="1"/>
  <c r="F110" i="216"/>
  <c r="E172" i="231" s="1"/>
  <c r="E111" i="216"/>
  <c r="D173" i="231" s="1"/>
  <c r="F111" i="216"/>
  <c r="E173" i="231" s="1"/>
  <c r="E112" i="216"/>
  <c r="D174" i="231" s="1"/>
  <c r="F112" i="216"/>
  <c r="E174" i="231" s="1"/>
  <c r="E175" i="231"/>
  <c r="E176" i="231"/>
  <c r="E177" i="231"/>
  <c r="E178" i="231"/>
  <c r="E182" i="231" s="1"/>
  <c r="E179" i="231"/>
  <c r="E183" i="231" s="1"/>
  <c r="E85" i="216"/>
  <c r="D147" i="231" s="1"/>
  <c r="F85" i="216"/>
  <c r="E147" i="231" s="1"/>
  <c r="E86" i="216"/>
  <c r="D148" i="231" s="1"/>
  <c r="F86" i="216"/>
  <c r="E148" i="231" s="1"/>
  <c r="E87" i="216"/>
  <c r="D149" i="231" s="1"/>
  <c r="F87" i="216"/>
  <c r="E149" i="231" s="1"/>
  <c r="E88" i="216"/>
  <c r="D150" i="231" s="1"/>
  <c r="F88" i="216"/>
  <c r="E150" i="231" s="1"/>
  <c r="E89" i="216"/>
  <c r="D151" i="231" s="1"/>
  <c r="F89" i="216"/>
  <c r="E151" i="231" s="1"/>
  <c r="E90" i="216"/>
  <c r="D152" i="231" s="1"/>
  <c r="F90" i="216"/>
  <c r="E152" i="231" s="1"/>
  <c r="E91" i="216"/>
  <c r="D153" i="231" s="1"/>
  <c r="F91" i="216"/>
  <c r="E153" i="231" s="1"/>
  <c r="E92" i="216"/>
  <c r="D154" i="231" s="1"/>
  <c r="F92" i="216"/>
  <c r="E154" i="231" s="1"/>
  <c r="E93" i="216"/>
  <c r="D155" i="231" s="1"/>
  <c r="F93" i="216"/>
  <c r="E155" i="231" s="1"/>
  <c r="E94" i="216"/>
  <c r="D156" i="231" s="1"/>
  <c r="F94" i="216"/>
  <c r="E156" i="231" s="1"/>
  <c r="E95" i="216"/>
  <c r="D157" i="231" s="1"/>
  <c r="F95" i="216"/>
  <c r="E157" i="231" s="1"/>
  <c r="E96" i="216"/>
  <c r="D158" i="231" s="1"/>
  <c r="F96" i="216"/>
  <c r="E158" i="231" s="1"/>
  <c r="E97" i="216"/>
  <c r="D159" i="231" s="1"/>
  <c r="F97" i="216"/>
  <c r="E159" i="231" s="1"/>
  <c r="F84" i="216"/>
  <c r="E146" i="231" s="1"/>
  <c r="E84" i="216"/>
  <c r="D146" i="231" s="1"/>
  <c r="B19" i="237" l="1"/>
  <c r="F19" i="237"/>
  <c r="D19" i="237" s="1"/>
  <c r="B27" i="237"/>
  <c r="F27" i="237"/>
  <c r="D27" i="237" s="1"/>
  <c r="B26" i="237"/>
  <c r="F26" i="237"/>
  <c r="D26" i="237" s="1"/>
  <c r="B17" i="237"/>
  <c r="F17" i="237"/>
  <c r="D17" i="237" s="1"/>
  <c r="B31" i="237"/>
  <c r="F31" i="237"/>
  <c r="D31" i="237" s="1"/>
  <c r="B12" i="237"/>
  <c r="F12" i="237"/>
  <c r="D12" i="237" s="1"/>
  <c r="B11" i="237"/>
  <c r="F11" i="237"/>
  <c r="D11" i="237" s="1"/>
  <c r="B38" i="237"/>
  <c r="F38" i="237"/>
  <c r="B24" i="237"/>
  <c r="F24" i="237"/>
  <c r="D24" i="237" s="1"/>
  <c r="B47" i="237"/>
  <c r="F47" i="237"/>
  <c r="B18" i="237"/>
  <c r="F18" i="237"/>
  <c r="D18" i="237" s="1"/>
  <c r="B14" i="237"/>
  <c r="F14" i="237"/>
  <c r="D14" i="237" s="1"/>
  <c r="B32" i="237"/>
  <c r="F32" i="237"/>
  <c r="D32" i="237" s="1"/>
  <c r="B10" i="237"/>
  <c r="F10" i="237"/>
  <c r="B37" i="237"/>
  <c r="F37" i="237"/>
  <c r="D37" i="237" s="1"/>
  <c r="B23" i="237"/>
  <c r="F23" i="237"/>
  <c r="D23" i="237" s="1"/>
  <c r="B20" i="237"/>
  <c r="F20" i="237"/>
  <c r="D20" i="237" s="1"/>
  <c r="B28" i="237"/>
  <c r="F28" i="237"/>
  <c r="D28" i="237" s="1"/>
  <c r="B16" i="237"/>
  <c r="F16" i="237"/>
  <c r="D16" i="237" s="1"/>
  <c r="B15" i="237"/>
  <c r="F15" i="237"/>
  <c r="D15" i="237" s="1"/>
  <c r="B9" i="237"/>
  <c r="F9" i="237"/>
  <c r="D9" i="237" s="1"/>
  <c r="B36" i="237"/>
  <c r="F36" i="237"/>
  <c r="D36" i="237" s="1"/>
  <c r="B25" i="237"/>
  <c r="F25" i="237"/>
  <c r="D25" i="237" s="1"/>
  <c r="B50" i="237"/>
  <c r="F50" i="237"/>
  <c r="B33" i="237"/>
  <c r="F33" i="237"/>
  <c r="D33" i="237" s="1"/>
  <c r="B44" i="237"/>
  <c r="F44" i="237"/>
  <c r="B41" i="237"/>
  <c r="F41" i="237"/>
  <c r="B22" i="237"/>
  <c r="F22" i="237"/>
  <c r="D22" i="237" s="1"/>
  <c r="B35" i="237"/>
  <c r="F35" i="237"/>
  <c r="D35" i="237" s="1"/>
  <c r="B30" i="237"/>
  <c r="F30" i="237"/>
  <c r="D30" i="237" s="1"/>
  <c r="B29" i="237"/>
  <c r="F29" i="237"/>
  <c r="D29" i="237" s="1"/>
  <c r="B21" i="237"/>
  <c r="F21" i="237"/>
  <c r="D21" i="237" s="1"/>
  <c r="B34" i="237"/>
  <c r="F34" i="237"/>
  <c r="B13" i="237"/>
  <c r="F13" i="237"/>
  <c r="D13" i="237" s="1"/>
  <c r="G36" i="245"/>
  <c r="G111" i="216"/>
  <c r="G112" i="216"/>
  <c r="G84" i="216"/>
  <c r="G85" i="216"/>
  <c r="G86" i="216"/>
  <c r="G87" i="216"/>
  <c r="G88" i="216"/>
  <c r="G89" i="216"/>
  <c r="G90" i="216"/>
  <c r="G91" i="216"/>
  <c r="G92" i="216"/>
  <c r="G93" i="216"/>
  <c r="G94" i="216"/>
  <c r="G95" i="216"/>
  <c r="G96" i="216"/>
  <c r="G97" i="216"/>
  <c r="G98" i="216"/>
  <c r="G99" i="216"/>
  <c r="G100" i="216"/>
  <c r="G101" i="216"/>
  <c r="G102" i="216"/>
  <c r="G103" i="216"/>
  <c r="G104" i="216"/>
  <c r="G105" i="216"/>
  <c r="G106" i="216"/>
  <c r="G107" i="216"/>
  <c r="G108" i="216"/>
  <c r="G109" i="216"/>
  <c r="G110" i="216"/>
  <c r="G28" i="245" l="1"/>
  <c r="G27" i="245"/>
  <c r="K24" i="242"/>
  <c r="L24" i="242" s="1"/>
  <c r="AI32" i="242"/>
  <c r="AI6" i="242" s="1"/>
  <c r="AH32" i="242"/>
  <c r="AH6" i="242" s="1"/>
  <c r="AG32" i="242"/>
  <c r="AG6" i="242" s="1"/>
  <c r="AF32" i="242"/>
  <c r="AF6" i="242" s="1"/>
  <c r="AE32" i="242"/>
  <c r="AD32" i="242"/>
  <c r="AD6" i="242" s="1"/>
  <c r="AC32" i="242"/>
  <c r="AC6" i="242" s="1"/>
  <c r="AB32" i="242"/>
  <c r="AB6" i="242" s="1"/>
  <c r="AA32" i="242"/>
  <c r="Z32" i="242"/>
  <c r="Z6" i="242" s="1"/>
  <c r="Y32" i="242"/>
  <c r="Y6" i="242" s="1"/>
  <c r="X32" i="242"/>
  <c r="X6" i="242" s="1"/>
  <c r="W32" i="242"/>
  <c r="W6" i="242" s="1"/>
  <c r="V32" i="242"/>
  <c r="V6" i="242" s="1"/>
  <c r="U32" i="242"/>
  <c r="U6" i="242" s="1"/>
  <c r="T32" i="242"/>
  <c r="S32" i="242"/>
  <c r="S6" i="242" s="1"/>
  <c r="R32" i="242"/>
  <c r="R6" i="242" s="1"/>
  <c r="Q32" i="242"/>
  <c r="Q6" i="242" s="1"/>
  <c r="P32" i="242"/>
  <c r="P6" i="242" s="1"/>
  <c r="O32" i="242"/>
  <c r="O6" i="242" s="1"/>
  <c r="N32" i="242"/>
  <c r="N6" i="242" s="1"/>
  <c r="M32" i="242"/>
  <c r="M11" i="242" s="1"/>
  <c r="M6" i="242" s="1"/>
  <c r="L32" i="242"/>
  <c r="L11" i="242" s="1"/>
  <c r="L6" i="242" s="1"/>
  <c r="D15" i="236"/>
  <c r="AE6" i="242"/>
  <c r="AA6" i="242"/>
  <c r="T6" i="242"/>
  <c r="K6" i="242"/>
  <c r="J6" i="242"/>
  <c r="I6" i="242"/>
  <c r="H6" i="242"/>
  <c r="G6" i="242"/>
  <c r="F6" i="242"/>
  <c r="E6" i="242"/>
  <c r="D16" i="236"/>
  <c r="D17" i="236"/>
  <c r="J7" i="242"/>
  <c r="I7" i="242"/>
  <c r="H7" i="242"/>
  <c r="G7" i="242"/>
  <c r="F7" i="242"/>
  <c r="E7" i="242"/>
  <c r="D18" i="236"/>
  <c r="D21" i="236"/>
  <c r="D22" i="236"/>
  <c r="D23" i="236"/>
  <c r="D24" i="236"/>
  <c r="D25" i="236"/>
  <c r="D26" i="236"/>
  <c r="D27" i="236"/>
  <c r="D28" i="236"/>
  <c r="D29" i="236"/>
  <c r="D31" i="236"/>
  <c r="D32" i="236"/>
  <c r="AY15" i="235"/>
  <c r="AU9" i="235"/>
  <c r="D34" i="236"/>
  <c r="D33" i="236"/>
  <c r="AZ87" i="238"/>
  <c r="AZ86" i="238"/>
  <c r="AZ85" i="238"/>
  <c r="AZ84" i="238"/>
  <c r="AZ83" i="238"/>
  <c r="AZ82" i="238"/>
  <c r="AZ81" i="238"/>
  <c r="AX111" i="238"/>
  <c r="AX110" i="238"/>
  <c r="AX109" i="238"/>
  <c r="AX108" i="238"/>
  <c r="AX107" i="238"/>
  <c r="AX106" i="238"/>
  <c r="AX105" i="238"/>
  <c r="AX104" i="238"/>
  <c r="AX103" i="238"/>
  <c r="AX102" i="238"/>
  <c r="AX101" i="238"/>
  <c r="AX100" i="238"/>
  <c r="AX99" i="238"/>
  <c r="AX98" i="238"/>
  <c r="AX94" i="238"/>
  <c r="AX93" i="238"/>
  <c r="AX92" i="238"/>
  <c r="AX91" i="238"/>
  <c r="AX90" i="238"/>
  <c r="AX89" i="238"/>
  <c r="AX88" i="238"/>
  <c r="AX87" i="238"/>
  <c r="AX86" i="238"/>
  <c r="AX85" i="238"/>
  <c r="AX84" i="238"/>
  <c r="AX83" i="238"/>
  <c r="AX82" i="238"/>
  <c r="AX81" i="238"/>
  <c r="AW69" i="238"/>
  <c r="AV69" i="238"/>
  <c r="AU69" i="238"/>
  <c r="AT69" i="238"/>
  <c r="AS69" i="238"/>
  <c r="AR69" i="238"/>
  <c r="AR87" i="238"/>
  <c r="CO30" i="238" s="1"/>
  <c r="AQ69" i="238"/>
  <c r="AP69" i="238"/>
  <c r="AO69" i="238"/>
  <c r="AN69" i="238"/>
  <c r="AM69" i="238"/>
  <c r="AL69" i="238"/>
  <c r="AL87" i="238" s="1"/>
  <c r="CI30" i="238" s="1"/>
  <c r="AK69" i="238"/>
  <c r="AK87" i="238" s="1"/>
  <c r="CH30" i="238" s="1"/>
  <c r="AJ69" i="238"/>
  <c r="AJ87" i="238" s="1"/>
  <c r="CG30" i="238" s="1"/>
  <c r="AI69" i="238"/>
  <c r="AI87" i="238" s="1"/>
  <c r="CF30" i="238" s="1"/>
  <c r="AH69" i="238"/>
  <c r="AH87" i="238" s="1"/>
  <c r="CE30" i="238" s="1"/>
  <c r="AG69" i="238"/>
  <c r="AG87" i="238" s="1"/>
  <c r="CD30" i="238" s="1"/>
  <c r="AF69" i="238"/>
  <c r="AF87" i="238" s="1"/>
  <c r="CC30" i="238" s="1"/>
  <c r="AE69" i="238"/>
  <c r="AE87" i="238" s="1"/>
  <c r="CB30" i="238" s="1"/>
  <c r="AD69" i="238"/>
  <c r="AD87" i="238" s="1"/>
  <c r="CA30" i="238" s="1"/>
  <c r="AC69" i="238"/>
  <c r="AC87" i="238" s="1"/>
  <c r="BZ30" i="238" s="1"/>
  <c r="AB69" i="238"/>
  <c r="AB87" i="238" s="1"/>
  <c r="BY30" i="238" s="1"/>
  <c r="AA69" i="238"/>
  <c r="AA87" i="238" s="1"/>
  <c r="BX30" i="238" s="1"/>
  <c r="Z69" i="238"/>
  <c r="Z87" i="238" s="1"/>
  <c r="BW30" i="238" s="1"/>
  <c r="Y69" i="238"/>
  <c r="Y87" i="238" s="1"/>
  <c r="BV30" i="238" s="1"/>
  <c r="X69" i="238"/>
  <c r="X87" i="238" s="1"/>
  <c r="BU30" i="238" s="1"/>
  <c r="W69" i="238"/>
  <c r="W87" i="238" s="1"/>
  <c r="BT30" i="238" s="1"/>
  <c r="V69" i="238"/>
  <c r="V87" i="238" s="1"/>
  <c r="BS30" i="238" s="1"/>
  <c r="U69" i="238"/>
  <c r="U87" i="238" s="1"/>
  <c r="BR30" i="238" s="1"/>
  <c r="T69" i="238"/>
  <c r="T87" i="238" s="1"/>
  <c r="BQ30" i="238" s="1"/>
  <c r="S69" i="238"/>
  <c r="S87" i="238" s="1"/>
  <c r="BP30" i="238" s="1"/>
  <c r="R69" i="238"/>
  <c r="R87" i="238" s="1"/>
  <c r="BO30" i="238" s="1"/>
  <c r="Q69" i="238"/>
  <c r="Q87" i="238" s="1"/>
  <c r="BN30" i="238" s="1"/>
  <c r="P69" i="238"/>
  <c r="P87" i="238" s="1"/>
  <c r="BM30" i="238" s="1"/>
  <c r="O69" i="238"/>
  <c r="O87" i="238" s="1"/>
  <c r="BL30" i="238" s="1"/>
  <c r="N69" i="238"/>
  <c r="N87" i="238" s="1"/>
  <c r="BK30" i="238" s="1"/>
  <c r="M69" i="238"/>
  <c r="M87" i="238" s="1"/>
  <c r="BJ30" i="238" s="1"/>
  <c r="L69" i="238"/>
  <c r="L87" i="238" s="1"/>
  <c r="BI30" i="238" s="1"/>
  <c r="K69" i="238"/>
  <c r="K87" i="238" s="1"/>
  <c r="BH30" i="238" s="1"/>
  <c r="J69" i="238"/>
  <c r="J87" i="238" s="1"/>
  <c r="BG30" i="238" s="1"/>
  <c r="I69" i="238"/>
  <c r="I87" i="238" s="1"/>
  <c r="BF30" i="238" s="1"/>
  <c r="H69" i="238"/>
  <c r="H87" i="238" s="1"/>
  <c r="BE30" i="238" s="1"/>
  <c r="G69" i="238"/>
  <c r="G87" i="238" s="1"/>
  <c r="BD30" i="238" s="1"/>
  <c r="F69" i="238"/>
  <c r="F87" i="238" s="1"/>
  <c r="BC30" i="238" s="1"/>
  <c r="E69" i="238"/>
  <c r="E87" i="238" s="1"/>
  <c r="BB30" i="238" s="1"/>
  <c r="D69" i="238"/>
  <c r="D87" i="238" s="1"/>
  <c r="BA30" i="238" s="1"/>
  <c r="C69" i="238"/>
  <c r="C87" i="238" s="1"/>
  <c r="AZ30" i="238" s="1"/>
  <c r="AW68" i="238"/>
  <c r="AV68" i="238"/>
  <c r="AU68" i="238"/>
  <c r="AT68" i="238"/>
  <c r="AT86" i="238"/>
  <c r="CQ29" i="238" s="1"/>
  <c r="AS68" i="238"/>
  <c r="AR68" i="238"/>
  <c r="AQ68" i="238"/>
  <c r="AP68" i="238"/>
  <c r="AO68" i="238"/>
  <c r="AN68" i="238"/>
  <c r="AN86" i="238" s="1"/>
  <c r="CK29" i="238" s="1"/>
  <c r="AM68" i="238"/>
  <c r="AL68" i="238"/>
  <c r="AL86" i="238" s="1"/>
  <c r="CI29" i="238" s="1"/>
  <c r="AK68" i="238"/>
  <c r="AK86" i="238" s="1"/>
  <c r="CH29" i="238" s="1"/>
  <c r="AJ68" i="238"/>
  <c r="AJ86" i="238" s="1"/>
  <c r="CG29" i="238" s="1"/>
  <c r="AI68" i="238"/>
  <c r="AI86" i="238" s="1"/>
  <c r="CF29" i="238" s="1"/>
  <c r="AH68" i="238"/>
  <c r="AH86" i="238" s="1"/>
  <c r="CE29" i="238" s="1"/>
  <c r="AG68" i="238"/>
  <c r="AG86" i="238" s="1"/>
  <c r="CD29" i="238" s="1"/>
  <c r="AF68" i="238"/>
  <c r="AF86" i="238" s="1"/>
  <c r="CC29" i="238" s="1"/>
  <c r="AE68" i="238"/>
  <c r="AE86" i="238" s="1"/>
  <c r="CB29" i="238" s="1"/>
  <c r="AD68" i="238"/>
  <c r="AD86" i="238" s="1"/>
  <c r="CA29" i="238" s="1"/>
  <c r="AC68" i="238"/>
  <c r="AC86" i="238" s="1"/>
  <c r="BZ29" i="238" s="1"/>
  <c r="AB68" i="238"/>
  <c r="AB86" i="238" s="1"/>
  <c r="BY29" i="238" s="1"/>
  <c r="AA68" i="238"/>
  <c r="AA86" i="238"/>
  <c r="BX29" i="238" s="1"/>
  <c r="Z68" i="238"/>
  <c r="Z86" i="238" s="1"/>
  <c r="BW29" i="238" s="1"/>
  <c r="Y68" i="238"/>
  <c r="Y86" i="238" s="1"/>
  <c r="BV29" i="238" s="1"/>
  <c r="X68" i="238"/>
  <c r="X86" i="238" s="1"/>
  <c r="BU29" i="238" s="1"/>
  <c r="W68" i="238"/>
  <c r="W86" i="238" s="1"/>
  <c r="BT29" i="238" s="1"/>
  <c r="V68" i="238"/>
  <c r="V86" i="238" s="1"/>
  <c r="BS29" i="238" s="1"/>
  <c r="U68" i="238"/>
  <c r="U86" i="238" s="1"/>
  <c r="BR29" i="238" s="1"/>
  <c r="T68" i="238"/>
  <c r="T86" i="238" s="1"/>
  <c r="BQ29" i="238" s="1"/>
  <c r="S68" i="238"/>
  <c r="S86" i="238" s="1"/>
  <c r="BP29" i="238" s="1"/>
  <c r="R68" i="238"/>
  <c r="R86" i="238" s="1"/>
  <c r="BO29" i="238" s="1"/>
  <c r="Q68" i="238"/>
  <c r="Q86" i="238" s="1"/>
  <c r="BN29" i="238" s="1"/>
  <c r="P68" i="238"/>
  <c r="P86" i="238" s="1"/>
  <c r="BM29" i="238" s="1"/>
  <c r="O68" i="238"/>
  <c r="O86" i="238" s="1"/>
  <c r="BL29" i="238" s="1"/>
  <c r="N68" i="238"/>
  <c r="N86" i="238" s="1"/>
  <c r="BK29" i="238" s="1"/>
  <c r="M68" i="238"/>
  <c r="M86" i="238" s="1"/>
  <c r="BJ29" i="238" s="1"/>
  <c r="L68" i="238"/>
  <c r="L86" i="238" s="1"/>
  <c r="BI29" i="238" s="1"/>
  <c r="K68" i="238"/>
  <c r="K86" i="238" s="1"/>
  <c r="BH29" i="238" s="1"/>
  <c r="J68" i="238"/>
  <c r="J86" i="238" s="1"/>
  <c r="BG29" i="238" s="1"/>
  <c r="I68" i="238"/>
  <c r="I86" i="238" s="1"/>
  <c r="BF29" i="238" s="1"/>
  <c r="H68" i="238"/>
  <c r="H86" i="238" s="1"/>
  <c r="BE29" i="238" s="1"/>
  <c r="G68" i="238"/>
  <c r="G86" i="238" s="1"/>
  <c r="BD29" i="238" s="1"/>
  <c r="F68" i="238"/>
  <c r="F86" i="238" s="1"/>
  <c r="BC29" i="238" s="1"/>
  <c r="E68" i="238"/>
  <c r="E86" i="238" s="1"/>
  <c r="BB29" i="238" s="1"/>
  <c r="D68" i="238"/>
  <c r="D86" i="238" s="1"/>
  <c r="BA29" i="238" s="1"/>
  <c r="C68" i="238"/>
  <c r="C86" i="238" s="1"/>
  <c r="AZ29" i="238" s="1"/>
  <c r="AW67" i="238"/>
  <c r="AV67" i="238"/>
  <c r="AU67" i="238"/>
  <c r="AT67" i="238"/>
  <c r="AS67" i="238"/>
  <c r="AR67" i="238"/>
  <c r="AQ67" i="238"/>
  <c r="AP67" i="238"/>
  <c r="AO67" i="238"/>
  <c r="AN67" i="238"/>
  <c r="AM67" i="238"/>
  <c r="AL67" i="238"/>
  <c r="AK67" i="238"/>
  <c r="AJ67" i="238"/>
  <c r="AI67" i="238"/>
  <c r="AH67" i="238"/>
  <c r="AG67" i="238"/>
  <c r="AF67" i="238"/>
  <c r="AE67" i="238"/>
  <c r="AD67" i="238"/>
  <c r="AC67" i="238"/>
  <c r="AB67" i="238"/>
  <c r="AA67" i="238"/>
  <c r="Z67" i="238"/>
  <c r="Y67" i="238"/>
  <c r="X67" i="238"/>
  <c r="W67" i="238"/>
  <c r="V67" i="238"/>
  <c r="U67" i="238"/>
  <c r="T67" i="238"/>
  <c r="S67" i="238"/>
  <c r="R67" i="238"/>
  <c r="Q67" i="238"/>
  <c r="P67" i="238"/>
  <c r="O67" i="238"/>
  <c r="N67" i="238"/>
  <c r="M67" i="238"/>
  <c r="L67" i="238"/>
  <c r="K67" i="238"/>
  <c r="J67" i="238"/>
  <c r="I67" i="238"/>
  <c r="H67" i="238"/>
  <c r="G67" i="238"/>
  <c r="F67" i="238"/>
  <c r="E67" i="238"/>
  <c r="D67" i="238"/>
  <c r="C67" i="238"/>
  <c r="AW66" i="238"/>
  <c r="AV66" i="238"/>
  <c r="AU66" i="238"/>
  <c r="AT66" i="238"/>
  <c r="AS66" i="238"/>
  <c r="AR66" i="238"/>
  <c r="AQ66" i="238"/>
  <c r="AP66" i="238"/>
  <c r="AO66" i="238"/>
  <c r="AN66" i="238"/>
  <c r="AM66" i="238"/>
  <c r="AL66" i="238"/>
  <c r="AK66" i="238"/>
  <c r="AJ66" i="238"/>
  <c r="AI66" i="238"/>
  <c r="AH66" i="238"/>
  <c r="AG66" i="238"/>
  <c r="AF66" i="238"/>
  <c r="AE66" i="238"/>
  <c r="AD66" i="238"/>
  <c r="AC66" i="238"/>
  <c r="AB66" i="238"/>
  <c r="AA66" i="238"/>
  <c r="Z66" i="238"/>
  <c r="Y66" i="238"/>
  <c r="X66" i="238"/>
  <c r="W66" i="238"/>
  <c r="V66" i="238"/>
  <c r="U66" i="238"/>
  <c r="T66" i="238"/>
  <c r="S66" i="238"/>
  <c r="R66" i="238"/>
  <c r="Q66" i="238"/>
  <c r="P66" i="238"/>
  <c r="O66" i="238"/>
  <c r="N66" i="238"/>
  <c r="M66" i="238"/>
  <c r="L66" i="238"/>
  <c r="K66" i="238"/>
  <c r="J66" i="238"/>
  <c r="I66" i="238"/>
  <c r="H66" i="238"/>
  <c r="G66" i="238"/>
  <c r="F66" i="238"/>
  <c r="E66" i="238"/>
  <c r="D66" i="238"/>
  <c r="C66" i="238"/>
  <c r="AW65" i="238"/>
  <c r="AV65" i="238"/>
  <c r="AU65" i="238"/>
  <c r="AT65" i="238"/>
  <c r="AS65" i="238"/>
  <c r="AR65" i="238"/>
  <c r="AQ65" i="238"/>
  <c r="AP65" i="238"/>
  <c r="AO65" i="238"/>
  <c r="AN65" i="238"/>
  <c r="AM65" i="238"/>
  <c r="AL65" i="238"/>
  <c r="AK65" i="238"/>
  <c r="AJ65" i="238"/>
  <c r="AI65" i="238"/>
  <c r="AH65" i="238"/>
  <c r="AG65" i="238"/>
  <c r="AF65" i="238"/>
  <c r="AE65" i="238"/>
  <c r="AD65" i="238"/>
  <c r="AC65" i="238"/>
  <c r="AB65" i="238"/>
  <c r="AA65" i="238"/>
  <c r="Z65" i="238"/>
  <c r="Y65" i="238"/>
  <c r="X65" i="238"/>
  <c r="W65" i="238"/>
  <c r="V65" i="238"/>
  <c r="U65" i="238"/>
  <c r="T65" i="238"/>
  <c r="S65" i="238"/>
  <c r="R65" i="238"/>
  <c r="Q65" i="238"/>
  <c r="P65" i="238"/>
  <c r="O65" i="238"/>
  <c r="N65" i="238"/>
  <c r="M65" i="238"/>
  <c r="L65" i="238"/>
  <c r="K65" i="238"/>
  <c r="J65" i="238"/>
  <c r="I65" i="238"/>
  <c r="H65" i="238"/>
  <c r="G65" i="238"/>
  <c r="F65" i="238"/>
  <c r="E65" i="238"/>
  <c r="D65" i="238"/>
  <c r="C65" i="238"/>
  <c r="AW64" i="238"/>
  <c r="AV64" i="238"/>
  <c r="AU64" i="238"/>
  <c r="AT64" i="238"/>
  <c r="AS64" i="238"/>
  <c r="AR64" i="238"/>
  <c r="AQ64" i="238"/>
  <c r="AP64" i="238"/>
  <c r="AO64" i="238"/>
  <c r="AN64" i="238"/>
  <c r="AM64" i="238"/>
  <c r="AL64" i="238"/>
  <c r="AK64" i="238"/>
  <c r="AJ64" i="238"/>
  <c r="AI64" i="238"/>
  <c r="AH64" i="238"/>
  <c r="AG64" i="238"/>
  <c r="AF64" i="238"/>
  <c r="AE64" i="238"/>
  <c r="AD64" i="238"/>
  <c r="AC64" i="238"/>
  <c r="AB64" i="238"/>
  <c r="AA64" i="238"/>
  <c r="Z64" i="238"/>
  <c r="Y64" i="238"/>
  <c r="X64" i="238"/>
  <c r="W64" i="238"/>
  <c r="V64" i="238"/>
  <c r="U64" i="238"/>
  <c r="T64" i="238"/>
  <c r="S64" i="238"/>
  <c r="R64" i="238"/>
  <c r="Q64" i="238"/>
  <c r="P64" i="238"/>
  <c r="O64" i="238"/>
  <c r="N64" i="238"/>
  <c r="M64" i="238"/>
  <c r="L64" i="238"/>
  <c r="K64" i="238"/>
  <c r="J64" i="238"/>
  <c r="I64" i="238"/>
  <c r="H64" i="238"/>
  <c r="G64" i="238"/>
  <c r="F64" i="238"/>
  <c r="E64" i="238"/>
  <c r="D64" i="238"/>
  <c r="C64" i="238"/>
  <c r="AW63" i="238"/>
  <c r="AV63" i="238"/>
  <c r="AU63" i="238"/>
  <c r="AT63" i="238"/>
  <c r="AS63" i="238"/>
  <c r="AR63" i="238"/>
  <c r="AQ63" i="238"/>
  <c r="AP63" i="238"/>
  <c r="AO63" i="238"/>
  <c r="AN63" i="238"/>
  <c r="AM63" i="238"/>
  <c r="AL63" i="238"/>
  <c r="AK63" i="238"/>
  <c r="AJ63" i="238"/>
  <c r="AI63" i="238"/>
  <c r="AH63" i="238"/>
  <c r="AG63" i="238"/>
  <c r="AF63" i="238"/>
  <c r="AE63" i="238"/>
  <c r="AD63" i="238"/>
  <c r="AC63" i="238"/>
  <c r="AB63" i="238"/>
  <c r="AA63" i="238"/>
  <c r="Z63" i="238"/>
  <c r="Y63" i="238"/>
  <c r="X63" i="238"/>
  <c r="W63" i="238"/>
  <c r="V63" i="238"/>
  <c r="U63" i="238"/>
  <c r="T63" i="238"/>
  <c r="S63" i="238"/>
  <c r="R63" i="238"/>
  <c r="Q63" i="238"/>
  <c r="P63" i="238"/>
  <c r="O63" i="238"/>
  <c r="N63" i="238"/>
  <c r="M63" i="238"/>
  <c r="L63" i="238"/>
  <c r="K63" i="238"/>
  <c r="J63" i="238"/>
  <c r="I63" i="238"/>
  <c r="H63" i="238"/>
  <c r="G63" i="238"/>
  <c r="F63" i="238"/>
  <c r="E63" i="238"/>
  <c r="D63" i="238"/>
  <c r="C63" i="238"/>
  <c r="AW62" i="238"/>
  <c r="AV62" i="238"/>
  <c r="AU62" i="238"/>
  <c r="AT62" i="238"/>
  <c r="AS62" i="238"/>
  <c r="AR62" i="238"/>
  <c r="AQ62" i="238"/>
  <c r="AP62" i="238"/>
  <c r="AO62" i="238"/>
  <c r="AN62" i="238"/>
  <c r="AM62" i="238"/>
  <c r="AL62" i="238"/>
  <c r="AK62" i="238"/>
  <c r="AJ62" i="238"/>
  <c r="AI62" i="238"/>
  <c r="AH62" i="238"/>
  <c r="AG62" i="238"/>
  <c r="AF62" i="238"/>
  <c r="AE62" i="238"/>
  <c r="AD62" i="238"/>
  <c r="AC62" i="238"/>
  <c r="AB62" i="238"/>
  <c r="AA62" i="238"/>
  <c r="Z62" i="238"/>
  <c r="Y62" i="238"/>
  <c r="X62" i="238"/>
  <c r="W62" i="238"/>
  <c r="V62" i="238"/>
  <c r="U62" i="238"/>
  <c r="T62" i="238"/>
  <c r="S62" i="238"/>
  <c r="R62" i="238"/>
  <c r="Q62" i="238"/>
  <c r="P62" i="238"/>
  <c r="O62" i="238"/>
  <c r="N62" i="238"/>
  <c r="M62" i="238"/>
  <c r="L62" i="238"/>
  <c r="K62" i="238"/>
  <c r="J62" i="238"/>
  <c r="I62" i="238"/>
  <c r="H62" i="238"/>
  <c r="G62" i="238"/>
  <c r="F62" i="238"/>
  <c r="E62" i="238"/>
  <c r="D62" i="238"/>
  <c r="C62" i="238"/>
  <c r="AW61" i="238"/>
  <c r="AV61" i="238"/>
  <c r="AU61" i="238"/>
  <c r="AT61" i="238"/>
  <c r="AS61" i="238"/>
  <c r="AR61" i="238"/>
  <c r="AQ61" i="238"/>
  <c r="AP61" i="238"/>
  <c r="AO61" i="238"/>
  <c r="AN61" i="238"/>
  <c r="AM61" i="238"/>
  <c r="AL61" i="238"/>
  <c r="AK61" i="238"/>
  <c r="AJ61" i="238"/>
  <c r="AI61" i="238"/>
  <c r="AH61" i="238"/>
  <c r="AG61" i="238"/>
  <c r="AF61" i="238"/>
  <c r="AE61" i="238"/>
  <c r="AD61" i="238"/>
  <c r="AC61" i="238"/>
  <c r="AB61" i="238"/>
  <c r="AA61" i="238"/>
  <c r="Z61" i="238"/>
  <c r="Y61" i="238"/>
  <c r="X61" i="238"/>
  <c r="W61" i="238"/>
  <c r="V61" i="238"/>
  <c r="U61" i="238"/>
  <c r="T61" i="238"/>
  <c r="S61" i="238"/>
  <c r="R61" i="238"/>
  <c r="Q61" i="238"/>
  <c r="P61" i="238"/>
  <c r="O61" i="238"/>
  <c r="N61" i="238"/>
  <c r="M61" i="238"/>
  <c r="L61" i="238"/>
  <c r="K61" i="238"/>
  <c r="J61" i="238"/>
  <c r="I61" i="238"/>
  <c r="H61" i="238"/>
  <c r="G61" i="238"/>
  <c r="F61" i="238"/>
  <c r="E61" i="238"/>
  <c r="D61" i="238"/>
  <c r="C61" i="238"/>
  <c r="AW60" i="238"/>
  <c r="AV60" i="238"/>
  <c r="AU60" i="238"/>
  <c r="AT60" i="238"/>
  <c r="AS60" i="238"/>
  <c r="AR60" i="238"/>
  <c r="AQ60" i="238"/>
  <c r="AP60" i="238"/>
  <c r="AO60" i="238"/>
  <c r="AN60" i="238"/>
  <c r="AM60" i="238"/>
  <c r="AL60" i="238"/>
  <c r="AK60" i="238"/>
  <c r="AJ60" i="238"/>
  <c r="AI60" i="238"/>
  <c r="AH60" i="238"/>
  <c r="AG60" i="238"/>
  <c r="AF60" i="238"/>
  <c r="AE60" i="238"/>
  <c r="AD60" i="238"/>
  <c r="AC60" i="238"/>
  <c r="AB60" i="238"/>
  <c r="AA60" i="238"/>
  <c r="Z60" i="238"/>
  <c r="Y60" i="238"/>
  <c r="X60" i="238"/>
  <c r="W60" i="238"/>
  <c r="V60" i="238"/>
  <c r="U60" i="238"/>
  <c r="T60" i="238"/>
  <c r="S60" i="238"/>
  <c r="R60" i="238"/>
  <c r="Q60" i="238"/>
  <c r="P60" i="238"/>
  <c r="O60" i="238"/>
  <c r="N60" i="238"/>
  <c r="M60" i="238"/>
  <c r="L60" i="238"/>
  <c r="K60" i="238"/>
  <c r="J60" i="238"/>
  <c r="I60" i="238"/>
  <c r="H60" i="238"/>
  <c r="G60" i="238"/>
  <c r="F60" i="238"/>
  <c r="E60" i="238"/>
  <c r="D60" i="238"/>
  <c r="C60" i="238"/>
  <c r="AW59" i="238"/>
  <c r="AV59" i="238"/>
  <c r="AU59" i="238"/>
  <c r="AT59" i="238"/>
  <c r="AS59" i="238"/>
  <c r="AR59" i="238"/>
  <c r="AQ59" i="238"/>
  <c r="AP59" i="238"/>
  <c r="AO59" i="238"/>
  <c r="AN59" i="238"/>
  <c r="AM59" i="238"/>
  <c r="AL59" i="238"/>
  <c r="AK59" i="238"/>
  <c r="AJ59" i="238"/>
  <c r="AI59" i="238"/>
  <c r="AH59" i="238"/>
  <c r="AG59" i="238"/>
  <c r="AF59" i="238"/>
  <c r="AE59" i="238"/>
  <c r="AD59" i="238"/>
  <c r="AC59" i="238"/>
  <c r="BZ24" i="238" s="1"/>
  <c r="AB59" i="238"/>
  <c r="AA59" i="238"/>
  <c r="Z59" i="238"/>
  <c r="Y59" i="238"/>
  <c r="X59" i="238"/>
  <c r="W59" i="238"/>
  <c r="V59" i="238"/>
  <c r="U59" i="238"/>
  <c r="BR22" i="238" s="1"/>
  <c r="T59" i="238"/>
  <c r="S59" i="238"/>
  <c r="R59" i="238"/>
  <c r="Q59" i="238"/>
  <c r="BN25" i="238" s="1"/>
  <c r="P59" i="238"/>
  <c r="O59" i="238"/>
  <c r="N59" i="238"/>
  <c r="M59" i="238"/>
  <c r="L59" i="238"/>
  <c r="K59" i="238"/>
  <c r="J59" i="238"/>
  <c r="I59" i="238"/>
  <c r="BF26" i="238" s="1"/>
  <c r="H59" i="238"/>
  <c r="G59" i="238"/>
  <c r="F59" i="238"/>
  <c r="E59" i="238"/>
  <c r="D59" i="238"/>
  <c r="C59" i="238"/>
  <c r="AW58" i="238"/>
  <c r="AV58" i="238"/>
  <c r="AU58" i="238"/>
  <c r="AT58" i="238"/>
  <c r="AS58" i="238"/>
  <c r="AR58" i="238"/>
  <c r="AQ58" i="238"/>
  <c r="AP58" i="238"/>
  <c r="AO58" i="238"/>
  <c r="AN58" i="238"/>
  <c r="AM58" i="238"/>
  <c r="AL58" i="238"/>
  <c r="AK58" i="238"/>
  <c r="AJ58" i="238"/>
  <c r="AI58" i="238"/>
  <c r="AH58" i="238"/>
  <c r="AG58" i="238"/>
  <c r="AF58" i="238"/>
  <c r="AE58" i="238"/>
  <c r="AD58" i="238"/>
  <c r="AC58" i="238"/>
  <c r="AB58" i="238"/>
  <c r="AA58" i="238"/>
  <c r="Z58" i="238"/>
  <c r="Y58" i="238"/>
  <c r="X58" i="238"/>
  <c r="W58" i="238"/>
  <c r="V58" i="238"/>
  <c r="U58" i="238"/>
  <c r="T58" i="238"/>
  <c r="S58" i="238"/>
  <c r="R58" i="238"/>
  <c r="Q58" i="238"/>
  <c r="P58" i="238"/>
  <c r="O58" i="238"/>
  <c r="N58" i="238"/>
  <c r="M58" i="238"/>
  <c r="L58" i="238"/>
  <c r="K58" i="238"/>
  <c r="J58" i="238"/>
  <c r="I58" i="238"/>
  <c r="H58" i="238"/>
  <c r="G58" i="238"/>
  <c r="F58" i="238"/>
  <c r="E58" i="238"/>
  <c r="D58" i="238"/>
  <c r="C58" i="238"/>
  <c r="AW57" i="238"/>
  <c r="AW75" i="238" s="1"/>
  <c r="CT27" i="238" s="1"/>
  <c r="AV57" i="238"/>
  <c r="AV75" i="238" s="1"/>
  <c r="CS27" i="238" s="1"/>
  <c r="AU57" i="238"/>
  <c r="AU75" i="238" s="1"/>
  <c r="CR27" i="238" s="1"/>
  <c r="AT57" i="238"/>
  <c r="AT75" i="238" s="1"/>
  <c r="AS57" i="238"/>
  <c r="AS75" i="238" s="1"/>
  <c r="CP27" i="238" s="1"/>
  <c r="AR57" i="238"/>
  <c r="AR75" i="238" s="1"/>
  <c r="AQ57" i="238"/>
  <c r="AQ75" i="238" s="1"/>
  <c r="CN27" i="238" s="1"/>
  <c r="AP57" i="238"/>
  <c r="AP75" i="238" s="1"/>
  <c r="CM27" i="238" s="1"/>
  <c r="AO57" i="238"/>
  <c r="AO75" i="238" s="1"/>
  <c r="CL27" i="238" s="1"/>
  <c r="AN57" i="238"/>
  <c r="AN75" i="238" s="1"/>
  <c r="CK27" i="238" s="1"/>
  <c r="AM57" i="238"/>
  <c r="AM75" i="238" s="1"/>
  <c r="CJ27" i="238" s="1"/>
  <c r="AL57" i="238"/>
  <c r="AL75" i="238" s="1"/>
  <c r="AK57" i="238"/>
  <c r="AK75" i="238" s="1"/>
  <c r="CH27" i="238" s="1"/>
  <c r="AJ57" i="238"/>
  <c r="AJ75" i="238" s="1"/>
  <c r="CG27" i="238" s="1"/>
  <c r="AI57" i="238"/>
  <c r="AI75" i="238" s="1"/>
  <c r="CF27" i="238" s="1"/>
  <c r="AH57" i="238"/>
  <c r="AH75" i="238" s="1"/>
  <c r="AG57" i="238"/>
  <c r="AG75" i="238" s="1"/>
  <c r="CD27" i="238" s="1"/>
  <c r="AF57" i="238"/>
  <c r="AF75" i="238" s="1"/>
  <c r="CC27" i="238" s="1"/>
  <c r="AE57" i="238"/>
  <c r="AE75" i="238" s="1"/>
  <c r="AD57" i="238"/>
  <c r="AD75" i="238" s="1"/>
  <c r="CA27" i="238" s="1"/>
  <c r="AC57" i="238"/>
  <c r="AC75" i="238" s="1"/>
  <c r="BZ27" i="238" s="1"/>
  <c r="AB57" i="238"/>
  <c r="AB75" i="238" s="1"/>
  <c r="BY27" i="238" s="1"/>
  <c r="AA57" i="238"/>
  <c r="AA75" i="238" s="1"/>
  <c r="BX27" i="238" s="1"/>
  <c r="Z57" i="238"/>
  <c r="Z75" i="238" s="1"/>
  <c r="BW27" i="238" s="1"/>
  <c r="Y57" i="238"/>
  <c r="Y75" i="238" s="1"/>
  <c r="X57" i="238"/>
  <c r="X75" i="238" s="1"/>
  <c r="BU27" i="238" s="1"/>
  <c r="W57" i="238"/>
  <c r="W75" i="238" s="1"/>
  <c r="BT27" i="238" s="1"/>
  <c r="V57" i="238"/>
  <c r="V75" i="238" s="1"/>
  <c r="BS27" i="238" s="1"/>
  <c r="U57" i="238"/>
  <c r="U75" i="238" s="1"/>
  <c r="BR27" i="238" s="1"/>
  <c r="T57" i="238"/>
  <c r="T75" i="238" s="1"/>
  <c r="BQ27" i="238" s="1"/>
  <c r="S57" i="238"/>
  <c r="S75" i="238" s="1"/>
  <c r="BP27" i="238" s="1"/>
  <c r="R57" i="238"/>
  <c r="R75" i="238" s="1"/>
  <c r="Q57" i="238"/>
  <c r="Q75" i="238" s="1"/>
  <c r="BN27" i="238" s="1"/>
  <c r="P57" i="238"/>
  <c r="P75" i="238" s="1"/>
  <c r="BM27" i="238" s="1"/>
  <c r="O57" i="238"/>
  <c r="O75" i="238" s="1"/>
  <c r="BL27" i="238" s="1"/>
  <c r="N57" i="238"/>
  <c r="N75" i="238" s="1"/>
  <c r="BK27" i="238" s="1"/>
  <c r="M57" i="238"/>
  <c r="M75" i="238" s="1"/>
  <c r="L57" i="238"/>
  <c r="L75" i="238" s="1"/>
  <c r="K57" i="238"/>
  <c r="K75" i="238" s="1"/>
  <c r="BH27" i="238" s="1"/>
  <c r="J57" i="238"/>
  <c r="J75" i="238" s="1"/>
  <c r="BG27" i="238" s="1"/>
  <c r="I57" i="238"/>
  <c r="I75" i="238" s="1"/>
  <c r="BF27" i="238" s="1"/>
  <c r="H57" i="238"/>
  <c r="H75" i="238" s="1"/>
  <c r="BE27" i="238" s="1"/>
  <c r="G57" i="238"/>
  <c r="G75" i="238" s="1"/>
  <c r="BD27" i="238" s="1"/>
  <c r="F57" i="238"/>
  <c r="F75" i="238" s="1"/>
  <c r="BC27" i="238" s="1"/>
  <c r="E57" i="238"/>
  <c r="E75" i="238" s="1"/>
  <c r="BB27" i="238" s="1"/>
  <c r="D57" i="238"/>
  <c r="D75" i="238" s="1"/>
  <c r="BA27" i="238" s="1"/>
  <c r="C57" i="238"/>
  <c r="C75" i="238" s="1"/>
  <c r="AZ27" i="238" s="1"/>
  <c r="AW56" i="238"/>
  <c r="AV56" i="238"/>
  <c r="AU56" i="238"/>
  <c r="AT56" i="238"/>
  <c r="AS56" i="238"/>
  <c r="AR56" i="238"/>
  <c r="AQ56" i="238"/>
  <c r="AP56" i="238"/>
  <c r="AO56" i="238"/>
  <c r="AN56" i="238"/>
  <c r="AM56" i="238"/>
  <c r="AL56" i="238"/>
  <c r="AL74" i="238" s="1"/>
  <c r="CI28" i="238" s="1"/>
  <c r="AK56" i="238"/>
  <c r="AK74" i="238" s="1"/>
  <c r="CH28" i="238" s="1"/>
  <c r="AJ56" i="238"/>
  <c r="AJ74" i="238" s="1"/>
  <c r="AI56" i="238"/>
  <c r="AI74" i="238" s="1"/>
  <c r="AH56" i="238"/>
  <c r="AH74" i="238" s="1"/>
  <c r="CE28" i="238" s="1"/>
  <c r="AG56" i="238"/>
  <c r="AG74" i="238" s="1"/>
  <c r="CD28" i="238" s="1"/>
  <c r="AF56" i="238"/>
  <c r="AF74" i="238" s="1"/>
  <c r="AE56" i="238"/>
  <c r="AE74" i="238" s="1"/>
  <c r="CB28" i="238" s="1"/>
  <c r="AD56" i="238"/>
  <c r="AD74" i="238" s="1"/>
  <c r="CA28" i="238" s="1"/>
  <c r="AC56" i="238"/>
  <c r="AC74" i="238" s="1"/>
  <c r="BZ28" i="238" s="1"/>
  <c r="AB56" i="238"/>
  <c r="AB74" i="238" s="1"/>
  <c r="BY28" i="238" s="1"/>
  <c r="AA56" i="238"/>
  <c r="AA74" i="238" s="1"/>
  <c r="Z56" i="238"/>
  <c r="Z74" i="238" s="1"/>
  <c r="Y56" i="238"/>
  <c r="Y74" i="238" s="1"/>
  <c r="BV28" i="238" s="1"/>
  <c r="X56" i="238"/>
  <c r="X74" i="238" s="1"/>
  <c r="BU28" i="238" s="1"/>
  <c r="W56" i="238"/>
  <c r="W74" i="238" s="1"/>
  <c r="V56" i="238"/>
  <c r="V74" i="238" s="1"/>
  <c r="BS28" i="238" s="1"/>
  <c r="U56" i="238"/>
  <c r="U74" i="238" s="1"/>
  <c r="BR28" i="238" s="1"/>
  <c r="T56" i="238"/>
  <c r="T74" i="238" s="1"/>
  <c r="S56" i="238"/>
  <c r="S74" i="238" s="1"/>
  <c r="BP28" i="238" s="1"/>
  <c r="R56" i="238"/>
  <c r="R74" i="238" s="1"/>
  <c r="BO28" i="238" s="1"/>
  <c r="Q56" i="238"/>
  <c r="Q74" i="238" s="1"/>
  <c r="BN28" i="238" s="1"/>
  <c r="P56" i="238"/>
  <c r="P74" i="238" s="1"/>
  <c r="O56" i="238"/>
  <c r="O74" i="238" s="1"/>
  <c r="BL28" i="238" s="1"/>
  <c r="N56" i="238"/>
  <c r="N74" i="238" s="1"/>
  <c r="M56" i="238"/>
  <c r="M74" i="238" s="1"/>
  <c r="BJ28" i="238" s="1"/>
  <c r="L56" i="238"/>
  <c r="L74" i="238" s="1"/>
  <c r="BI28" i="238" s="1"/>
  <c r="K56" i="238"/>
  <c r="K74" i="238" s="1"/>
  <c r="BH28" i="238" s="1"/>
  <c r="J56" i="238"/>
  <c r="J74" i="238" s="1"/>
  <c r="I56" i="238"/>
  <c r="I74" i="238" s="1"/>
  <c r="H56" i="238"/>
  <c r="H74" i="238" s="1"/>
  <c r="G56" i="238"/>
  <c r="G74" i="238" s="1"/>
  <c r="BD28" i="238" s="1"/>
  <c r="F56" i="238"/>
  <c r="F74" i="238" s="1"/>
  <c r="BC28" i="238" s="1"/>
  <c r="E56" i="238"/>
  <c r="E74" i="238" s="1"/>
  <c r="BB28" i="238" s="1"/>
  <c r="BB32" i="238" s="1"/>
  <c r="D56" i="238"/>
  <c r="D74" i="238" s="1"/>
  <c r="C56" i="238"/>
  <c r="C74" i="238" s="1"/>
  <c r="AZ28" i="238" s="1"/>
  <c r="BC52" i="238"/>
  <c r="BB52" i="238"/>
  <c r="BA52" i="238"/>
  <c r="AY30" i="238"/>
  <c r="AY29" i="238"/>
  <c r="AW15" i="238"/>
  <c r="AV15" i="238"/>
  <c r="AU15" i="238"/>
  <c r="AT15" i="238"/>
  <c r="AS15" i="238"/>
  <c r="AR15" i="238"/>
  <c r="AQ15" i="238"/>
  <c r="AP15" i="238"/>
  <c r="AO15" i="238"/>
  <c r="AN15" i="238"/>
  <c r="AM15" i="238"/>
  <c r="AL15" i="238"/>
  <c r="AK15" i="238"/>
  <c r="AJ15" i="238"/>
  <c r="AI15" i="238"/>
  <c r="AH15" i="238"/>
  <c r="AG15" i="238"/>
  <c r="AF15" i="238"/>
  <c r="AE15" i="238"/>
  <c r="AD15" i="238"/>
  <c r="AC15" i="238"/>
  <c r="AB15" i="238"/>
  <c r="AA15" i="238"/>
  <c r="Z15" i="238"/>
  <c r="Y15" i="238"/>
  <c r="X15" i="238"/>
  <c r="W15" i="238"/>
  <c r="V15" i="238"/>
  <c r="U15" i="238"/>
  <c r="T15" i="238"/>
  <c r="S15" i="238"/>
  <c r="R15" i="238"/>
  <c r="Q15" i="238"/>
  <c r="P15" i="238"/>
  <c r="O15" i="238"/>
  <c r="N15" i="238"/>
  <c r="M15" i="238"/>
  <c r="L15" i="238"/>
  <c r="K15" i="238"/>
  <c r="J15" i="238"/>
  <c r="I15" i="238"/>
  <c r="H15" i="238"/>
  <c r="G15" i="238"/>
  <c r="F15" i="238"/>
  <c r="E15" i="238"/>
  <c r="D15" i="238"/>
  <c r="C15" i="238"/>
  <c r="AW14" i="238"/>
  <c r="AV14" i="238"/>
  <c r="AU14" i="238"/>
  <c r="AT14" i="238"/>
  <c r="AS14" i="238"/>
  <c r="AR14" i="238"/>
  <c r="AQ14" i="238"/>
  <c r="AP14" i="238"/>
  <c r="AO14" i="238"/>
  <c r="AN14" i="238"/>
  <c r="AM14" i="238"/>
  <c r="AL14" i="238"/>
  <c r="AK14" i="238"/>
  <c r="AJ14" i="238"/>
  <c r="AI14" i="238"/>
  <c r="AH14" i="238"/>
  <c r="AG14" i="238"/>
  <c r="AF14" i="238"/>
  <c r="AE14" i="238"/>
  <c r="AD14" i="238"/>
  <c r="AC14" i="238"/>
  <c r="AB14" i="238"/>
  <c r="AA14" i="238"/>
  <c r="Z14" i="238"/>
  <c r="Y14" i="238"/>
  <c r="X14" i="238"/>
  <c r="W14" i="238"/>
  <c r="V14" i="238"/>
  <c r="U14" i="238"/>
  <c r="T14" i="238"/>
  <c r="S14" i="238"/>
  <c r="R14" i="238"/>
  <c r="Q14" i="238"/>
  <c r="P14" i="238"/>
  <c r="O14" i="238"/>
  <c r="N14" i="238"/>
  <c r="M14" i="238"/>
  <c r="L14" i="238"/>
  <c r="K14" i="238"/>
  <c r="J14" i="238"/>
  <c r="I14" i="238"/>
  <c r="H14" i="238"/>
  <c r="G14" i="238"/>
  <c r="F14" i="238"/>
  <c r="E14" i="238"/>
  <c r="D14" i="238"/>
  <c r="C14" i="238"/>
  <c r="AW13" i="238"/>
  <c r="AV13" i="238"/>
  <c r="AU13" i="238"/>
  <c r="AT13" i="238"/>
  <c r="AS13" i="238"/>
  <c r="AR13" i="238"/>
  <c r="AQ13" i="238"/>
  <c r="AP13" i="238"/>
  <c r="AO13" i="238"/>
  <c r="AN13" i="238"/>
  <c r="AM13" i="238"/>
  <c r="AL13" i="238"/>
  <c r="AK13" i="238"/>
  <c r="AJ13" i="238"/>
  <c r="AI13" i="238"/>
  <c r="AH13" i="238"/>
  <c r="AG13" i="238"/>
  <c r="AF13" i="238"/>
  <c r="AE13" i="238"/>
  <c r="AD13" i="238"/>
  <c r="AC13" i="238"/>
  <c r="AB13" i="238"/>
  <c r="AA13" i="238"/>
  <c r="Z13" i="238"/>
  <c r="Y13" i="238"/>
  <c r="X13" i="238"/>
  <c r="W13" i="238"/>
  <c r="V13" i="238"/>
  <c r="U13" i="238"/>
  <c r="T13" i="238"/>
  <c r="S13" i="238"/>
  <c r="R13" i="238"/>
  <c r="Q13" i="238"/>
  <c r="P13" i="238"/>
  <c r="O13" i="238"/>
  <c r="N13" i="238"/>
  <c r="M13" i="238"/>
  <c r="L13" i="238"/>
  <c r="K13" i="238"/>
  <c r="J13" i="238"/>
  <c r="I13" i="238"/>
  <c r="H13" i="238"/>
  <c r="G13" i="238"/>
  <c r="F13" i="238"/>
  <c r="E13" i="238"/>
  <c r="D13" i="238"/>
  <c r="C13" i="238"/>
  <c r="AY41" i="235"/>
  <c r="AY40" i="235"/>
  <c r="AY39" i="235"/>
  <c r="AY38" i="235"/>
  <c r="AY37" i="235"/>
  <c r="AY36" i="235"/>
  <c r="AY35" i="235"/>
  <c r="AY34" i="235"/>
  <c r="AY33" i="235"/>
  <c r="AY32" i="235"/>
  <c r="AY31" i="235"/>
  <c r="AY30" i="235"/>
  <c r="AY29" i="235"/>
  <c r="AY28" i="235"/>
  <c r="AY27" i="235"/>
  <c r="AY26" i="235"/>
  <c r="AY25" i="235"/>
  <c r="AY24" i="235"/>
  <c r="AY23" i="235"/>
  <c r="AY22" i="235"/>
  <c r="AY21" i="235"/>
  <c r="AY20" i="235"/>
  <c r="AY19" i="235"/>
  <c r="AY18" i="235"/>
  <c r="AY17" i="235"/>
  <c r="AY16" i="235"/>
  <c r="J3" i="235"/>
  <c r="I3" i="235"/>
  <c r="H3" i="235"/>
  <c r="G3" i="235"/>
  <c r="F3" i="235"/>
  <c r="E3" i="235"/>
  <c r="D3" i="235"/>
  <c r="B3" i="235"/>
  <c r="BI27" i="238"/>
  <c r="CB21" i="238"/>
  <c r="AB16" i="238"/>
  <c r="CJ22" i="238"/>
  <c r="BT28" i="238"/>
  <c r="CQ22" i="238"/>
  <c r="BX33" i="238" l="1"/>
  <c r="CJ24" i="238"/>
  <c r="CR33" i="238"/>
  <c r="BI21" i="238"/>
  <c r="BR32" i="238"/>
  <c r="BE21" i="238"/>
  <c r="CG25" i="238"/>
  <c r="BZ22" i="238"/>
  <c r="CJ25" i="238"/>
  <c r="BS25" i="238"/>
  <c r="CQ23" i="238"/>
  <c r="BR23" i="238"/>
  <c r="AM74" i="238"/>
  <c r="AM16" i="238" s="1"/>
  <c r="AM91" i="238"/>
  <c r="AQ74" i="238"/>
  <c r="CN28" i="238" s="1"/>
  <c r="AQ91" i="238"/>
  <c r="AU74" i="238"/>
  <c r="CR28" i="238" s="1"/>
  <c r="AU91" i="238"/>
  <c r="CR21" i="238"/>
  <c r="BF23" i="238"/>
  <c r="CD23" i="238"/>
  <c r="CH22" i="238"/>
  <c r="BK24" i="238"/>
  <c r="BA33" i="238"/>
  <c r="AM86" i="238"/>
  <c r="CJ29" i="238" s="1"/>
  <c r="AM89" i="238"/>
  <c r="AP86" i="238"/>
  <c r="CM29" i="238" s="1"/>
  <c r="AP89" i="238"/>
  <c r="AW86" i="238"/>
  <c r="CT29" i="238" s="1"/>
  <c r="AW89" i="238"/>
  <c r="AO87" i="238"/>
  <c r="CL30" i="238" s="1"/>
  <c r="AO90" i="238"/>
  <c r="AR90" i="238"/>
  <c r="AU87" i="238"/>
  <c r="CR30" i="238" s="1"/>
  <c r="AU90" i="238"/>
  <c r="BI32" i="238"/>
  <c r="AN74" i="238"/>
  <c r="CK28" i="238" s="1"/>
  <c r="CK32" i="238" s="1"/>
  <c r="AN91" i="238"/>
  <c r="AR74" i="238"/>
  <c r="CO28" i="238" s="1"/>
  <c r="AR91" i="238"/>
  <c r="AV74" i="238"/>
  <c r="CS28" i="238" s="1"/>
  <c r="CS32" i="238" s="1"/>
  <c r="AV91" i="238"/>
  <c r="BM21" i="238"/>
  <c r="BQ21" i="238"/>
  <c r="BV26" i="238"/>
  <c r="BZ23" i="238"/>
  <c r="CD25" i="238"/>
  <c r="BC23" i="238"/>
  <c r="BK26" i="238"/>
  <c r="CI22" i="238"/>
  <c r="CD26" i="238"/>
  <c r="AQ86" i="238"/>
  <c r="CN29" i="238" s="1"/>
  <c r="AQ89" i="238"/>
  <c r="AT89" i="238"/>
  <c r="AP87" i="238"/>
  <c r="CM30" i="238" s="1"/>
  <c r="AP90" i="238"/>
  <c r="AS87" i="238"/>
  <c r="CP30" i="238" s="1"/>
  <c r="AS90" i="238"/>
  <c r="AV87" i="238"/>
  <c r="CS30" i="238" s="1"/>
  <c r="AV90" i="238"/>
  <c r="AO74" i="238"/>
  <c r="CL28" i="238" s="1"/>
  <c r="CL32" i="238" s="1"/>
  <c r="AO91" i="238"/>
  <c r="AS74" i="238"/>
  <c r="AS91" i="238"/>
  <c r="AW74" i="238"/>
  <c r="AW16" i="238" s="1"/>
  <c r="AW91" i="238"/>
  <c r="BC32" i="238"/>
  <c r="BD21" i="238"/>
  <c r="CS24" i="238"/>
  <c r="BZ25" i="238"/>
  <c r="AN89" i="238"/>
  <c r="AR86" i="238"/>
  <c r="CO29" i="238" s="1"/>
  <c r="AR89" i="238"/>
  <c r="AU86" i="238"/>
  <c r="CR29" i="238" s="1"/>
  <c r="AU89" i="238"/>
  <c r="AM87" i="238"/>
  <c r="CJ30" i="238" s="1"/>
  <c r="AM90" i="238"/>
  <c r="AQ87" i="238"/>
  <c r="CN30" i="238" s="1"/>
  <c r="AQ90" i="238"/>
  <c r="AW87" i="238"/>
  <c r="CT30" i="238" s="1"/>
  <c r="AW90" i="238"/>
  <c r="AP74" i="238"/>
  <c r="CM28" i="238" s="1"/>
  <c r="AP91" i="238"/>
  <c r="AT74" i="238"/>
  <c r="CQ28" i="238" s="1"/>
  <c r="AT91" i="238"/>
  <c r="CD32" i="238"/>
  <c r="AO86" i="238"/>
  <c r="CL29" i="238" s="1"/>
  <c r="AO89" i="238"/>
  <c r="AS86" i="238"/>
  <c r="CP29" i="238" s="1"/>
  <c r="AS89" i="238"/>
  <c r="AV86" i="238"/>
  <c r="CS29" i="238" s="1"/>
  <c r="AV89" i="238"/>
  <c r="AN87" i="238"/>
  <c r="CK30" i="238" s="1"/>
  <c r="AN90" i="238"/>
  <c r="AT87" i="238"/>
  <c r="CQ30" i="238" s="1"/>
  <c r="AT90" i="238"/>
  <c r="BE26" i="238"/>
  <c r="BV23" i="238"/>
  <c r="BQ25" i="238"/>
  <c r="BA25" i="238"/>
  <c r="CC22" i="238"/>
  <c r="CN23" i="238"/>
  <c r="BB24" i="238"/>
  <c r="BW26" i="238"/>
  <c r="CO23" i="238"/>
  <c r="BV24" i="238"/>
  <c r="BX25" i="238"/>
  <c r="BQ23" i="238"/>
  <c r="BD32" i="238"/>
  <c r="BG22" i="238"/>
  <c r="CI26" i="238"/>
  <c r="BE23" i="238"/>
  <c r="CE26" i="238"/>
  <c r="BI33" i="238"/>
  <c r="BI35" i="238" s="1"/>
  <c r="BS23" i="238"/>
  <c r="CK25" i="238"/>
  <c r="AC16" i="238"/>
  <c r="CD22" i="238"/>
  <c r="CM26" i="238"/>
  <c r="BQ26" i="238"/>
  <c r="CQ21" i="238"/>
  <c r="BF52" i="238"/>
  <c r="BT32" i="238"/>
  <c r="BA21" i="238"/>
  <c r="AG16" i="238"/>
  <c r="CD24" i="238"/>
  <c r="CJ21" i="238"/>
  <c r="CJ28" i="238"/>
  <c r="CJ32" i="238" s="1"/>
  <c r="CB26" i="238"/>
  <c r="CR23" i="238"/>
  <c r="BQ28" i="238"/>
  <c r="BQ32" i="238" s="1"/>
  <c r="T16" i="238"/>
  <c r="AA16" i="238"/>
  <c r="BX28" i="238"/>
  <c r="BX32" i="238" s="1"/>
  <c r="BJ27" i="238"/>
  <c r="M16" i="238"/>
  <c r="CN25" i="238"/>
  <c r="BV25" i="238"/>
  <c r="BZ33" i="238"/>
  <c r="BZ35" i="238" s="1"/>
  <c r="CE23" i="238"/>
  <c r="BL25" i="238"/>
  <c r="CM25" i="238"/>
  <c r="BU32" i="238"/>
  <c r="CN33" i="238"/>
  <c r="CN35" i="238" s="1"/>
  <c r="CD33" i="238"/>
  <c r="CD35" i="238" s="1"/>
  <c r="CG26" i="238"/>
  <c r="AD16" i="238"/>
  <c r="CC21" i="238"/>
  <c r="K16" i="238"/>
  <c r="BG23" i="238"/>
  <c r="CI23" i="238"/>
  <c r="BP25" i="238"/>
  <c r="BI26" i="238"/>
  <c r="CK33" i="238"/>
  <c r="BR33" i="238"/>
  <c r="BR35" i="238" s="1"/>
  <c r="CS25" i="238"/>
  <c r="C16" i="238"/>
  <c r="BX23" i="238"/>
  <c r="BK21" i="238"/>
  <c r="CM22" i="238"/>
  <c r="BT25" i="238"/>
  <c r="CO22" i="238"/>
  <c r="BV21" i="238"/>
  <c r="BO26" i="238"/>
  <c r="CQ24" i="238"/>
  <c r="BX21" i="238"/>
  <c r="BW23" i="238"/>
  <c r="CS21" i="238"/>
  <c r="BQ24" i="238"/>
  <c r="BS22" i="238"/>
  <c r="BD22" i="238"/>
  <c r="AQ16" i="238"/>
  <c r="BY24" i="238"/>
  <c r="BF25" i="238"/>
  <c r="CB23" i="238"/>
  <c r="BH22" i="238"/>
  <c r="CI25" i="238"/>
  <c r="CA22" i="238"/>
  <c r="CA25" i="238"/>
  <c r="CE25" i="238"/>
  <c r="CK22" i="238"/>
  <c r="BR26" i="238"/>
  <c r="BG25" i="238"/>
  <c r="BI25" i="238"/>
  <c r="BV33" i="238"/>
  <c r="W16" i="238"/>
  <c r="CI33" i="238"/>
  <c r="BR21" i="238"/>
  <c r="BI24" i="238"/>
  <c r="CC24" i="238"/>
  <c r="E16" i="238"/>
  <c r="BN32" i="238"/>
  <c r="BS32" i="238"/>
  <c r="BZ32" i="238"/>
  <c r="BN22" i="238"/>
  <c r="BZ26" i="238"/>
  <c r="BZ21" i="238"/>
  <c r="BV22" i="238"/>
  <c r="CD21" i="238"/>
  <c r="AZ24" i="238"/>
  <c r="BD24" i="238"/>
  <c r="BT24" i="238"/>
  <c r="BY26" i="238"/>
  <c r="CO26" i="238"/>
  <c r="K7" i="242"/>
  <c r="CI24" i="238"/>
  <c r="CM32" i="238"/>
  <c r="BG33" i="238"/>
  <c r="BB26" i="238"/>
  <c r="BG26" i="238"/>
  <c r="BR25" i="238"/>
  <c r="V16" i="238"/>
  <c r="BO24" i="238"/>
  <c r="U16" i="238"/>
  <c r="CQ26" i="238"/>
  <c r="BO23" i="238"/>
  <c r="G16" i="238"/>
  <c r="CI21" i="238"/>
  <c r="BR24" i="238"/>
  <c r="AP16" i="238"/>
  <c r="BG21" i="238"/>
  <c r="CN32" i="238"/>
  <c r="AZ22" i="238"/>
  <c r="BP22" i="238"/>
  <c r="BM23" i="238"/>
  <c r="BQ33" i="238"/>
  <c r="BQ22" i="238"/>
  <c r="CR32" i="238"/>
  <c r="BL32" i="238"/>
  <c r="CK24" i="238"/>
  <c r="F16" i="238"/>
  <c r="BN24" i="238"/>
  <c r="CH26" i="238"/>
  <c r="CP22" i="238"/>
  <c r="BM26" i="238"/>
  <c r="BX22" i="238"/>
  <c r="AQ6" i="242"/>
  <c r="AL6" i="242"/>
  <c r="AK6" i="242"/>
  <c r="AR6" i="242"/>
  <c r="AM6" i="242"/>
  <c r="AN6" i="242"/>
  <c r="AS6" i="242"/>
  <c r="AP6" i="242"/>
  <c r="AJ6" i="242"/>
  <c r="AO6" i="242"/>
  <c r="BO27" i="238"/>
  <c r="BO32" i="238" s="1"/>
  <c r="R16" i="238"/>
  <c r="CQ27" i="238"/>
  <c r="CO27" i="238"/>
  <c r="CO32" i="238" s="1"/>
  <c r="AR16" i="238"/>
  <c r="BK28" i="238"/>
  <c r="BK32" i="238" s="1"/>
  <c r="N16" i="238"/>
  <c r="CG28" i="238"/>
  <c r="CG32" i="238" s="1"/>
  <c r="AJ16" i="238"/>
  <c r="CP28" i="238"/>
  <c r="CP32" i="238" s="1"/>
  <c r="AS16" i="238"/>
  <c r="CT24" i="238"/>
  <c r="CT33" i="238"/>
  <c r="BJ24" i="238"/>
  <c r="BJ26" i="238"/>
  <c r="CL23" i="238"/>
  <c r="CL24" i="238"/>
  <c r="CL25" i="238"/>
  <c r="CL21" i="238"/>
  <c r="CL33" i="238"/>
  <c r="CT25" i="238"/>
  <c r="CT23" i="238"/>
  <c r="CH24" i="238"/>
  <c r="CT26" i="238"/>
  <c r="BE28" i="238"/>
  <c r="BE32" i="238" s="1"/>
  <c r="H16" i="238"/>
  <c r="CA32" i="238"/>
  <c r="CI27" i="238"/>
  <c r="AL16" i="238"/>
  <c r="AZ25" i="238"/>
  <c r="BK22" i="238"/>
  <c r="CH25" i="238"/>
  <c r="BL24" i="238"/>
  <c r="O16" i="238"/>
  <c r="BH21" i="238"/>
  <c r="CA21" i="238"/>
  <c r="BJ23" i="238"/>
  <c r="BH25" i="238"/>
  <c r="BN33" i="238"/>
  <c r="BN35" i="238" s="1"/>
  <c r="CT21" i="238"/>
  <c r="BL23" i="238"/>
  <c r="CE33" i="238"/>
  <c r="BH26" i="238"/>
  <c r="CL22" i="238"/>
  <c r="BK33" i="238"/>
  <c r="CB25" i="238"/>
  <c r="BP23" i="238"/>
  <c r="BG24" i="238"/>
  <c r="CT22" i="238"/>
  <c r="P16" i="238"/>
  <c r="BM28" i="238"/>
  <c r="BM32" i="238" s="1"/>
  <c r="CF28" i="238"/>
  <c r="AI16" i="238"/>
  <c r="BH32" i="238"/>
  <c r="CH32" i="238"/>
  <c r="BU33" i="238"/>
  <c r="BU35" i="238" s="1"/>
  <c r="BU22" i="238"/>
  <c r="BU21" i="238"/>
  <c r="BU23" i="238"/>
  <c r="BU26" i="238"/>
  <c r="BU24" i="238"/>
  <c r="X16" i="238"/>
  <c r="BY22" i="238"/>
  <c r="BY21" i="238"/>
  <c r="BY23" i="238"/>
  <c r="BY33" i="238"/>
  <c r="BY35" i="238" s="1"/>
  <c r="BY25" i="238"/>
  <c r="CC25" i="238"/>
  <c r="CC26" i="238"/>
  <c r="CC33" i="238"/>
  <c r="CG33" i="238"/>
  <c r="CG21" i="238"/>
  <c r="CG24" i="238"/>
  <c r="CG22" i="238"/>
  <c r="CJ33" i="238"/>
  <c r="CJ26" i="238"/>
  <c r="CN21" i="238"/>
  <c r="CN26" i="238"/>
  <c r="CR25" i="238"/>
  <c r="CR24" i="238"/>
  <c r="BA22" i="238"/>
  <c r="BA24" i="238"/>
  <c r="BE24" i="238"/>
  <c r="BE33" i="238"/>
  <c r="BE22" i="238"/>
  <c r="BE25" i="238"/>
  <c r="BI22" i="238"/>
  <c r="L16" i="238"/>
  <c r="BI23" i="238"/>
  <c r="BP24" i="238"/>
  <c r="BP21" i="238"/>
  <c r="S16" i="238"/>
  <c r="BT21" i="238"/>
  <c r="BT22" i="238"/>
  <c r="BT33" i="238"/>
  <c r="BT35" i="238" s="1"/>
  <c r="CO24" i="238"/>
  <c r="CO25" i="238"/>
  <c r="CS22" i="238"/>
  <c r="CS23" i="238"/>
  <c r="BB22" i="238"/>
  <c r="BB23" i="238"/>
  <c r="BB33" i="238"/>
  <c r="BB21" i="238"/>
  <c r="BF33" i="238"/>
  <c r="BF24" i="238"/>
  <c r="BF21" i="238"/>
  <c r="BF22" i="238"/>
  <c r="CK26" i="238"/>
  <c r="CK21" i="238"/>
  <c r="CO33" i="238"/>
  <c r="CR26" i="238"/>
  <c r="BC24" i="238"/>
  <c r="BC22" i="238"/>
  <c r="BC21" i="238"/>
  <c r="BC25" i="238"/>
  <c r="BC26" i="238"/>
  <c r="Q16" i="238"/>
  <c r="BN23" i="238"/>
  <c r="CH21" i="238"/>
  <c r="CH23" i="238"/>
  <c r="AK16" i="238"/>
  <c r="CP25" i="238"/>
  <c r="CP21" i="238"/>
  <c r="CP24" i="238"/>
  <c r="CP23" i="238"/>
  <c r="CP33" i="238"/>
  <c r="CP26" i="238"/>
  <c r="BJ21" i="238"/>
  <c r="BJ25" i="238"/>
  <c r="CC28" i="238"/>
  <c r="CC32" i="238" s="1"/>
  <c r="AF16" i="238"/>
  <c r="CE27" i="238"/>
  <c r="CE32" i="238" s="1"/>
  <c r="AH16" i="238"/>
  <c r="BK25" i="238"/>
  <c r="BK23" i="238"/>
  <c r="BD25" i="238"/>
  <c r="CE21" i="238"/>
  <c r="CE24" i="238"/>
  <c r="CE22" i="238"/>
  <c r="CL26" i="238"/>
  <c r="AN16" i="238"/>
  <c r="BA28" i="238"/>
  <c r="BA35" i="238" s="1"/>
  <c r="D16" i="238"/>
  <c r="BF28" i="238"/>
  <c r="BF32" i="238" s="1"/>
  <c r="I16" i="238"/>
  <c r="BW28" i="238"/>
  <c r="BW32" i="238" s="1"/>
  <c r="Z16" i="238"/>
  <c r="BV27" i="238"/>
  <c r="Y16" i="238"/>
  <c r="CB27" i="238"/>
  <c r="CB32" i="238" s="1"/>
  <c r="AE16" i="238"/>
  <c r="BP33" i="238"/>
  <c r="BP35" i="238" s="1"/>
  <c r="CB22" i="238"/>
  <c r="CB33" i="238"/>
  <c r="CF33" i="238"/>
  <c r="CF21" i="238"/>
  <c r="CF26" i="238"/>
  <c r="CF25" i="238"/>
  <c r="CF23" i="238"/>
  <c r="CF24" i="238"/>
  <c r="CF22" i="238"/>
  <c r="CM33" i="238"/>
  <c r="CM35" i="238" s="1"/>
  <c r="CM21" i="238"/>
  <c r="CM24" i="238"/>
  <c r="CM23" i="238"/>
  <c r="CQ25" i="238"/>
  <c r="CQ33" i="238"/>
  <c r="AZ21" i="238"/>
  <c r="AZ26" i="238"/>
  <c r="BD23" i="238"/>
  <c r="BD33" i="238"/>
  <c r="BD35" i="238" s="1"/>
  <c r="BD26" i="238"/>
  <c r="BH23" i="238"/>
  <c r="BH33" i="238"/>
  <c r="BH35" i="238" s="1"/>
  <c r="BH24" i="238"/>
  <c r="BL22" i="238"/>
  <c r="BL33" i="238"/>
  <c r="BL35" i="238" s="1"/>
  <c r="BL26" i="238"/>
  <c r="BL21" i="238"/>
  <c r="BO22" i="238"/>
  <c r="BO21" i="238"/>
  <c r="BO25" i="238"/>
  <c r="BO33" i="238"/>
  <c r="BS21" i="238"/>
  <c r="BS24" i="238"/>
  <c r="BS33" i="238"/>
  <c r="BS35" i="238" s="1"/>
  <c r="BW25" i="238"/>
  <c r="BW24" i="238"/>
  <c r="BW21" i="238"/>
  <c r="BW22" i="238"/>
  <c r="BW33" i="238"/>
  <c r="CA26" i="238"/>
  <c r="CA33" i="238"/>
  <c r="CA35" i="238" s="1"/>
  <c r="CA23" i="238"/>
  <c r="CA24" i="238"/>
  <c r="AZ23" i="238"/>
  <c r="BM24" i="238"/>
  <c r="BM33" i="238"/>
  <c r="BM22" i="238"/>
  <c r="BT26" i="238"/>
  <c r="BX26" i="238"/>
  <c r="BX24" i="238"/>
  <c r="L7" i="242"/>
  <c r="M24" i="242"/>
  <c r="BJ32" i="238"/>
  <c r="BC33" i="238"/>
  <c r="BC35" i="238" s="1"/>
  <c r="CH33" i="238"/>
  <c r="CH35" i="238" s="1"/>
  <c r="CO21" i="238"/>
  <c r="CC23" i="238"/>
  <c r="CG23" i="238"/>
  <c r="CK23" i="238"/>
  <c r="BB25" i="238"/>
  <c r="BA26" i="238"/>
  <c r="BP26" i="238"/>
  <c r="BS26" i="238"/>
  <c r="J16" i="238"/>
  <c r="BG28" i="238"/>
  <c r="BG32" i="238" s="1"/>
  <c r="BP32" i="238"/>
  <c r="BY32" i="238"/>
  <c r="BJ33" i="238"/>
  <c r="BJ35" i="238" s="1"/>
  <c r="BJ22" i="238"/>
  <c r="BN26" i="238"/>
  <c r="BN21" i="238"/>
  <c r="CS33" i="238"/>
  <c r="CN22" i="238"/>
  <c r="CR22" i="238"/>
  <c r="BA23" i="238"/>
  <c r="BT23" i="238"/>
  <c r="CJ23" i="238"/>
  <c r="CB24" i="238"/>
  <c r="CN24" i="238"/>
  <c r="BM25" i="238"/>
  <c r="BU25" i="238"/>
  <c r="CS26" i="238"/>
  <c r="CJ35" i="238" l="1"/>
  <c r="AT92" i="238"/>
  <c r="AT93" i="238" s="1"/>
  <c r="AR92" i="238"/>
  <c r="AR93" i="238" s="1"/>
  <c r="AQ92" i="238"/>
  <c r="AQ93" i="238" s="1"/>
  <c r="CR35" i="238"/>
  <c r="CS35" i="238"/>
  <c r="CL35" i="238"/>
  <c r="AU16" i="238"/>
  <c r="CK35" i="238"/>
  <c r="AT16" i="238"/>
  <c r="CT28" i="238"/>
  <c r="CT32" i="238" s="1"/>
  <c r="AV16" i="238"/>
  <c r="AO16" i="238"/>
  <c r="CQ32" i="238"/>
  <c r="BQ35" i="238"/>
  <c r="AN92" i="238"/>
  <c r="AN93" i="238" s="1"/>
  <c r="AW92" i="238"/>
  <c r="AW93" i="238" s="1"/>
  <c r="AV92" i="238"/>
  <c r="AV93" i="238" s="1"/>
  <c r="AM92" i="238"/>
  <c r="AM93" i="238" s="1"/>
  <c r="AU92" i="238"/>
  <c r="AU93" i="238" s="1"/>
  <c r="CI35" i="238"/>
  <c r="AO92" i="238"/>
  <c r="AO93" i="238" s="1"/>
  <c r="AS92" i="238"/>
  <c r="AS93" i="238" s="1"/>
  <c r="AP92" i="238"/>
  <c r="AP93" i="238" s="1"/>
  <c r="CG35" i="238"/>
  <c r="BM35" i="238"/>
  <c r="BE35" i="238"/>
  <c r="CO35" i="238"/>
  <c r="BX35" i="238"/>
  <c r="CB35" i="238"/>
  <c r="DB27" i="238"/>
  <c r="BG35" i="238"/>
  <c r="DB25" i="238"/>
  <c r="DA25" i="238"/>
  <c r="DC25" i="238"/>
  <c r="CF32" i="238"/>
  <c r="DA28" i="238"/>
  <c r="DB28" i="238"/>
  <c r="DC28" i="238"/>
  <c r="BW35" i="238"/>
  <c r="BO35" i="238"/>
  <c r="CQ35" i="238"/>
  <c r="DA23" i="238"/>
  <c r="DC23" i="238"/>
  <c r="DB23" i="238"/>
  <c r="DA30" i="238"/>
  <c r="CF35" i="238"/>
  <c r="DB30" i="238"/>
  <c r="BF35" i="238"/>
  <c r="CI32" i="238"/>
  <c r="DA27" i="238"/>
  <c r="DC27" i="238"/>
  <c r="DC22" i="238"/>
  <c r="DB22" i="238"/>
  <c r="DA22" i="238"/>
  <c r="DC26" i="238"/>
  <c r="DB26" i="238"/>
  <c r="DA26" i="238"/>
  <c r="CP35" i="238"/>
  <c r="BA32" i="238"/>
  <c r="BB35" i="238"/>
  <c r="CC35" i="238"/>
  <c r="CE35" i="238"/>
  <c r="M7" i="242"/>
  <c r="DA24" i="238"/>
  <c r="DB24" i="238"/>
  <c r="DC24" i="238"/>
  <c r="DC21" i="238"/>
  <c r="DA21" i="238"/>
  <c r="DB21" i="238"/>
  <c r="BV32" i="238"/>
  <c r="BV35" i="238"/>
  <c r="BK35" i="238"/>
  <c r="CT35" i="238" l="1"/>
  <c r="CV33" i="238" s="1"/>
  <c r="CX33" i="238"/>
  <c r="CW33" i="238"/>
  <c r="N7" i="242"/>
  <c r="DC33" i="238"/>
  <c r="DB33" i="238"/>
  <c r="DA33" i="238"/>
  <c r="CW30" i="238" l="1"/>
  <c r="CV30" i="238"/>
  <c r="O7" i="242"/>
  <c r="P7" i="242" l="1"/>
  <c r="Q7" i="242" l="1"/>
  <c r="R7" i="242" l="1"/>
  <c r="S7" i="242" l="1"/>
  <c r="T7" i="242" l="1"/>
  <c r="U7" i="242" l="1"/>
  <c r="V7" i="242" l="1"/>
  <c r="W7" i="242" l="1"/>
  <c r="X7" i="242" l="1"/>
  <c r="Y7" i="242" l="1"/>
  <c r="Z7" i="242" l="1"/>
  <c r="AA7" i="242" l="1"/>
  <c r="AB7" i="242" l="1"/>
  <c r="AC7" i="242" l="1"/>
  <c r="AD7" i="242" l="1"/>
  <c r="AE7" i="242" l="1"/>
  <c r="AF7" i="242" l="1"/>
  <c r="AG7" i="242" l="1"/>
  <c r="AH7" i="242" l="1"/>
  <c r="AI7" i="242" l="1"/>
  <c r="AJ7" i="242" l="1"/>
  <c r="AK7" i="242" l="1"/>
  <c r="AL7" i="242" l="1"/>
  <c r="AM7" i="242" l="1"/>
  <c r="AN7" i="242" l="1"/>
  <c r="AO7" i="242" l="1"/>
  <c r="AP7" i="242" l="1"/>
  <c r="AQ7" i="242" l="1"/>
  <c r="AR7" i="242" l="1"/>
  <c r="AS7" i="242"/>
  <c r="AD8" i="246" l="1"/>
  <c r="CX26" i="238" l="1"/>
  <c r="CV26" i="238"/>
  <c r="CW26" i="238"/>
  <c r="CW22" i="238"/>
  <c r="CV22" i="238"/>
  <c r="CX22" i="238"/>
  <c r="CW28" i="238"/>
  <c r="CV28" i="238"/>
  <c r="CX28" i="238"/>
  <c r="CX27" i="238"/>
  <c r="CV27" i="238"/>
  <c r="CW27" i="238"/>
  <c r="CW23" i="238"/>
  <c r="CV23" i="238"/>
  <c r="CX23" i="238"/>
  <c r="CW25" i="238"/>
  <c r="CV25" i="238"/>
  <c r="CX25" i="238"/>
  <c r="CW24" i="238"/>
  <c r="CV24" i="238"/>
  <c r="CX24" i="238"/>
  <c r="CW21" i="238"/>
  <c r="CV21" i="238"/>
  <c r="CX21" i="2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Rikke Næraa</author>
    <author>Olexandr Balyk</author>
    <author>Kristoffer Steen Andersen</author>
    <author>Christian Bang</author>
    <author>János Hethey</author>
  </authors>
  <commentList>
    <comment ref="G5" authorId="0" shapeId="0" xr:uid="{00000000-0006-0000-0700-000001000000}">
      <text>
        <r>
          <rPr>
            <b/>
            <sz val="9"/>
            <color indexed="81"/>
            <rFont val="Tahoma"/>
            <family val="2"/>
          </rPr>
          <t>Rikke Næraa:</t>
        </r>
        <r>
          <rPr>
            <sz val="9"/>
            <color indexed="81"/>
            <rFont val="Tahoma"/>
            <family val="2"/>
          </rPr>
          <t xml:space="preserve">
RAMSES data for 2010 ( from BF2012)
</t>
        </r>
      </text>
    </comment>
    <comment ref="G9" authorId="1" shapeId="0" xr:uid="{00000000-0006-0000-0700-000002000000}">
      <text>
        <r>
          <rPr>
            <b/>
            <sz val="9"/>
            <color indexed="81"/>
            <rFont val="Tahoma"/>
            <family val="2"/>
          </rPr>
          <t>Olexandr Balyk:</t>
        </r>
        <r>
          <rPr>
            <sz val="9"/>
            <color indexed="81"/>
            <rFont val="Tahoma"/>
            <family val="2"/>
          </rPr>
          <t xml:space="preserve">
Same as in Ramses</t>
        </r>
      </text>
    </comment>
    <comment ref="H9" authorId="1" shapeId="0" xr:uid="{00000000-0006-0000-0700-000003000000}">
      <text>
        <r>
          <rPr>
            <b/>
            <sz val="9"/>
            <color indexed="81"/>
            <rFont val="Tahoma"/>
            <family val="2"/>
          </rPr>
          <t>Olexandr Balyk:</t>
        </r>
        <r>
          <rPr>
            <sz val="9"/>
            <color indexed="81"/>
            <rFont val="Tahoma"/>
            <family val="2"/>
          </rPr>
          <t xml:space="preserve">
Same as in Ramses</t>
        </r>
      </text>
    </comment>
    <comment ref="I9" authorId="1" shapeId="0" xr:uid="{00000000-0006-0000-0700-000004000000}">
      <text>
        <r>
          <rPr>
            <b/>
            <sz val="9"/>
            <color indexed="81"/>
            <rFont val="Tahoma"/>
            <family val="2"/>
          </rPr>
          <t>Olexandr Balyk:</t>
        </r>
        <r>
          <rPr>
            <sz val="9"/>
            <color indexed="81"/>
            <rFont val="Tahoma"/>
            <family val="2"/>
          </rPr>
          <t xml:space="preserve">
Same as in Ramses</t>
        </r>
      </text>
    </comment>
    <comment ref="J9" authorId="1" shapeId="0" xr:uid="{00000000-0006-0000-0700-000005000000}">
      <text>
        <r>
          <rPr>
            <b/>
            <sz val="9"/>
            <color indexed="81"/>
            <rFont val="Tahoma"/>
            <family val="2"/>
          </rPr>
          <t>Olexandr Balyk:</t>
        </r>
        <r>
          <rPr>
            <sz val="9"/>
            <color indexed="81"/>
            <rFont val="Tahoma"/>
            <family val="2"/>
          </rPr>
          <t xml:space="preserve">
Same as in Ramses</t>
        </r>
      </text>
    </comment>
    <comment ref="K9" authorId="1" shapeId="0" xr:uid="{00000000-0006-0000-0700-000006000000}">
      <text>
        <r>
          <rPr>
            <b/>
            <sz val="9"/>
            <color indexed="81"/>
            <rFont val="Tahoma"/>
            <family val="2"/>
          </rPr>
          <t>Olexandr Balyk:</t>
        </r>
        <r>
          <rPr>
            <sz val="9"/>
            <color indexed="81"/>
            <rFont val="Tahoma"/>
            <family val="2"/>
          </rPr>
          <t xml:space="preserve">
Same as in Ramses</t>
        </r>
      </text>
    </comment>
    <comment ref="L9" authorId="1" shapeId="0" xr:uid="{00000000-0006-0000-0700-000007000000}">
      <text>
        <r>
          <rPr>
            <b/>
            <sz val="9"/>
            <color indexed="81"/>
            <rFont val="Tahoma"/>
            <family val="2"/>
          </rPr>
          <t>Olexandr Balyk:</t>
        </r>
        <r>
          <rPr>
            <sz val="9"/>
            <color indexed="81"/>
            <rFont val="Tahoma"/>
            <family val="2"/>
          </rPr>
          <t xml:space="preserve">
Same as in Ramses</t>
        </r>
      </text>
    </comment>
    <comment ref="M9" authorId="1" shapeId="0" xr:uid="{00000000-0006-0000-0700-000008000000}">
      <text>
        <r>
          <rPr>
            <b/>
            <sz val="9"/>
            <color indexed="81"/>
            <rFont val="Tahoma"/>
            <family val="2"/>
          </rPr>
          <t>Olexandr Balyk:</t>
        </r>
        <r>
          <rPr>
            <sz val="9"/>
            <color indexed="81"/>
            <rFont val="Tahoma"/>
            <family val="2"/>
          </rPr>
          <t xml:space="preserve">
Same as in Ramses</t>
        </r>
      </text>
    </comment>
    <comment ref="N9" authorId="1" shapeId="0" xr:uid="{00000000-0006-0000-0700-000009000000}">
      <text>
        <r>
          <rPr>
            <b/>
            <sz val="9"/>
            <color indexed="81"/>
            <rFont val="Tahoma"/>
            <family val="2"/>
          </rPr>
          <t>Olexandr Balyk:</t>
        </r>
        <r>
          <rPr>
            <sz val="9"/>
            <color indexed="81"/>
            <rFont val="Tahoma"/>
            <family val="2"/>
          </rPr>
          <t xml:space="preserve">
Same as in Ramses</t>
        </r>
      </text>
    </comment>
    <comment ref="O9" authorId="1" shapeId="0" xr:uid="{00000000-0006-0000-0700-00000A000000}">
      <text>
        <r>
          <rPr>
            <b/>
            <sz val="9"/>
            <color indexed="81"/>
            <rFont val="Tahoma"/>
            <family val="2"/>
          </rPr>
          <t>Olexandr Balyk:</t>
        </r>
        <r>
          <rPr>
            <sz val="9"/>
            <color indexed="81"/>
            <rFont val="Tahoma"/>
            <family val="2"/>
          </rPr>
          <t xml:space="preserve">
Same as in Ramses</t>
        </r>
      </text>
    </comment>
    <comment ref="G13" authorId="2" shapeId="0" xr:uid="{00000000-0006-0000-0700-00000B000000}">
      <text>
        <r>
          <rPr>
            <b/>
            <sz val="9"/>
            <color indexed="81"/>
            <rFont val="Tahoma"/>
            <family val="2"/>
          </rPr>
          <t>Kristoffer Steen Andersen:</t>
        </r>
        <r>
          <rPr>
            <sz val="9"/>
            <color indexed="81"/>
            <rFont val="Tahoma"/>
            <family val="2"/>
          </rPr>
          <t xml:space="preserve">
It is assumed that biogas is prices triple of natural gas!!</t>
        </r>
      </text>
    </comment>
    <comment ref="H13" authorId="2" shapeId="0" xr:uid="{00000000-0006-0000-0700-00000C000000}">
      <text>
        <r>
          <rPr>
            <b/>
            <sz val="9"/>
            <color indexed="81"/>
            <rFont val="Tahoma"/>
            <family val="2"/>
          </rPr>
          <t>Kristoffer Steen Andersen:</t>
        </r>
        <r>
          <rPr>
            <sz val="9"/>
            <color indexed="81"/>
            <rFont val="Tahoma"/>
            <family val="2"/>
          </rPr>
          <t xml:space="preserve">
It is assumed that biogas is prices double of natural gas!!</t>
        </r>
      </text>
    </comment>
    <comment ref="I13" authorId="2" shapeId="0" xr:uid="{00000000-0006-0000-0700-00000D000000}">
      <text>
        <r>
          <rPr>
            <b/>
            <sz val="9"/>
            <color indexed="81"/>
            <rFont val="Tahoma"/>
            <family val="2"/>
          </rPr>
          <t>Kristoffer Steen Andersen:</t>
        </r>
        <r>
          <rPr>
            <sz val="9"/>
            <color indexed="81"/>
            <rFont val="Tahoma"/>
            <family val="2"/>
          </rPr>
          <t xml:space="preserve">
It is assumed that biogas is prices double of natural gas!!</t>
        </r>
      </text>
    </comment>
    <comment ref="J13" authorId="2" shapeId="0" xr:uid="{00000000-0006-0000-0700-00000E000000}">
      <text>
        <r>
          <rPr>
            <b/>
            <sz val="9"/>
            <color indexed="81"/>
            <rFont val="Tahoma"/>
            <family val="2"/>
          </rPr>
          <t>Kristoffer Steen Andersen:</t>
        </r>
        <r>
          <rPr>
            <sz val="9"/>
            <color indexed="81"/>
            <rFont val="Tahoma"/>
            <family val="2"/>
          </rPr>
          <t xml:space="preserve">
It is assumed that biogas is prices double of natural gas!!</t>
        </r>
      </text>
    </comment>
    <comment ref="K13" authorId="2" shapeId="0" xr:uid="{00000000-0006-0000-0700-00000F000000}">
      <text>
        <r>
          <rPr>
            <b/>
            <sz val="9"/>
            <color indexed="81"/>
            <rFont val="Tahoma"/>
            <family val="2"/>
          </rPr>
          <t>Kristoffer Steen Andersen:</t>
        </r>
        <r>
          <rPr>
            <sz val="9"/>
            <color indexed="81"/>
            <rFont val="Tahoma"/>
            <family val="2"/>
          </rPr>
          <t xml:space="preserve">
It is assumed that biogas is prices double of natural gas!!</t>
        </r>
      </text>
    </comment>
    <comment ref="L13" authorId="2" shapeId="0" xr:uid="{00000000-0006-0000-0700-000010000000}">
      <text>
        <r>
          <rPr>
            <b/>
            <sz val="9"/>
            <color indexed="81"/>
            <rFont val="Tahoma"/>
            <family val="2"/>
          </rPr>
          <t>Kristoffer Steen Andersen:</t>
        </r>
        <r>
          <rPr>
            <sz val="9"/>
            <color indexed="81"/>
            <rFont val="Tahoma"/>
            <family val="2"/>
          </rPr>
          <t xml:space="preserve">
It is assumed that biogas is prices double of natural gas!!</t>
        </r>
      </text>
    </comment>
    <comment ref="M13" authorId="2" shapeId="0" xr:uid="{00000000-0006-0000-0700-000011000000}">
      <text>
        <r>
          <rPr>
            <b/>
            <sz val="9"/>
            <color indexed="81"/>
            <rFont val="Tahoma"/>
            <family val="2"/>
          </rPr>
          <t>Kristoffer Steen Andersen:</t>
        </r>
        <r>
          <rPr>
            <sz val="9"/>
            <color indexed="81"/>
            <rFont val="Tahoma"/>
            <family val="2"/>
          </rPr>
          <t xml:space="preserve">
It is assumed that biogas is prices double of natural gas!!</t>
        </r>
      </text>
    </comment>
    <comment ref="N13" authorId="2" shapeId="0" xr:uid="{00000000-0006-0000-0700-000012000000}">
      <text>
        <r>
          <rPr>
            <b/>
            <sz val="9"/>
            <color indexed="81"/>
            <rFont val="Tahoma"/>
            <family val="2"/>
          </rPr>
          <t>Kristoffer Steen Andersen:</t>
        </r>
        <r>
          <rPr>
            <sz val="9"/>
            <color indexed="81"/>
            <rFont val="Tahoma"/>
            <family val="2"/>
          </rPr>
          <t xml:space="preserve">
It is assumed that biogas is prices double of natural gas!!</t>
        </r>
      </text>
    </comment>
    <comment ref="O13" authorId="2" shapeId="0" xr:uid="{00000000-0006-0000-0700-000013000000}">
      <text>
        <r>
          <rPr>
            <b/>
            <sz val="9"/>
            <color indexed="81"/>
            <rFont val="Tahoma"/>
            <family val="2"/>
          </rPr>
          <t>Kristoffer Steen Andersen:</t>
        </r>
        <r>
          <rPr>
            <sz val="9"/>
            <color indexed="81"/>
            <rFont val="Tahoma"/>
            <family val="2"/>
          </rPr>
          <t xml:space="preserve">
It is assumed that biogas is prices double of natural gas!!</t>
        </r>
      </text>
    </comment>
    <comment ref="G24" authorId="2" shapeId="0" xr:uid="{00000000-0006-0000-0700-000014000000}">
      <text>
        <r>
          <rPr>
            <b/>
            <sz val="9"/>
            <color indexed="81"/>
            <rFont val="Tahoma"/>
            <family val="2"/>
          </rPr>
          <t>Kristoffer Steen Andersen:</t>
        </r>
        <r>
          <rPr>
            <sz val="9"/>
            <color indexed="81"/>
            <rFont val="Tahoma"/>
            <family val="2"/>
          </rPr>
          <t xml:space="preserve">
It is assumed that LPG is prices double of natural gas!!</t>
        </r>
      </text>
    </comment>
    <comment ref="G121" authorId="0" shapeId="0" xr:uid="{00000000-0006-0000-0700-000015000000}">
      <text>
        <r>
          <rPr>
            <b/>
            <sz val="9"/>
            <color indexed="81"/>
            <rFont val="Tahoma"/>
            <family val="2"/>
          </rPr>
          <t>Rikke Næraa:</t>
        </r>
        <r>
          <rPr>
            <sz val="9"/>
            <color indexed="81"/>
            <rFont val="Tahoma"/>
            <family val="2"/>
          </rPr>
          <t xml:space="preserve">
RAMSES data for 2010 ( from BF2012)
</t>
        </r>
      </text>
    </comment>
    <comment ref="J236" authorId="3" shapeId="0" xr:uid="{00000000-0006-0000-0700-000016000000}">
      <text>
        <r>
          <rPr>
            <b/>
            <sz val="9"/>
            <color indexed="81"/>
            <rFont val="Tahoma"/>
            <family val="2"/>
          </rPr>
          <t>Christian Bang:</t>
        </r>
        <r>
          <rPr>
            <sz val="9"/>
            <color indexed="81"/>
            <rFont val="Tahoma"/>
            <family val="2"/>
          </rPr>
          <t xml:space="preserve">
DDHA in 2013 DKK: 48.0</t>
        </r>
      </text>
    </comment>
    <comment ref="J240" authorId="3" shapeId="0" xr:uid="{00000000-0006-0000-0700-000017000000}">
      <text>
        <r>
          <rPr>
            <b/>
            <sz val="9"/>
            <color indexed="81"/>
            <rFont val="Tahoma"/>
            <family val="2"/>
          </rPr>
          <t>Christian Bang:</t>
        </r>
        <r>
          <rPr>
            <sz val="9"/>
            <color indexed="81"/>
            <rFont val="Tahoma"/>
            <family val="2"/>
          </rPr>
          <t xml:space="preserve">
DDHA in 2013 DKK: 
Average - 72,
Weigted average a deal lower.</t>
        </r>
      </text>
    </comment>
    <comment ref="D243" authorId="3" shapeId="0" xr:uid="{00000000-0006-0000-0700-000018000000}">
      <text>
        <r>
          <rPr>
            <b/>
            <sz val="9"/>
            <color indexed="81"/>
            <rFont val="Tahoma"/>
            <family val="2"/>
          </rPr>
          <t>Christian Bang:</t>
        </r>
        <r>
          <rPr>
            <sz val="9"/>
            <color indexed="81"/>
            <rFont val="Tahoma"/>
            <family val="2"/>
          </rPr>
          <t xml:space="preserve">
Has not been investigated thouroughly in this study.</t>
        </r>
      </text>
    </comment>
    <comment ref="J246" authorId="3" shapeId="0" xr:uid="{00000000-0006-0000-0700-000019000000}">
      <text>
        <r>
          <rPr>
            <b/>
            <sz val="9"/>
            <color indexed="81"/>
            <rFont val="Tahoma"/>
            <family val="2"/>
          </rPr>
          <t>Christian Bang:</t>
        </r>
        <r>
          <rPr>
            <sz val="9"/>
            <color indexed="81"/>
            <rFont val="Tahoma"/>
            <family val="2"/>
          </rPr>
          <t xml:space="preserve">
DDHA in 2013 DKK: 
41.9</t>
        </r>
      </text>
    </comment>
    <comment ref="J285" authorId="4" shapeId="0" xr:uid="{00000000-0006-0000-0700-00001A000000}">
      <text>
        <r>
          <rPr>
            <b/>
            <sz val="9"/>
            <color indexed="81"/>
            <rFont val="Tahoma"/>
            <family val="2"/>
          </rPr>
          <t>János Hethey:</t>
        </r>
        <r>
          <rPr>
            <sz val="9"/>
            <color indexed="81"/>
            <rFont val="Tahoma"/>
            <family val="2"/>
          </rPr>
          <t xml:space="preserve">
Forskel jf. ENS forudsætninger
</t>
        </r>
      </text>
    </comment>
    <comment ref="K285" authorId="4" shapeId="0" xr:uid="{00000000-0006-0000-0700-00001B000000}">
      <text>
        <r>
          <rPr>
            <b/>
            <sz val="9"/>
            <color indexed="81"/>
            <rFont val="Tahoma"/>
            <family val="2"/>
          </rPr>
          <t>János Hethey:</t>
        </r>
        <r>
          <rPr>
            <sz val="9"/>
            <color indexed="81"/>
            <rFont val="Tahoma"/>
            <family val="2"/>
          </rPr>
          <t xml:space="preserve">
Forskel jf. ENS forudsætninger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Rikke Næraa</author>
    <author>Jannick Hauschildt Buhl</author>
  </authors>
  <commentList>
    <comment ref="F4" authorId="0" shapeId="0" xr:uid="{00000000-0006-0000-0800-000001000000}">
      <text>
        <r>
          <rPr>
            <b/>
            <sz val="9"/>
            <color indexed="81"/>
            <rFont val="Tahoma"/>
            <family val="2"/>
          </rPr>
          <t>Rikke Næraa:</t>
        </r>
        <r>
          <rPr>
            <sz val="9"/>
            <color indexed="81"/>
            <rFont val="Tahoma"/>
            <family val="2"/>
          </rPr>
          <t xml:space="preserve">
RAMSES data for 2010 ( from BF2012)
</t>
        </r>
      </text>
    </comment>
    <comment ref="G4" authorId="0" shapeId="0" xr:uid="{00000000-0006-0000-0800-000002000000}">
      <text>
        <r>
          <rPr>
            <b/>
            <sz val="9"/>
            <color indexed="81"/>
            <rFont val="Tahoma"/>
            <family val="2"/>
          </rPr>
          <t>Rikke Næraa:</t>
        </r>
        <r>
          <rPr>
            <sz val="9"/>
            <color indexed="81"/>
            <rFont val="Tahoma"/>
            <family val="2"/>
          </rPr>
          <t xml:space="preserve">
RAMSES data for 2010 ( from BF2012)
</t>
        </r>
      </text>
    </comment>
    <comment ref="H4" authorId="0" shapeId="0" xr:uid="{00000000-0006-0000-0800-000003000000}">
      <text>
        <r>
          <rPr>
            <b/>
            <sz val="9"/>
            <color indexed="81"/>
            <rFont val="Tahoma"/>
            <family val="2"/>
          </rPr>
          <t>Rikke Næraa:</t>
        </r>
        <r>
          <rPr>
            <sz val="9"/>
            <color indexed="81"/>
            <rFont val="Tahoma"/>
            <family val="2"/>
          </rPr>
          <t xml:space="preserve">
RAMSES data for 2010 ( from BF2012)
</t>
        </r>
      </text>
    </comment>
    <comment ref="I4" authorId="0" shapeId="0" xr:uid="{00000000-0006-0000-0800-000004000000}">
      <text>
        <r>
          <rPr>
            <b/>
            <sz val="9"/>
            <color indexed="81"/>
            <rFont val="Tahoma"/>
            <family val="2"/>
          </rPr>
          <t>Rikke Næraa:</t>
        </r>
        <r>
          <rPr>
            <sz val="9"/>
            <color indexed="81"/>
            <rFont val="Tahoma"/>
            <family val="2"/>
          </rPr>
          <t xml:space="preserve">
RAMSES data for 2010 ( from BF2012)
</t>
        </r>
      </text>
    </comment>
    <comment ref="J4" authorId="0" shapeId="0" xr:uid="{00000000-0006-0000-0800-000005000000}">
      <text>
        <r>
          <rPr>
            <b/>
            <sz val="9"/>
            <color indexed="81"/>
            <rFont val="Tahoma"/>
            <family val="2"/>
          </rPr>
          <t>Rikke Næraa:</t>
        </r>
        <r>
          <rPr>
            <sz val="9"/>
            <color indexed="81"/>
            <rFont val="Tahoma"/>
            <family val="2"/>
          </rPr>
          <t xml:space="preserve">
RAMSES data for 2010 ( from BF2012)
</t>
        </r>
      </text>
    </comment>
    <comment ref="K4" authorId="0" shapeId="0" xr:uid="{00000000-0006-0000-0800-000006000000}">
      <text>
        <r>
          <rPr>
            <b/>
            <sz val="9"/>
            <color indexed="81"/>
            <rFont val="Tahoma"/>
            <family val="2"/>
          </rPr>
          <t>Rikke Næraa:</t>
        </r>
        <r>
          <rPr>
            <sz val="9"/>
            <color indexed="81"/>
            <rFont val="Tahoma"/>
            <family val="2"/>
          </rPr>
          <t xml:space="preserve">
RAMSES data for 2010 ( from BF2012)
</t>
        </r>
      </text>
    </comment>
    <comment ref="L4" authorId="0" shapeId="0" xr:uid="{00000000-0006-0000-0800-000007000000}">
      <text>
        <r>
          <rPr>
            <b/>
            <sz val="9"/>
            <color indexed="81"/>
            <rFont val="Tahoma"/>
            <family val="2"/>
          </rPr>
          <t>Rikke Næraa:</t>
        </r>
        <r>
          <rPr>
            <sz val="9"/>
            <color indexed="81"/>
            <rFont val="Tahoma"/>
            <family val="2"/>
          </rPr>
          <t xml:space="preserve">
RAMSES data for 2010 ( from BF2012)
</t>
        </r>
      </text>
    </comment>
    <comment ref="M4" authorId="0" shapeId="0" xr:uid="{00000000-0006-0000-0800-000008000000}">
      <text>
        <r>
          <rPr>
            <b/>
            <sz val="9"/>
            <color indexed="81"/>
            <rFont val="Tahoma"/>
            <family val="2"/>
          </rPr>
          <t>Rikke Næraa:</t>
        </r>
        <r>
          <rPr>
            <sz val="9"/>
            <color indexed="81"/>
            <rFont val="Tahoma"/>
            <family val="2"/>
          </rPr>
          <t xml:space="preserve">
RAMSES data for 2010 ( from BF2012)
</t>
        </r>
      </text>
    </comment>
    <comment ref="N4" authorId="0" shapeId="0" xr:uid="{00000000-0006-0000-0800-000009000000}">
      <text>
        <r>
          <rPr>
            <b/>
            <sz val="9"/>
            <color indexed="81"/>
            <rFont val="Tahoma"/>
            <family val="2"/>
          </rPr>
          <t>Rikke Næraa:</t>
        </r>
        <r>
          <rPr>
            <sz val="9"/>
            <color indexed="81"/>
            <rFont val="Tahoma"/>
            <family val="2"/>
          </rPr>
          <t xml:space="preserve">
RAMSES data for 2010 ( from BF2012)
</t>
        </r>
      </text>
    </comment>
    <comment ref="O4" authorId="0" shapeId="0" xr:uid="{00000000-0006-0000-0800-00000A000000}">
      <text>
        <r>
          <rPr>
            <b/>
            <sz val="9"/>
            <color indexed="81"/>
            <rFont val="Tahoma"/>
            <family val="2"/>
          </rPr>
          <t>Rikke Næraa:</t>
        </r>
        <r>
          <rPr>
            <sz val="9"/>
            <color indexed="81"/>
            <rFont val="Tahoma"/>
            <family val="2"/>
          </rPr>
          <t xml:space="preserve">
RAMSES data for 2010 ( from BF2012)
</t>
        </r>
      </text>
    </comment>
    <comment ref="P4" authorId="0" shapeId="0" xr:uid="{00000000-0006-0000-0800-00000B000000}">
      <text>
        <r>
          <rPr>
            <b/>
            <sz val="9"/>
            <color indexed="81"/>
            <rFont val="Tahoma"/>
            <family val="2"/>
          </rPr>
          <t>Rikke Næraa:</t>
        </r>
        <r>
          <rPr>
            <sz val="9"/>
            <color indexed="81"/>
            <rFont val="Tahoma"/>
            <family val="2"/>
          </rPr>
          <t xml:space="preserve">
RAMSES data for 2010 ( from BF2012)
</t>
        </r>
      </text>
    </comment>
    <comment ref="Q4" authorId="0" shapeId="0" xr:uid="{00000000-0006-0000-0800-00000C000000}">
      <text>
        <r>
          <rPr>
            <b/>
            <sz val="9"/>
            <color indexed="81"/>
            <rFont val="Tahoma"/>
            <family val="2"/>
          </rPr>
          <t>Rikke Næraa:</t>
        </r>
        <r>
          <rPr>
            <sz val="9"/>
            <color indexed="81"/>
            <rFont val="Tahoma"/>
            <family val="2"/>
          </rPr>
          <t xml:space="preserve">
RAMSES data for 2010 ( from BF2012)
</t>
        </r>
      </text>
    </comment>
    <comment ref="R4" authorId="0" shapeId="0" xr:uid="{00000000-0006-0000-0800-00000D000000}">
      <text>
        <r>
          <rPr>
            <b/>
            <sz val="9"/>
            <color indexed="81"/>
            <rFont val="Tahoma"/>
            <family val="2"/>
          </rPr>
          <t>Rikke Næraa:</t>
        </r>
        <r>
          <rPr>
            <sz val="9"/>
            <color indexed="81"/>
            <rFont val="Tahoma"/>
            <family val="2"/>
          </rPr>
          <t xml:space="preserve">
RAMSES data for 2010 ( from BF2012)
</t>
        </r>
      </text>
    </comment>
    <comment ref="S4" authorId="0" shapeId="0" xr:uid="{00000000-0006-0000-0800-00000E000000}">
      <text>
        <r>
          <rPr>
            <b/>
            <sz val="9"/>
            <color indexed="81"/>
            <rFont val="Tahoma"/>
            <family val="2"/>
          </rPr>
          <t>Rikke Næraa:</t>
        </r>
        <r>
          <rPr>
            <sz val="9"/>
            <color indexed="81"/>
            <rFont val="Tahoma"/>
            <family val="2"/>
          </rPr>
          <t xml:space="preserve">
RAMSES data for 2010 ( from BF2012)
</t>
        </r>
      </text>
    </comment>
    <comment ref="T4" authorId="0" shapeId="0" xr:uid="{00000000-0006-0000-0800-00000F000000}">
      <text>
        <r>
          <rPr>
            <b/>
            <sz val="9"/>
            <color indexed="81"/>
            <rFont val="Tahoma"/>
            <family val="2"/>
          </rPr>
          <t>Rikke Næraa:</t>
        </r>
        <r>
          <rPr>
            <sz val="9"/>
            <color indexed="81"/>
            <rFont val="Tahoma"/>
            <family val="2"/>
          </rPr>
          <t xml:space="preserve">
RAMSES data for 2010 ( from BF2012)
</t>
        </r>
      </text>
    </comment>
    <comment ref="U4" authorId="0" shapeId="0" xr:uid="{00000000-0006-0000-0800-000010000000}">
      <text>
        <r>
          <rPr>
            <b/>
            <sz val="9"/>
            <color indexed="81"/>
            <rFont val="Tahoma"/>
            <family val="2"/>
          </rPr>
          <t>Rikke Næraa:</t>
        </r>
        <r>
          <rPr>
            <sz val="9"/>
            <color indexed="81"/>
            <rFont val="Tahoma"/>
            <family val="2"/>
          </rPr>
          <t xml:space="preserve">
RAMSES data for 2010 ( from BF2012)
</t>
        </r>
      </text>
    </comment>
    <comment ref="V4" authorId="0" shapeId="0" xr:uid="{00000000-0006-0000-0800-000011000000}">
      <text>
        <r>
          <rPr>
            <b/>
            <sz val="9"/>
            <color indexed="81"/>
            <rFont val="Tahoma"/>
            <family val="2"/>
          </rPr>
          <t>Rikke Næraa:</t>
        </r>
        <r>
          <rPr>
            <sz val="9"/>
            <color indexed="81"/>
            <rFont val="Tahoma"/>
            <family val="2"/>
          </rPr>
          <t xml:space="preserve">
RAMSES data for 2010 ( from BF2012)
</t>
        </r>
      </text>
    </comment>
    <comment ref="W4" authorId="0" shapeId="0" xr:uid="{00000000-0006-0000-0800-000012000000}">
      <text>
        <r>
          <rPr>
            <b/>
            <sz val="9"/>
            <color indexed="81"/>
            <rFont val="Tahoma"/>
            <family val="2"/>
          </rPr>
          <t>Rikke Næraa:</t>
        </r>
        <r>
          <rPr>
            <sz val="9"/>
            <color indexed="81"/>
            <rFont val="Tahoma"/>
            <family val="2"/>
          </rPr>
          <t xml:space="preserve">
RAMSES data for 2010 ( from BF2012)
</t>
        </r>
      </text>
    </comment>
    <comment ref="X4" authorId="0" shapeId="0" xr:uid="{00000000-0006-0000-0800-000013000000}">
      <text>
        <r>
          <rPr>
            <b/>
            <sz val="9"/>
            <color indexed="81"/>
            <rFont val="Tahoma"/>
            <family val="2"/>
          </rPr>
          <t>Rikke Næraa:</t>
        </r>
        <r>
          <rPr>
            <sz val="9"/>
            <color indexed="81"/>
            <rFont val="Tahoma"/>
            <family val="2"/>
          </rPr>
          <t xml:space="preserve">
RAMSES data for 2010 ( from BF2012)
</t>
        </r>
      </text>
    </comment>
    <comment ref="Y4" authorId="0" shapeId="0" xr:uid="{00000000-0006-0000-0800-000014000000}">
      <text>
        <r>
          <rPr>
            <b/>
            <sz val="9"/>
            <color indexed="81"/>
            <rFont val="Tahoma"/>
            <family val="2"/>
          </rPr>
          <t>Rikke Næraa:</t>
        </r>
        <r>
          <rPr>
            <sz val="9"/>
            <color indexed="81"/>
            <rFont val="Tahoma"/>
            <family val="2"/>
          </rPr>
          <t xml:space="preserve">
RAMSES data for 2010 ( from BF2012)
</t>
        </r>
      </text>
    </comment>
    <comment ref="Z4" authorId="0" shapeId="0" xr:uid="{00000000-0006-0000-0800-000015000000}">
      <text>
        <r>
          <rPr>
            <b/>
            <sz val="9"/>
            <color indexed="81"/>
            <rFont val="Tahoma"/>
            <family val="2"/>
          </rPr>
          <t>Rikke Næraa:</t>
        </r>
        <r>
          <rPr>
            <sz val="9"/>
            <color indexed="81"/>
            <rFont val="Tahoma"/>
            <family val="2"/>
          </rPr>
          <t xml:space="preserve">
RAMSES data for 2010 ( from BF2012)
</t>
        </r>
      </text>
    </comment>
    <comment ref="AA4" authorId="0" shapeId="0" xr:uid="{00000000-0006-0000-0800-000016000000}">
      <text>
        <r>
          <rPr>
            <b/>
            <sz val="9"/>
            <color indexed="81"/>
            <rFont val="Tahoma"/>
            <family val="2"/>
          </rPr>
          <t>Rikke Næraa:</t>
        </r>
        <r>
          <rPr>
            <sz val="9"/>
            <color indexed="81"/>
            <rFont val="Tahoma"/>
            <family val="2"/>
          </rPr>
          <t xml:space="preserve">
RAMSES data for 2010 ( from BF2012)
</t>
        </r>
      </text>
    </comment>
    <comment ref="AB4" authorId="0" shapeId="0" xr:uid="{00000000-0006-0000-0800-000017000000}">
      <text>
        <r>
          <rPr>
            <b/>
            <sz val="9"/>
            <color indexed="81"/>
            <rFont val="Tahoma"/>
            <family val="2"/>
          </rPr>
          <t>Rikke Næraa:</t>
        </r>
        <r>
          <rPr>
            <sz val="9"/>
            <color indexed="81"/>
            <rFont val="Tahoma"/>
            <family val="2"/>
          </rPr>
          <t xml:space="preserve">
RAMSES data for 2010 ( from BF2012)
</t>
        </r>
      </text>
    </comment>
    <comment ref="AC4" authorId="0" shapeId="0" xr:uid="{00000000-0006-0000-0800-000018000000}">
      <text>
        <r>
          <rPr>
            <b/>
            <sz val="9"/>
            <color indexed="81"/>
            <rFont val="Tahoma"/>
            <family val="2"/>
          </rPr>
          <t>Rikke Næraa:</t>
        </r>
        <r>
          <rPr>
            <sz val="9"/>
            <color indexed="81"/>
            <rFont val="Tahoma"/>
            <family val="2"/>
          </rPr>
          <t xml:space="preserve">
RAMSES data for 2010 ( from BF2012)
</t>
        </r>
      </text>
    </comment>
    <comment ref="AD4" authorId="0" shapeId="0" xr:uid="{00000000-0006-0000-0800-000019000000}">
      <text>
        <r>
          <rPr>
            <b/>
            <sz val="9"/>
            <color indexed="81"/>
            <rFont val="Tahoma"/>
            <family val="2"/>
          </rPr>
          <t>Rikke Næraa:</t>
        </r>
        <r>
          <rPr>
            <sz val="9"/>
            <color indexed="81"/>
            <rFont val="Tahoma"/>
            <family val="2"/>
          </rPr>
          <t xml:space="preserve">
RAMSES data for 2010 ( from BF2012)
</t>
        </r>
      </text>
    </comment>
    <comment ref="AE4" authorId="0" shapeId="0" xr:uid="{00000000-0006-0000-0800-00001A000000}">
      <text>
        <r>
          <rPr>
            <b/>
            <sz val="9"/>
            <color indexed="81"/>
            <rFont val="Tahoma"/>
            <family val="2"/>
          </rPr>
          <t>Rikke Næraa:</t>
        </r>
        <r>
          <rPr>
            <sz val="9"/>
            <color indexed="81"/>
            <rFont val="Tahoma"/>
            <family val="2"/>
          </rPr>
          <t xml:space="preserve">
RAMSES data for 2010 ( from BF2012)
</t>
        </r>
      </text>
    </comment>
    <comment ref="AF4" authorId="0" shapeId="0" xr:uid="{00000000-0006-0000-0800-00001B000000}">
      <text>
        <r>
          <rPr>
            <b/>
            <sz val="9"/>
            <color indexed="81"/>
            <rFont val="Tahoma"/>
            <family val="2"/>
          </rPr>
          <t>Rikke Næraa:</t>
        </r>
        <r>
          <rPr>
            <sz val="9"/>
            <color indexed="81"/>
            <rFont val="Tahoma"/>
            <family val="2"/>
          </rPr>
          <t xml:space="preserve">
RAMSES data for 2010 ( from BF2012)
</t>
        </r>
      </text>
    </comment>
    <comment ref="AG4" authorId="0" shapeId="0" xr:uid="{00000000-0006-0000-0800-00001C000000}">
      <text>
        <r>
          <rPr>
            <b/>
            <sz val="9"/>
            <color indexed="81"/>
            <rFont val="Tahoma"/>
            <family val="2"/>
          </rPr>
          <t>Rikke Næraa:</t>
        </r>
        <r>
          <rPr>
            <sz val="9"/>
            <color indexed="81"/>
            <rFont val="Tahoma"/>
            <family val="2"/>
          </rPr>
          <t xml:space="preserve">
RAMSES data for 2010 ( from BF2012)
</t>
        </r>
      </text>
    </comment>
    <comment ref="AH4" authorId="0" shapeId="0" xr:uid="{00000000-0006-0000-0800-00001D000000}">
      <text>
        <r>
          <rPr>
            <b/>
            <sz val="9"/>
            <color indexed="81"/>
            <rFont val="Tahoma"/>
            <family val="2"/>
          </rPr>
          <t>Rikke Næraa:</t>
        </r>
        <r>
          <rPr>
            <sz val="9"/>
            <color indexed="81"/>
            <rFont val="Tahoma"/>
            <family val="2"/>
          </rPr>
          <t xml:space="preserve">
RAMSES data for 2010 ( from BF2012)
</t>
        </r>
      </text>
    </comment>
    <comment ref="AI4" authorId="0" shapeId="0" xr:uid="{00000000-0006-0000-0800-00001E000000}">
      <text>
        <r>
          <rPr>
            <b/>
            <sz val="9"/>
            <color indexed="81"/>
            <rFont val="Tahoma"/>
            <family val="2"/>
          </rPr>
          <t>Rikke Næraa:</t>
        </r>
        <r>
          <rPr>
            <sz val="9"/>
            <color indexed="81"/>
            <rFont val="Tahoma"/>
            <family val="2"/>
          </rPr>
          <t xml:space="preserve">
RAMSES data for 2010 ( from BF2012)
</t>
        </r>
      </text>
    </comment>
    <comment ref="AJ4" authorId="0" shapeId="0" xr:uid="{00000000-0006-0000-0800-00001F000000}">
      <text>
        <r>
          <rPr>
            <b/>
            <sz val="9"/>
            <color indexed="81"/>
            <rFont val="Tahoma"/>
            <family val="2"/>
          </rPr>
          <t>Rikke Næraa:</t>
        </r>
        <r>
          <rPr>
            <sz val="9"/>
            <color indexed="81"/>
            <rFont val="Tahoma"/>
            <family val="2"/>
          </rPr>
          <t xml:space="preserve">
RAMSES data for 2010 ( from BF2012)
</t>
        </r>
      </text>
    </comment>
    <comment ref="AK4" authorId="0" shapeId="0" xr:uid="{00000000-0006-0000-0800-000020000000}">
      <text>
        <r>
          <rPr>
            <b/>
            <sz val="9"/>
            <color indexed="81"/>
            <rFont val="Tahoma"/>
            <family val="2"/>
          </rPr>
          <t>Rikke Næraa:</t>
        </r>
        <r>
          <rPr>
            <sz val="9"/>
            <color indexed="81"/>
            <rFont val="Tahoma"/>
            <family val="2"/>
          </rPr>
          <t xml:space="preserve">
RAMSES data for 2010 ( from BF2012)
</t>
        </r>
      </text>
    </comment>
    <comment ref="AL4" authorId="0" shapeId="0" xr:uid="{00000000-0006-0000-0800-000021000000}">
      <text>
        <r>
          <rPr>
            <b/>
            <sz val="9"/>
            <color indexed="81"/>
            <rFont val="Tahoma"/>
            <family val="2"/>
          </rPr>
          <t>Rikke Næraa:</t>
        </r>
        <r>
          <rPr>
            <sz val="9"/>
            <color indexed="81"/>
            <rFont val="Tahoma"/>
            <family val="2"/>
          </rPr>
          <t xml:space="preserve">
RAMSES data for 2010 ( from BF2012)
</t>
        </r>
      </text>
    </comment>
    <comment ref="AM4" authorId="0" shapeId="0" xr:uid="{00000000-0006-0000-0800-000022000000}">
      <text>
        <r>
          <rPr>
            <b/>
            <sz val="9"/>
            <color indexed="81"/>
            <rFont val="Tahoma"/>
            <family val="2"/>
          </rPr>
          <t>Rikke Næraa:</t>
        </r>
        <r>
          <rPr>
            <sz val="9"/>
            <color indexed="81"/>
            <rFont val="Tahoma"/>
            <family val="2"/>
          </rPr>
          <t xml:space="preserve">
RAMSES data for 2010 ( from BF2012)
</t>
        </r>
      </text>
    </comment>
    <comment ref="AN4" authorId="0" shapeId="0" xr:uid="{00000000-0006-0000-0800-000023000000}">
      <text>
        <r>
          <rPr>
            <b/>
            <sz val="9"/>
            <color indexed="81"/>
            <rFont val="Tahoma"/>
            <family val="2"/>
          </rPr>
          <t>Rikke Næraa:</t>
        </r>
        <r>
          <rPr>
            <sz val="9"/>
            <color indexed="81"/>
            <rFont val="Tahoma"/>
            <family val="2"/>
          </rPr>
          <t xml:space="preserve">
RAMSES data for 2010 ( from BF2012)
</t>
        </r>
      </text>
    </comment>
    <comment ref="AO4" authorId="0" shapeId="0" xr:uid="{00000000-0006-0000-0800-000024000000}">
      <text>
        <r>
          <rPr>
            <b/>
            <sz val="9"/>
            <color indexed="81"/>
            <rFont val="Tahoma"/>
            <family val="2"/>
          </rPr>
          <t>Rikke Næraa:</t>
        </r>
        <r>
          <rPr>
            <sz val="9"/>
            <color indexed="81"/>
            <rFont val="Tahoma"/>
            <family val="2"/>
          </rPr>
          <t xml:space="preserve">
RAMSES data for 2010 ( from BF2012)
</t>
        </r>
      </text>
    </comment>
    <comment ref="AP4" authorId="0" shapeId="0" xr:uid="{00000000-0006-0000-0800-000025000000}">
      <text>
        <r>
          <rPr>
            <b/>
            <sz val="9"/>
            <color indexed="81"/>
            <rFont val="Tahoma"/>
            <family val="2"/>
          </rPr>
          <t>Rikke Næraa:</t>
        </r>
        <r>
          <rPr>
            <sz val="9"/>
            <color indexed="81"/>
            <rFont val="Tahoma"/>
            <family val="2"/>
          </rPr>
          <t xml:space="preserve">
RAMSES data for 2010 ( from BF2012)
</t>
        </r>
      </text>
    </comment>
    <comment ref="AQ4" authorId="0" shapeId="0" xr:uid="{00000000-0006-0000-0800-000026000000}">
      <text>
        <r>
          <rPr>
            <b/>
            <sz val="9"/>
            <color indexed="81"/>
            <rFont val="Tahoma"/>
            <family val="2"/>
          </rPr>
          <t>Rikke Næraa:</t>
        </r>
        <r>
          <rPr>
            <sz val="9"/>
            <color indexed="81"/>
            <rFont val="Tahoma"/>
            <family val="2"/>
          </rPr>
          <t xml:space="preserve">
RAMSES data for 2010 ( from BF2012)
</t>
        </r>
      </text>
    </comment>
    <comment ref="AR4" authorId="0" shapeId="0" xr:uid="{00000000-0006-0000-0800-000027000000}">
      <text>
        <r>
          <rPr>
            <b/>
            <sz val="9"/>
            <color indexed="81"/>
            <rFont val="Tahoma"/>
            <family val="2"/>
          </rPr>
          <t>Rikke Næraa:</t>
        </r>
        <r>
          <rPr>
            <sz val="9"/>
            <color indexed="81"/>
            <rFont val="Tahoma"/>
            <family val="2"/>
          </rPr>
          <t xml:space="preserve">
RAMSES data for 2010 ( from BF2012)
</t>
        </r>
      </text>
    </comment>
    <comment ref="AS4" authorId="0" shapeId="0" xr:uid="{00000000-0006-0000-0800-000028000000}">
      <text>
        <r>
          <rPr>
            <b/>
            <sz val="9"/>
            <color indexed="81"/>
            <rFont val="Tahoma"/>
            <family val="2"/>
          </rPr>
          <t>Rikke Næraa:</t>
        </r>
        <r>
          <rPr>
            <sz val="9"/>
            <color indexed="81"/>
            <rFont val="Tahoma"/>
            <family val="2"/>
          </rPr>
          <t xml:space="preserve">
RAMSES data for 2010 ( from BF2012)
</t>
        </r>
      </text>
    </comment>
    <comment ref="K24" authorId="1" shapeId="0" xr:uid="{00000000-0006-0000-0800-000029000000}">
      <text>
        <r>
          <rPr>
            <b/>
            <sz val="9"/>
            <color indexed="81"/>
            <rFont val="Tahoma"/>
            <family val="2"/>
          </rPr>
          <t>Jannick Hauschildt Buhl:</t>
        </r>
        <r>
          <rPr>
            <sz val="9"/>
            <color indexed="81"/>
            <rFont val="Tahoma"/>
            <family val="2"/>
          </rPr>
          <t xml:space="preserve">
SKM analysis nr. 3 page 32.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AR28" authorId="0" shapeId="0" xr:uid="{00000000-0006-0000-0900-000001000000}">
      <text>
        <r>
          <rPr>
            <b/>
            <sz val="9"/>
            <color rgb="FF000000"/>
            <rFont val="Tahoma"/>
            <family val="2"/>
          </rPr>
          <t>Maurizio Gargiulo:</t>
        </r>
        <r>
          <rPr>
            <sz val="9"/>
            <color rgb="FF000000"/>
            <rFont val="Tahoma"/>
            <family val="2"/>
          </rPr>
          <t xml:space="preserve">
</t>
        </r>
        <r>
          <rPr>
            <sz val="9"/>
            <color rgb="FF000000"/>
            <rFont val="Tahoma"/>
            <family val="2"/>
          </rPr>
          <t>TO BE REVIEWED</t>
        </r>
      </text>
    </comment>
    <comment ref="AH29" authorId="0" shapeId="0" xr:uid="{00000000-0006-0000-0900-000002000000}">
      <text>
        <r>
          <rPr>
            <b/>
            <sz val="9"/>
            <color rgb="FF000000"/>
            <rFont val="Tahoma"/>
            <family val="2"/>
          </rPr>
          <t>Maurizio Gargiulo:</t>
        </r>
        <r>
          <rPr>
            <sz val="9"/>
            <color rgb="FF000000"/>
            <rFont val="Tahoma"/>
            <family val="2"/>
          </rPr>
          <t xml:space="preserve">
</t>
        </r>
        <r>
          <rPr>
            <sz val="9"/>
            <color rgb="FF000000"/>
            <rFont val="Tahoma"/>
            <family val="2"/>
          </rPr>
          <t xml:space="preserve">I think these costs should be reviewed. </t>
        </r>
      </text>
    </comment>
    <comment ref="AK29" authorId="0" shapeId="0" xr:uid="{00000000-0006-0000-0900-000003000000}">
      <text>
        <r>
          <rPr>
            <b/>
            <sz val="9"/>
            <color rgb="FF000000"/>
            <rFont val="Tahoma"/>
            <family val="2"/>
          </rPr>
          <t>Maurizio Gargiulo:</t>
        </r>
        <r>
          <rPr>
            <sz val="9"/>
            <color rgb="FF000000"/>
            <rFont val="Tahoma"/>
            <family val="2"/>
          </rPr>
          <t xml:space="preserve">
</t>
        </r>
        <r>
          <rPr>
            <sz val="9"/>
            <color rgb="FF000000"/>
            <rFont val="Tahoma"/>
            <family val="2"/>
          </rPr>
          <t xml:space="preserve">ASSUMPTION
</t>
        </r>
        <r>
          <rPr>
            <sz val="9"/>
            <color rgb="FF000000"/>
            <rFont val="Tahoma"/>
            <family val="2"/>
          </rPr>
          <t xml:space="preserve">From 2015 the upper share is based on the Max of 2010-2014
</t>
        </r>
      </text>
    </comment>
    <comment ref="AL29" authorId="0" shapeId="0" xr:uid="{00000000-0006-0000-0900-000004000000}">
      <text>
        <r>
          <rPr>
            <b/>
            <sz val="9"/>
            <color rgb="FF000000"/>
            <rFont val="Tahoma"/>
            <family val="2"/>
          </rPr>
          <t>Maurizio Gargiulo:</t>
        </r>
        <r>
          <rPr>
            <sz val="9"/>
            <color rgb="FF000000"/>
            <rFont val="Tahoma"/>
            <family val="2"/>
          </rPr>
          <t xml:space="preserve">
</t>
        </r>
        <r>
          <rPr>
            <sz val="9"/>
            <color rgb="FF000000"/>
            <rFont val="Tahoma"/>
            <family val="2"/>
          </rPr>
          <t xml:space="preserve">ASSUMPTION
</t>
        </r>
        <r>
          <rPr>
            <sz val="9"/>
            <color rgb="FF000000"/>
            <rFont val="Tahoma"/>
            <family val="2"/>
          </rPr>
          <t xml:space="preserve">From 2015 the lower share is based on the Max of 2010-2014
</t>
        </r>
      </text>
    </comment>
    <comment ref="M39" authorId="0" shapeId="0" xr:uid="{00000000-0006-0000-0900-000005000000}">
      <text>
        <r>
          <rPr>
            <b/>
            <sz val="9"/>
            <color rgb="FF000000"/>
            <rFont val="Tahoma"/>
            <family val="2"/>
          </rPr>
          <t>Maurizio Gargiulo:</t>
        </r>
        <r>
          <rPr>
            <sz val="9"/>
            <color rgb="FF000000"/>
            <rFont val="Tahoma"/>
            <family val="2"/>
          </rPr>
          <t xml:space="preserve">
</t>
        </r>
        <r>
          <rPr>
            <sz val="9"/>
            <color rgb="FF000000"/>
            <rFont val="Tahoma"/>
            <family val="2"/>
          </rPr>
          <t>NO AVAILABLE DATA ON AUXILIARY INPUT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5" authorId="0" shapeId="0" xr:uid="{00000000-0006-0000-1200-000001000000}">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F22" authorId="0" shapeId="0" xr:uid="{00000000-0006-0000-1500-000001000000}">
      <text>
        <r>
          <rPr>
            <b/>
            <sz val="9"/>
            <color indexed="81"/>
            <rFont val="Tahoma"/>
            <family val="2"/>
          </rPr>
          <t>Rikke Næraa:</t>
        </r>
        <r>
          <rPr>
            <sz val="9"/>
            <color indexed="81"/>
            <rFont val="Tahoma"/>
            <family val="2"/>
          </rPr>
          <t xml:space="preserve">
RAMSES data for 2010 ( from BF2012)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Q3" authorId="0" shapeId="0" xr:uid="{00000000-0006-0000-1F00-000001000000}">
      <text>
        <r>
          <rPr>
            <b/>
            <sz val="9"/>
            <color indexed="81"/>
            <rFont val="Tahoma"/>
            <family val="2"/>
          </rPr>
          <t>Rikke Næraa:</t>
        </r>
        <r>
          <rPr>
            <sz val="9"/>
            <color indexed="81"/>
            <rFont val="Tahoma"/>
            <family val="2"/>
          </rPr>
          <t xml:space="preserve">
RAMSES data for 2010 ( from BF2012)
</t>
        </r>
      </text>
    </comment>
    <comment ref="R3" authorId="0" shapeId="0" xr:uid="{00000000-0006-0000-1F00-000002000000}">
      <text>
        <r>
          <rPr>
            <b/>
            <sz val="9"/>
            <color indexed="81"/>
            <rFont val="Tahoma"/>
            <family val="2"/>
          </rPr>
          <t>Rikke Næraa:</t>
        </r>
        <r>
          <rPr>
            <sz val="9"/>
            <color indexed="81"/>
            <rFont val="Tahoma"/>
            <family val="2"/>
          </rPr>
          <t xml:space="preserve">
RAMSES data for 2010 ( from BF2012)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F22" authorId="0" shapeId="0" xr:uid="{00000000-0006-0000-2000-000001000000}">
      <text>
        <r>
          <rPr>
            <b/>
            <sz val="9"/>
            <color indexed="81"/>
            <rFont val="Tahoma"/>
            <family val="2"/>
          </rPr>
          <t>Rikke Næraa:</t>
        </r>
        <r>
          <rPr>
            <sz val="9"/>
            <color indexed="81"/>
            <rFont val="Tahoma"/>
            <family val="2"/>
          </rPr>
          <t xml:space="preserve">
RAMSES data for 2010 ( from BF2012)
</t>
        </r>
      </text>
    </comment>
  </commentList>
</comments>
</file>

<file path=xl/sharedStrings.xml><?xml version="1.0" encoding="utf-8"?>
<sst xmlns="http://schemas.openxmlformats.org/spreadsheetml/2006/main" count="10307" uniqueCount="2295">
  <si>
    <t>Region</t>
  </si>
  <si>
    <t>TechName</t>
  </si>
  <si>
    <t>TechDesc</t>
  </si>
  <si>
    <t>CommName</t>
  </si>
  <si>
    <t>CommDesc</t>
  </si>
  <si>
    <t>CSet</t>
  </si>
  <si>
    <t>Unit</t>
  </si>
  <si>
    <t>~FI_T</t>
  </si>
  <si>
    <t>~FI_Comm</t>
  </si>
  <si>
    <t>LimType</t>
  </si>
  <si>
    <t>CTSLvl</t>
  </si>
  <si>
    <t>PeakTS</t>
  </si>
  <si>
    <t>Ctype</t>
  </si>
  <si>
    <t>Comm-OUT</t>
  </si>
  <si>
    <t>~FI_Process</t>
  </si>
  <si>
    <t>Sets</t>
  </si>
  <si>
    <t>Tact</t>
  </si>
  <si>
    <t>Tcap</t>
  </si>
  <si>
    <t>Tslvl</t>
  </si>
  <si>
    <t>PrimaryCG</t>
  </si>
  <si>
    <t>Vintage</t>
  </si>
  <si>
    <t>*TechDesc</t>
  </si>
  <si>
    <t>*Unit</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</si>
  <si>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</si>
  <si>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</si>
  <si>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</si>
  <si>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</si>
  <si>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</si>
  <si>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</si>
  <si>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</si>
  <si>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</si>
  <si>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</si>
  <si>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</si>
  <si>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</si>
  <si>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</si>
  <si>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</si>
  <si>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</si>
  <si>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</si>
  <si>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</si>
  <si>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NRG</t>
  </si>
  <si>
    <t>COA</t>
  </si>
  <si>
    <t>NGA</t>
  </si>
  <si>
    <t>WST</t>
  </si>
  <si>
    <t>STR</t>
  </si>
  <si>
    <t>HFO</t>
  </si>
  <si>
    <t>DSL</t>
  </si>
  <si>
    <t>WIN</t>
  </si>
  <si>
    <t>HYD</t>
  </si>
  <si>
    <t>SOL</t>
  </si>
  <si>
    <t>Coal</t>
  </si>
  <si>
    <t>Heavy Fuel Oil</t>
  </si>
  <si>
    <t>Diesel</t>
  </si>
  <si>
    <t>Hydro</t>
  </si>
  <si>
    <t>Wind</t>
  </si>
  <si>
    <t>Solar</t>
  </si>
  <si>
    <t>Biogas</t>
  </si>
  <si>
    <t>Waste</t>
  </si>
  <si>
    <t>Straw</t>
  </si>
  <si>
    <t>GEO</t>
  </si>
  <si>
    <t>Geothermal</t>
  </si>
  <si>
    <t>Natural Gas</t>
  </si>
  <si>
    <t>IMP</t>
  </si>
  <si>
    <t>PJ</t>
  </si>
  <si>
    <t>COST</t>
  </si>
  <si>
    <t>COST~2020</t>
  </si>
  <si>
    <t>COST~2050</t>
  </si>
  <si>
    <t>COST~2040</t>
  </si>
  <si>
    <t>COST~2030</t>
  </si>
  <si>
    <t>Metanol</t>
  </si>
  <si>
    <t>Gasoil</t>
  </si>
  <si>
    <t>NatGas</t>
  </si>
  <si>
    <t>Wood pellets</t>
  </si>
  <si>
    <t>WPE</t>
  </si>
  <si>
    <t>WCH</t>
  </si>
  <si>
    <t>Wood chips and wood waste</t>
  </si>
  <si>
    <t>LPG</t>
  </si>
  <si>
    <t>GSL</t>
  </si>
  <si>
    <t>Gasoline</t>
  </si>
  <si>
    <t>Kerosene</t>
  </si>
  <si>
    <t>KER</t>
  </si>
  <si>
    <t>Comm-IN-A</t>
  </si>
  <si>
    <t>Comm-IN</t>
  </si>
  <si>
    <t>EFF</t>
  </si>
  <si>
    <t>VAROM</t>
  </si>
  <si>
    <t>BNDACT~LO~0</t>
  </si>
  <si>
    <t>Auxilary input fuels</t>
  </si>
  <si>
    <t>Primary input fuels</t>
  </si>
  <si>
    <t>Fuel Produced</t>
  </si>
  <si>
    <t>Fuel input level</t>
  </si>
  <si>
    <t>Efficiency</t>
  </si>
  <si>
    <t>Interpolation Rule</t>
  </si>
  <si>
    <t>*Refinery Name</t>
  </si>
  <si>
    <t>Input</t>
  </si>
  <si>
    <t>CRD</t>
  </si>
  <si>
    <t>Crude Oil</t>
  </si>
  <si>
    <t>Refinery Gas</t>
  </si>
  <si>
    <t>Aviation</t>
  </si>
  <si>
    <t>RFG</t>
  </si>
  <si>
    <t>Refinery gas</t>
  </si>
  <si>
    <t>Fuel oil</t>
  </si>
  <si>
    <t>LVN</t>
  </si>
  <si>
    <t xml:space="preserve">Aktuel matrice :  </t>
  </si>
  <si>
    <t>Navn</t>
  </si>
  <si>
    <t>Indhold</t>
  </si>
  <si>
    <t>Enhed</t>
  </si>
  <si>
    <t>Antal</t>
  </si>
  <si>
    <t>Gruppe</t>
  </si>
  <si>
    <t>Første år</t>
  </si>
  <si>
    <t>Sidste år</t>
  </si>
  <si>
    <t>Rækkeaggregeringer</t>
  </si>
  <si>
    <t>Rækker</t>
  </si>
  <si>
    <t>Søjler</t>
  </si>
  <si>
    <t>Form heading!</t>
  </si>
  <si>
    <t>TilGJ</t>
  </si>
  <si>
    <t>Supply and use of energy in heating values</t>
  </si>
  <si>
    <t>GJ</t>
  </si>
  <si>
    <t>Supply_Mgd_GJ</t>
  </si>
  <si>
    <t>Energy</t>
  </si>
  <si>
    <t>000700 120 Imports</t>
  </si>
  <si>
    <t>060000 004 Extraction of oil and gas</t>
  </si>
  <si>
    <t>006000 124 Exports</t>
  </si>
  <si>
    <t>03 Refinery gas</t>
  </si>
  <si>
    <t>04 LPG</t>
  </si>
  <si>
    <t>07 Motor gasoline, colored</t>
  </si>
  <si>
    <t>10 JP4</t>
  </si>
  <si>
    <t>15 Gasoil</t>
  </si>
  <si>
    <t>18 Fuel oil</t>
  </si>
  <si>
    <t>06 LVN</t>
  </si>
  <si>
    <t>01 Crude oil</t>
  </si>
  <si>
    <t>05 LPG for transport</t>
  </si>
  <si>
    <t>08 Motor gasoline, unleaded</t>
  </si>
  <si>
    <t>11 Kerosene</t>
  </si>
  <si>
    <t>20 Waste oil</t>
  </si>
  <si>
    <t>09 Motor gasoline, leaded</t>
  </si>
  <si>
    <t>12 Aviation gasoline</t>
  </si>
  <si>
    <t>13 Jet petroleum</t>
  </si>
  <si>
    <t>Række-
aggregat</t>
  </si>
  <si>
    <t>Søjle-
aggregat</t>
  </si>
  <si>
    <t>Min</t>
  </si>
  <si>
    <t>Average</t>
  </si>
  <si>
    <t>Max</t>
  </si>
  <si>
    <t>From 1998</t>
  </si>
  <si>
    <t>Crude oil</t>
  </si>
  <si>
    <t>PRE</t>
  </si>
  <si>
    <t>EFF~2012</t>
  </si>
  <si>
    <t>EFF~2015</t>
  </si>
  <si>
    <t>Emission Coefficient (kt/PJ)</t>
  </si>
  <si>
    <t>Share~UP~2015</t>
  </si>
  <si>
    <t>Efficiency from 2015</t>
  </si>
  <si>
    <t>kton</t>
  </si>
  <si>
    <t>East production from Statoil pdf</t>
  </si>
  <si>
    <t>West production from Shell</t>
  </si>
  <si>
    <t>Check</t>
  </si>
  <si>
    <t>ENV</t>
  </si>
  <si>
    <t>kt</t>
  </si>
  <si>
    <t>Source: Green Account Statoil and Shell</t>
  </si>
  <si>
    <t>Share~LO~2015</t>
  </si>
  <si>
    <t>Refinery relaxation factor</t>
  </si>
  <si>
    <t>%</t>
  </si>
  <si>
    <t>BNDACT~UP~0</t>
  </si>
  <si>
    <t>Efficiency (INPUT/OUTPUT)</t>
  </si>
  <si>
    <t xml:space="preserve">Navn på aggregering :  </t>
  </si>
  <si>
    <t>Supply of oil products</t>
  </si>
  <si>
    <t>Extraction (domestic)</t>
  </si>
  <si>
    <t>Imports</t>
  </si>
  <si>
    <t>Refinery feedstock</t>
  </si>
  <si>
    <t>Waste oil</t>
  </si>
  <si>
    <t>Bio oil</t>
  </si>
  <si>
    <t>Bunkring by Danish vessels operated abroad</t>
  </si>
  <si>
    <t>Unit: GJ</t>
  </si>
  <si>
    <t>Exports</t>
  </si>
  <si>
    <t>MIN</t>
  </si>
  <si>
    <t>MAX 2000-2012</t>
  </si>
  <si>
    <t>Date</t>
  </si>
  <si>
    <t>Name</t>
  </si>
  <si>
    <t>Sheet Name</t>
  </si>
  <si>
    <t xml:space="preserve">Cell no </t>
  </si>
  <si>
    <t>Explanation</t>
  </si>
  <si>
    <t>Olexandr Balyk</t>
  </si>
  <si>
    <t>Liquid petrol gas</t>
  </si>
  <si>
    <t>COMM</t>
  </si>
  <si>
    <t>Added new fuels to avoid errors in the transport sector</t>
  </si>
  <si>
    <t>$D$28:$F$29</t>
  </si>
  <si>
    <t>$E$25</t>
  </si>
  <si>
    <t>Updated fuel description as discussed</t>
  </si>
  <si>
    <t>$D$30:$D$31</t>
  </si>
  <si>
    <t>Changed fuel names, as discussed</t>
  </si>
  <si>
    <t>PROC</t>
  </si>
  <si>
    <t>Added fuel import processes for SNG and KRB</t>
  </si>
  <si>
    <t>Fuel_MIN-IMP</t>
  </si>
  <si>
    <t>$B$29:$N$30</t>
  </si>
  <si>
    <t>Added dummy prices for import processes of SNG and KRB</t>
  </si>
  <si>
    <t>BGA</t>
  </si>
  <si>
    <t>Naphtha (Petroleoum)</t>
  </si>
  <si>
    <t>DKK2014/GJ</t>
  </si>
  <si>
    <t>JP1</t>
  </si>
  <si>
    <t>Heating oil</t>
  </si>
  <si>
    <t>Gas oil</t>
  </si>
  <si>
    <t>COST~2012</t>
  </si>
  <si>
    <t>COST~2013</t>
  </si>
  <si>
    <t>COST~2014</t>
  </si>
  <si>
    <t>Kristoffer and Mauri</t>
  </si>
  <si>
    <r>
      <t xml:space="preserve">New fuel price projection. All prices are in </t>
    </r>
    <r>
      <rPr>
        <b/>
        <sz val="10"/>
        <rFont val="Arial"/>
        <family val="2"/>
      </rPr>
      <t>DKK2014</t>
    </r>
  </si>
  <si>
    <t>F7:F33;AS7:AS33</t>
  </si>
  <si>
    <t xml:space="preserve">~FI_T: </t>
  </si>
  <si>
    <t>CURR</t>
  </si>
  <si>
    <t>MKr14</t>
  </si>
  <si>
    <t>Currency unit</t>
  </si>
  <si>
    <t>Mauri</t>
  </si>
  <si>
    <t>new column CURR to specify currency. Deflactors in the SysSetting file</t>
  </si>
  <si>
    <t>column F</t>
  </si>
  <si>
    <t>RFS</t>
  </si>
  <si>
    <t>SUPELC</t>
  </si>
  <si>
    <t>SUPCO2</t>
  </si>
  <si>
    <t>*Fuel Tech</t>
  </si>
  <si>
    <t>ELCC</t>
  </si>
  <si>
    <t>Fuel Tech</t>
  </si>
  <si>
    <t>new sheet</t>
  </si>
  <si>
    <t>New sheet to introduce in the model SUPELC and SUPHET for the refinery</t>
  </si>
  <si>
    <t>Danish Energy Matrix dataxxxxxx</t>
  </si>
  <si>
    <t>Fuel aggregation key:</t>
  </si>
  <si>
    <t>CrudeOil</t>
  </si>
  <si>
    <t>RefFeedstock</t>
  </si>
  <si>
    <t>RefGas</t>
  </si>
  <si>
    <t>FuelOil</t>
  </si>
  <si>
    <t>Bunkring</t>
  </si>
  <si>
    <t>BioOil</t>
  </si>
  <si>
    <t>Elec</t>
  </si>
  <si>
    <t>DistHeat</t>
  </si>
  <si>
    <t>02 Refinery feedstocks</t>
  </si>
  <si>
    <t>14 Jet petroleum bunkered by Danish operated planes abroad</t>
  </si>
  <si>
    <t>42 Bio oil</t>
  </si>
  <si>
    <t>25 Natural gas 3 to industries and households</t>
  </si>
  <si>
    <t>44 Electricity</t>
  </si>
  <si>
    <t>45 District heat</t>
  </si>
  <si>
    <t>16 Diesel oil</t>
  </si>
  <si>
    <t>17 Diesel bunkered by Danish operated vehicles abroad</t>
  </si>
  <si>
    <t>19 Fuel oil bunkered by Danish operated ships abroad</t>
  </si>
  <si>
    <t>Refinery efficiency - different calcuation methods:</t>
  </si>
  <si>
    <t>Total output per input of crude oil:</t>
  </si>
  <si>
    <t>Total output per input of crude oil and ref feedstock:</t>
  </si>
  <si>
    <t>Total output/input Net balance:</t>
  </si>
  <si>
    <t>Output from refineries (TilGJ):</t>
  </si>
  <si>
    <t>1966-1997</t>
  </si>
  <si>
    <t>1998-2012</t>
  </si>
  <si>
    <t>REFINERIES</t>
  </si>
  <si>
    <t>Reffeedstock</t>
  </si>
  <si>
    <t>Electricity</t>
  </si>
  <si>
    <t>District heat</t>
  </si>
  <si>
    <t>Total input</t>
  </si>
  <si>
    <t>Total output</t>
  </si>
  <si>
    <t>Input to refineries (AnvGJ):</t>
  </si>
  <si>
    <t>Net output from refineries (GJ):</t>
  </si>
  <si>
    <t>Net input to refineries (GJ):</t>
  </si>
  <si>
    <t>Naphtha</t>
  </si>
  <si>
    <t>Variable O&amp;M (Mkr/PJ)</t>
  </si>
  <si>
    <t>Supply sector CO2</t>
  </si>
  <si>
    <t>Interpolation</t>
  </si>
  <si>
    <t>FLO_EMIS~SUPCO2</t>
  </si>
  <si>
    <t>Resulting prices</t>
  </si>
  <si>
    <t>Wood chips</t>
  </si>
  <si>
    <t>Wood chips - CIF (imported)</t>
  </si>
  <si>
    <t>Wood chips - central powerplant</t>
  </si>
  <si>
    <t>Wood chips - decentral power plant</t>
  </si>
  <si>
    <t>Wood pellets (industrial)</t>
  </si>
  <si>
    <t>Wood pellets - CIF (imported)</t>
  </si>
  <si>
    <t>Wood pellets - central power plant</t>
  </si>
  <si>
    <t>Wood pellets - decentral power plant</t>
  </si>
  <si>
    <t>Wood pellets (residential)</t>
  </si>
  <si>
    <t>Wood pellets residential - end-user</t>
  </si>
  <si>
    <t>Staw</t>
  </si>
  <si>
    <t>Straw - central power plant</t>
  </si>
  <si>
    <t>Straw - decentral power plant</t>
  </si>
  <si>
    <t>Solid biomass prices</t>
  </si>
  <si>
    <t>Kristoffer</t>
  </si>
  <si>
    <t>MIN-IMP-EXP</t>
  </si>
  <si>
    <t>New solid biomass prices</t>
  </si>
  <si>
    <t>Data update</t>
  </si>
  <si>
    <t>FLO_COST</t>
  </si>
  <si>
    <t>Commodity Cost</t>
  </si>
  <si>
    <t>Welfare economic prices of coal, petroleum products and natural gas</t>
  </si>
  <si>
    <t>Ea Energy Analyses, 7/3-2014</t>
  </si>
  <si>
    <t>Refinary margin and refining costs are used as operating costs in TIMES-DK for refineries.</t>
  </si>
  <si>
    <t>Ref Currency</t>
  </si>
  <si>
    <t>MIN-IMP-EXP, Refineries,PROC</t>
  </si>
  <si>
    <t>Removed the commodity RFG</t>
  </si>
  <si>
    <t>Kenneth Karlsson</t>
  </si>
  <si>
    <t>Refineries</t>
  </si>
  <si>
    <t>J36:M43</t>
  </si>
  <si>
    <t>Calculating relative costs for output as a function of import prices of the products</t>
  </si>
  <si>
    <t>C32:H47</t>
  </si>
  <si>
    <t>Data used for the refinery production costs on output - DEA report, see reference in sheet</t>
  </si>
  <si>
    <t>P7:P12</t>
  </si>
  <si>
    <t>New production cost based on DEA report made by Ea Energy Analyses</t>
  </si>
  <si>
    <t>Crude max. Flow level from 2015 DKW</t>
  </si>
  <si>
    <t>Crude max. Flow level from 2015 DKE</t>
  </si>
  <si>
    <t>Share-O~UP</t>
  </si>
  <si>
    <t>Share-O~UP~2012</t>
  </si>
  <si>
    <t>EXP</t>
  </si>
  <si>
    <t>Maurizio Gargiulo</t>
  </si>
  <si>
    <t>Introduced a waste price to avoid negative marginal price in the solution - to be reviewed later</t>
  </si>
  <si>
    <t>Set waste price equal to 0.1 MKr./PJ =&gt; same as used in Ramses</t>
  </si>
  <si>
    <t xml:space="preserve">Coal </t>
  </si>
  <si>
    <t>CIF</t>
  </si>
  <si>
    <t xml:space="preserve">Gasoline </t>
  </si>
  <si>
    <t>Natural gas</t>
  </si>
  <si>
    <t>COST~2011</t>
  </si>
  <si>
    <t>Fossile fuel prices (CIF import price)</t>
  </si>
  <si>
    <t>Wood chips - at dometic producer</t>
  </si>
  <si>
    <t>Wood pellets residential - CIF (imported)</t>
  </si>
  <si>
    <t>Mining technology - Natural gas</t>
  </si>
  <si>
    <t xml:space="preserve">Source: </t>
  </si>
  <si>
    <t>Import technology - Bio Kerosene</t>
  </si>
  <si>
    <t>Import technology - Bio Synt. Nat. Gas</t>
  </si>
  <si>
    <t>Import technology - Biodiesel</t>
  </si>
  <si>
    <t>Import technology - Bioethanol</t>
  </si>
  <si>
    <t>Import technology - Naphtha (Petroleoum)</t>
  </si>
  <si>
    <t>Import technology - Biogas</t>
  </si>
  <si>
    <t>Assumption</t>
  </si>
  <si>
    <t>Source</t>
  </si>
  <si>
    <t>Guestimate</t>
  </si>
  <si>
    <t>Lisa Bjergbakke (LBJ@ENS.DK)</t>
  </si>
  <si>
    <t>kr/GJ</t>
  </si>
  <si>
    <t>factor</t>
  </si>
  <si>
    <t>Same price as LPG</t>
  </si>
  <si>
    <t>Technology</t>
  </si>
  <si>
    <t>Mining technology - Crude Oil</t>
  </si>
  <si>
    <t>Export technology (general)</t>
  </si>
  <si>
    <t>unit</t>
  </si>
  <si>
    <t>Import technology - Waste</t>
  </si>
  <si>
    <t>Same assumption as in RAMSES</t>
  </si>
  <si>
    <t>RAMSES</t>
  </si>
  <si>
    <t>Kristoffer Steen Andersen</t>
  </si>
  <si>
    <t>Table added that explicitly deals with a number of crude price assumptions</t>
  </si>
  <si>
    <t>New prices added based on World Energy Outlook 2014 and forward prices of january 2015</t>
  </si>
  <si>
    <t>Mining NGA&amp;CRD</t>
  </si>
  <si>
    <t>Official projection of North Sea oil and natural gas production added</t>
  </si>
  <si>
    <t>PROC MINNGA added and official projection of natural gas and crude oil added to the model</t>
  </si>
  <si>
    <t>NETSCO2</t>
  </si>
  <si>
    <t>Non ETS CO2</t>
  </si>
  <si>
    <t>ETSCO2</t>
  </si>
  <si>
    <t>ETS CO2</t>
  </si>
  <si>
    <t>SUPHETC</t>
  </si>
  <si>
    <t>SUPHETD</t>
  </si>
  <si>
    <t>Added ETS and NON ETS commodities</t>
  </si>
  <si>
    <t>Updated the Fule Techs for HETC and HETD</t>
  </si>
  <si>
    <t>Split the FUEL Tech in HETC and HETD</t>
  </si>
  <si>
    <t>CRN</t>
  </si>
  <si>
    <t>Corn</t>
  </si>
  <si>
    <t>RPS</t>
  </si>
  <si>
    <t>Rapeseed</t>
  </si>
  <si>
    <t>MOB1</t>
  </si>
  <si>
    <t>MOB2</t>
  </si>
  <si>
    <t>Bio Methanol G1</t>
  </si>
  <si>
    <t>Bio Methanol G2</t>
  </si>
  <si>
    <t>LNB</t>
  </si>
  <si>
    <t>Bio Naphtha (Petroleoum)</t>
  </si>
  <si>
    <t>DDGS</t>
  </si>
  <si>
    <t>Ethanol</t>
  </si>
  <si>
    <t>SGB</t>
  </si>
  <si>
    <t>Sugar Beet</t>
  </si>
  <si>
    <t>SGP</t>
  </si>
  <si>
    <t>Sugar Beet Pulp</t>
  </si>
  <si>
    <t>GLY</t>
  </si>
  <si>
    <t>Glycerol</t>
  </si>
  <si>
    <t>RPC</t>
  </si>
  <si>
    <t>Rape Cake</t>
  </si>
  <si>
    <t>Added new commodities for the biorefineries set up</t>
  </si>
  <si>
    <t>Added the new IMP and EXP processes neede to set up bioorefineries</t>
  </si>
  <si>
    <t>Description of the new IMP and EXP processes for the biorefineries</t>
  </si>
  <si>
    <t>Import technology - Corn</t>
  </si>
  <si>
    <t>Import technology - Rapeseed</t>
  </si>
  <si>
    <t>Import technology - Sugar Beet</t>
  </si>
  <si>
    <t>Import technology - Bio Methanol G1</t>
  </si>
  <si>
    <t>Import technology - Bio Methanol G2</t>
  </si>
  <si>
    <t>Feedstocks</t>
  </si>
  <si>
    <t>Summary of feedstocks</t>
  </si>
  <si>
    <t>fuels sheet rows</t>
  </si>
  <si>
    <t>Opstrøm råstof emissioner beregnet ud fra energiforbrug (men ikke LUC/iLUC)</t>
  </si>
  <si>
    <t>DKK/GJ</t>
  </si>
  <si>
    <t>kg/GJ</t>
  </si>
  <si>
    <t>Energiindh.</t>
  </si>
  <si>
    <t>SØK pris an værk</t>
  </si>
  <si>
    <t>Opstrøm energiforbr</t>
  </si>
  <si>
    <t>Opstrøm energi kilde (dvs. transport/motor form for råstoffet)</t>
  </si>
  <si>
    <t xml:space="preserve">Netto energifrembringelse </t>
  </si>
  <si>
    <t>Proces CO2 ækv.</t>
  </si>
  <si>
    <t>Proces SO2 ækv.</t>
  </si>
  <si>
    <t>Proces NOx ækv.</t>
  </si>
  <si>
    <t>Proces energi, type</t>
  </si>
  <si>
    <t>Netto virkningsgrad importerede</t>
  </si>
  <si>
    <t>LUC/iLUC CO2 ækv.</t>
  </si>
  <si>
    <t>Sensitivity LUC/iLUC</t>
  </si>
  <si>
    <t>Y</t>
  </si>
  <si>
    <t>C</t>
  </si>
  <si>
    <t>F</t>
  </si>
  <si>
    <t>G</t>
  </si>
  <si>
    <t>Drivmiddel</t>
  </si>
  <si>
    <t>GJ/unit</t>
  </si>
  <si>
    <t>DKK/unit</t>
  </si>
  <si>
    <t>Type</t>
  </si>
  <si>
    <t>Hvede</t>
  </si>
  <si>
    <t>Sugarbeets</t>
  </si>
  <si>
    <t>Halm</t>
  </si>
  <si>
    <t>Rapsfrø</t>
  </si>
  <si>
    <t>Naturgas</t>
  </si>
  <si>
    <t>Træ</t>
  </si>
  <si>
    <t>Træpiller</t>
  </si>
  <si>
    <t>Elektricitet</t>
  </si>
  <si>
    <t>Oplade-el-brændsel</t>
  </si>
  <si>
    <t>Kul</t>
  </si>
  <si>
    <t>Råolie</t>
  </si>
  <si>
    <t>Biomasse</t>
  </si>
  <si>
    <t>Ethanol på sukkerrør</t>
  </si>
  <si>
    <t>Biodiesel på palmeolie</t>
  </si>
  <si>
    <t>Total opstrøm CO? emis</t>
  </si>
  <si>
    <t>Data for Feedstocks</t>
  </si>
  <si>
    <t>Emissions from process energy use in production of feedstock</t>
  </si>
  <si>
    <t>Unit emissions from upstream process, g/GJ</t>
  </si>
  <si>
    <t>Feedstock</t>
  </si>
  <si>
    <t>NOx</t>
  </si>
  <si>
    <t>Process</t>
  </si>
  <si>
    <t>g SO2/GJ</t>
  </si>
  <si>
    <t>g NOx/g</t>
  </si>
  <si>
    <t>Lastbil, by</t>
  </si>
  <si>
    <t>Skib</t>
  </si>
  <si>
    <t>Rapeseed cake</t>
  </si>
  <si>
    <t>Process energy use in production of feedstock</t>
  </si>
  <si>
    <t>Chosen year</t>
  </si>
  <si>
    <t>Note</t>
  </si>
  <si>
    <t>GJ/ton</t>
  </si>
  <si>
    <t>5, Concawe (2011): Well-to-wheels analysis of future automotive fuels and power-trains in the European Context. November 2011.</t>
  </si>
  <si>
    <t>Assumed same as whet</t>
  </si>
  <si>
    <t>No data</t>
  </si>
  <si>
    <t>WTT appendix 1, chapter 9 + 11, egne beregninger nederst</t>
  </si>
  <si>
    <t>GJ/1000 Nm³</t>
  </si>
  <si>
    <t>WTT appendix 1, chapter 9 + 11</t>
  </si>
  <si>
    <t>Antaget samme som træ</t>
  </si>
  <si>
    <t>GJ/GJ</t>
  </si>
  <si>
    <t>WTT appendix 2, chapter 3, excl. distribution</t>
  </si>
  <si>
    <t>WTT appendix 2, chapter 4, excl. distribution</t>
  </si>
  <si>
    <t>Assumed same as wood chips</t>
  </si>
  <si>
    <t>Assumed that process energy emission profile follows Danish marginal electricity profile</t>
  </si>
  <si>
    <t>Assumed weight of biomass is 1kg/l</t>
  </si>
  <si>
    <t>WTT appendix 2, chapter 3, excl. distribution, incl. low est. of ILUC at 18g (high is 71g)</t>
  </si>
  <si>
    <t>ILUC</t>
  </si>
  <si>
    <t>Old AD</t>
  </si>
  <si>
    <t>COWI/SDU</t>
  </si>
  <si>
    <t>IFPRI</t>
  </si>
  <si>
    <t>None</t>
  </si>
  <si>
    <t>low</t>
  </si>
  <si>
    <t>high</t>
  </si>
  <si>
    <t>kg CO2e/GJ</t>
  </si>
  <si>
    <t>19, Lorie Hamelin, 2011. Modeling land use changes in consequential LCA, presentation, meta study</t>
  </si>
  <si>
    <t xml:space="preserve">Assumed same as wheat for lack of other information for some ILUC emiossions in SDU ILUC. </t>
  </si>
  <si>
    <t>58, COWI/SDU 2013: Life Cycle Assessment of bioenergy pathways for the future Danish energy system</t>
  </si>
  <si>
    <t>N/A - no land use</t>
  </si>
  <si>
    <t>Assumed same as wood for lack of information</t>
  </si>
  <si>
    <t>Accounted for in technology sheet for Biomass</t>
  </si>
  <si>
    <t>Note: COWI/SDU emissions are also including process energy in harvesting. Hence, process energy from table in row 77 is subtracted</t>
  </si>
  <si>
    <t>Assumptions on by-products, both process energy and ILUC (if selected by modeller)</t>
  </si>
  <si>
    <t>Rape seed cake</t>
  </si>
  <si>
    <t>Assumed same as rapeseed</t>
  </si>
  <si>
    <t>Assumed same as wheat</t>
  </si>
  <si>
    <t>Chosen emission factors</t>
  </si>
  <si>
    <t>Level</t>
  </si>
  <si>
    <t>Woodchips</t>
  </si>
  <si>
    <t>Not corrected for energy use for torrefication</t>
  </si>
  <si>
    <t>Upstream emissions, world market wood</t>
  </si>
  <si>
    <t>**High bioenergy_Good governance**</t>
  </si>
  <si>
    <t>**High bioenergy_Bad governance**</t>
  </si>
  <si>
    <t>**Low bioenergy_Good governance**</t>
  </si>
  <si>
    <t>**Low bioenergy_Bad governance**</t>
  </si>
  <si>
    <t>Source: Biomass project, Copy of Database pathway heat test 051013-LG-08-10 2013.xlsm, sheet Globium</t>
  </si>
  <si>
    <t>Total emissions for system, prior to energy conversion and excluding pre-treatment (g/MJ)</t>
  </si>
  <si>
    <t>GWP100 (CO2 eq.)</t>
  </si>
  <si>
    <t>Nox</t>
  </si>
  <si>
    <t>SO2</t>
  </si>
  <si>
    <t>System consideration</t>
  </si>
  <si>
    <t>upper</t>
  </si>
  <si>
    <t>lower</t>
  </si>
  <si>
    <t>central</t>
  </si>
  <si>
    <t>spring barley, when straw is removed</t>
  </si>
  <si>
    <t>displacing spring barley (short-term marginal crop), which in turn generates ILUC</t>
  </si>
  <si>
    <t>spring barley, when straw is incorporated</t>
  </si>
  <si>
    <t>winter wheat, when straw is removed</t>
  </si>
  <si>
    <t>winter wheat, when straw is incorporated</t>
  </si>
  <si>
    <t>Silage maize</t>
  </si>
  <si>
    <t>Winter rape</t>
  </si>
  <si>
    <t>wheat straw, from Danish fields</t>
  </si>
  <si>
    <t>avoided incorporation of straw to soil (and related soil C changes)</t>
  </si>
  <si>
    <t>used in animal feed</t>
  </si>
  <si>
    <t>Assmed same as wheat</t>
  </si>
  <si>
    <t>rapeseed cake</t>
  </si>
  <si>
    <t>Assumed same as rape seed</t>
  </si>
  <si>
    <t>Source: Biomass project, Copy of Database pathway heat test 051013-LG-08-10 2013.xlsm, sheet Bottom-up</t>
  </si>
  <si>
    <t>BiomassCost</t>
  </si>
  <si>
    <t>Data for biomass prices added form the "Alternative Drivmiddel Katalog 2014"</t>
  </si>
  <si>
    <t>Equals the price of wheat from the "Alternative Drivmiddel Rapport"</t>
  </si>
  <si>
    <t>Equals the price of rapeseeds from the "Alternative Drivmiddel Rapport"</t>
  </si>
  <si>
    <t>Equals the price of sugarbeets from the "Alternative Drivmiddel Rapport"</t>
  </si>
  <si>
    <t>Equals the price of ehtanol from the "Alternative Drivmiddel Rapport"</t>
  </si>
  <si>
    <t>Price data</t>
  </si>
  <si>
    <t>Inflated to chosen price year, correction with sensitivity parameters</t>
  </si>
  <si>
    <t>Data</t>
  </si>
  <si>
    <t>Til model</t>
  </si>
  <si>
    <t>Pris</t>
  </si>
  <si>
    <t>pris år</t>
  </si>
  <si>
    <t>Dataår</t>
  </si>
  <si>
    <t>Prisår</t>
  </si>
  <si>
    <t>Inflator</t>
  </si>
  <si>
    <t>Sensitivity</t>
  </si>
  <si>
    <t>kommentar</t>
  </si>
  <si>
    <t>Kilde</t>
  </si>
  <si>
    <t>omkostning emisson CO2</t>
  </si>
  <si>
    <t>kr/ton</t>
  </si>
  <si>
    <t>El-pris vægtet Nordpool</t>
  </si>
  <si>
    <t>kr/MWh</t>
  </si>
  <si>
    <t>El-pris an virksomhed (brint)</t>
  </si>
  <si>
    <t>SØK brændselspris Naturgas an værk</t>
  </si>
  <si>
    <t>El-pris an husholdning (el-bil)</t>
  </si>
  <si>
    <t>Råolie pris CIF</t>
  </si>
  <si>
    <t>Kul pris</t>
  </si>
  <si>
    <t>Naturgas importpris</t>
  </si>
  <si>
    <t>Benzin pris CIF</t>
  </si>
  <si>
    <t>Diesel pris CIF</t>
  </si>
  <si>
    <t>JP1 pris CIF</t>
  </si>
  <si>
    <t>HFO pris CIF</t>
  </si>
  <si>
    <t>Benzin distribution</t>
  </si>
  <si>
    <t>Diesel distribution</t>
  </si>
  <si>
    <t>JP1 distribution</t>
  </si>
  <si>
    <t>Electricity distribution, EV</t>
  </si>
  <si>
    <t>Difference between power price ab plant and an consumer</t>
  </si>
  <si>
    <t>Electricity distribution, hydrogen</t>
  </si>
  <si>
    <t>Naturgas distribution an værk</t>
  </si>
  <si>
    <t>Naturgas distribution an forbruger</t>
  </si>
  <si>
    <t>Assumed 2,06 time world price on natural gas</t>
  </si>
  <si>
    <t>Fjernvarme</t>
  </si>
  <si>
    <t>Tabel 7</t>
  </si>
  <si>
    <t>DLG markedspris 2013-09-27, http://www.dlg.dk/da/vegetabilske-produkter/afgroeder/noteringer/boersnotering-moellehvede/</t>
  </si>
  <si>
    <t>http://www.sukkerroer.nu/irj/portal/nordzucker/da?NavigationTarget=navurl://13b776ae053328a67b3ed6386dd63317</t>
  </si>
  <si>
    <t>DLG markedspris 27-09-2013, http://www.dlg.dk/da/vegetabilske-produkter/afgroeder/noteringer/boersnotering-raps/</t>
  </si>
  <si>
    <t>Medium estimate</t>
  </si>
  <si>
    <t>Energy input to electricity production excl. conversion loss</t>
  </si>
  <si>
    <t>aflæst fra figur, gennemsnit af 4 aflæsninger i 2010, følger olieprisudviklingen i 2020 og 2035</t>
  </si>
  <si>
    <t>Benzin bil</t>
  </si>
  <si>
    <t>kr/km</t>
  </si>
  <si>
    <t>Diesel bil</t>
  </si>
  <si>
    <t>El bil</t>
  </si>
  <si>
    <t>Diesel lastbil</t>
  </si>
  <si>
    <t>Fly</t>
  </si>
  <si>
    <t>Tog Diesel</t>
  </si>
  <si>
    <t>Tog El</t>
  </si>
  <si>
    <t>Ingen</t>
  </si>
  <si>
    <t>Prisjusteringer</t>
  </si>
  <si>
    <t>Note: 2015 er antaget samme som 2012 i kilde. 2050 er antaget sammen som 2035 i kilde 1</t>
  </si>
  <si>
    <t>kilde: 3, Transportøkonomiske enhedspriser 2010, DTU , Institut for transport</t>
  </si>
  <si>
    <t>Export technology - Ethanol</t>
  </si>
  <si>
    <t>Export technology - Glycerol</t>
  </si>
  <si>
    <t>Export technology - Bio Naphtha (Petroleoum)</t>
  </si>
  <si>
    <t>Export technology - Rape Cake</t>
  </si>
  <si>
    <t>Export technology - Sugar Beet Pulp</t>
  </si>
  <si>
    <t>Export technology - Natural gas</t>
  </si>
  <si>
    <t>Export technology - Crude oil</t>
  </si>
  <si>
    <t>Mkr14/GJ</t>
  </si>
  <si>
    <t xml:space="preserve">Guestimate to avoid excessive export </t>
  </si>
  <si>
    <t>At some point we need to find better projection for these biomass related fuels…</t>
  </si>
  <si>
    <t>Add-on to the price of diesel</t>
  </si>
  <si>
    <t>Add-on to the price of gasoline</t>
  </si>
  <si>
    <t>Biomass feedstock and fuels</t>
  </si>
  <si>
    <t>COM_TAXNET</t>
  </si>
  <si>
    <t>*Commodity Name</t>
  </si>
  <si>
    <t>Attribute</t>
  </si>
  <si>
    <t>~FI_T: COST</t>
  </si>
  <si>
    <t>ETS_NETS_Prices</t>
  </si>
  <si>
    <t>CO2 qouta added for the ETS and non-ETS…</t>
  </si>
  <si>
    <t>D58:E67</t>
  </si>
  <si>
    <t>Error in Comm-IN and Comm-OUT corrected…</t>
  </si>
  <si>
    <t>KRB1</t>
  </si>
  <si>
    <t>Bio Kerosene G1</t>
  </si>
  <si>
    <t>KRB2</t>
  </si>
  <si>
    <t>Bio Kerosene G2</t>
  </si>
  <si>
    <t>SNG1</t>
  </si>
  <si>
    <t>Bio Synt. Nat. Gas G1</t>
  </si>
  <si>
    <t>SNG2</t>
  </si>
  <si>
    <t>Bio Synt. Nat. Gas G2</t>
  </si>
  <si>
    <t>DSB1</t>
  </si>
  <si>
    <t>Biodiesel G1</t>
  </si>
  <si>
    <t>DSB2</t>
  </si>
  <si>
    <t>Biodiesel G2</t>
  </si>
  <si>
    <t>GSB1</t>
  </si>
  <si>
    <t>Bioethanol G1</t>
  </si>
  <si>
    <t>GSB2</t>
  </si>
  <si>
    <t>Bioethanol G2</t>
  </si>
  <si>
    <t>Mkr14/Kton</t>
  </si>
  <si>
    <t>&lt;-</t>
  </si>
  <si>
    <t>Refinery Margin</t>
  </si>
  <si>
    <t>Refining cost</t>
  </si>
  <si>
    <t>Product premium</t>
  </si>
  <si>
    <t>Total flow cost</t>
  </si>
  <si>
    <t>Link:</t>
  </si>
  <si>
    <t>http://www.ens.dk/info/tal-kort/fremskrivninger-analyser-modeller/samfundsokonomiske-beregnings-forudsaetninger</t>
  </si>
  <si>
    <t>DKK 2013 / GJ</t>
  </si>
  <si>
    <t>Welfare economic prices of coal, petroleum products and natural gas, EA Energianalyse 2014, p. 28</t>
  </si>
  <si>
    <t>MKr13</t>
  </si>
  <si>
    <t>Modelling assumption</t>
  </si>
  <si>
    <t>To make sure that extracted crude oil is extracted …</t>
  </si>
  <si>
    <t>To vary the cost between outputs from the plants, information on average annual product premium are used</t>
  </si>
  <si>
    <t>Adjusted flow cost information on refineries based on product premiums from EA energy analyse rapport…</t>
  </si>
  <si>
    <t>(DKK2014/ton)</t>
  </si>
  <si>
    <t xml:space="preserve">ETSCO2-price </t>
  </si>
  <si>
    <t xml:space="preserve">Tabel I: </t>
  </si>
  <si>
    <t>TIMES_DK: Generic level of CO2-duty on fuels not covered by ETS</t>
  </si>
  <si>
    <t xml:space="preserve">Scen-file: </t>
  </si>
  <si>
    <t>VT_DK_SUP_V1p10</t>
  </si>
  <si>
    <t>Source:</t>
  </si>
  <si>
    <t>Ministry of Taxasion [DEA tax spreadsheet]</t>
  </si>
  <si>
    <t>Note:</t>
  </si>
  <si>
    <t>Adjustment to 2014-kr has been done using Ministry of Finance 2015 Converge programme (March of 2015)</t>
  </si>
  <si>
    <t>Dato:</t>
  </si>
  <si>
    <t>Tax name:</t>
  </si>
  <si>
    <t>CO2-afgift</t>
  </si>
  <si>
    <t>CO2-duty (NETS CO2 price)</t>
  </si>
  <si>
    <t>Set crude oil and natural gas extraction from the north sea is set to zero … instead north sea oil and naturgas extraction is handled in the scenario file "NorthSeaMining"</t>
  </si>
  <si>
    <t xml:space="preserve">Added quotas for non-ets! </t>
  </si>
  <si>
    <t>Corrected error in ETS CO2-price (somehow data for all year had been replaced by 0.14…)</t>
  </si>
  <si>
    <t>Export technology - Biofuels 1&amp;2G</t>
  </si>
  <si>
    <t xml:space="preserve">Data of extractions: 01-03-2016 / sdo@ens.dk </t>
  </si>
  <si>
    <t>Steffen Dockweiler</t>
  </si>
  <si>
    <t>C91:AU101</t>
  </si>
  <si>
    <t>Updated Fossil fuel prices (CIF import price)</t>
  </si>
  <si>
    <t xml:space="preserve">Note2:  "f:\KEO\Modelgruppen\Brændselspriser\Brændselspriser 2015 - BF2015\BF2015 2015.12.01 FM skøn\2015_11_12_Fuel add-on DK - WEO2015_dagspris.xlsm" </t>
  </si>
  <si>
    <t xml:space="preserve">Note1: The prices reflect World Energy Outlook 2015; forwards prices as of march 2015; and histocal prices from Statistics Denmark… </t>
  </si>
  <si>
    <t>Data of extractions: 01-03-2016 / sdo@ens.dk</t>
  </si>
  <si>
    <t xml:space="preserve">Note1: "f:\KEO\Modelgruppen\Brændselspriser\Brændselspriser 2015 - BF2015\Biomassepriser\2015_10_26_Biomass price model.xlsx" </t>
  </si>
  <si>
    <t>Rapsolie</t>
  </si>
  <si>
    <t>Opdateret fra Alternative Drivmiddel modellen 3.02 - d. 01-03-2016 - SDO@ens.dk</t>
  </si>
  <si>
    <t>SO₂</t>
  </si>
  <si>
    <t>64, JEC WTW study Version 4a,  2014</t>
  </si>
  <si>
    <t>Fratrukket energi i cake</t>
  </si>
  <si>
    <t>EU-mix</t>
  </si>
  <si>
    <t>14, Energistyrelsen. Energistatistik 2011.</t>
  </si>
  <si>
    <t>13, Concawe (2006): Well-to-wheels analysis of future automotive fuels and power-trains in the European Context. May 2006.</t>
  </si>
  <si>
    <t>Process CO₂ emission excluding ILUC</t>
  </si>
  <si>
    <t>57, Forudsætninger for samfundsøkonomiske analyser på energiområdet, Energistyrelsen, 2014</t>
  </si>
  <si>
    <t>23, Forudsætninger for samfundsøkonomiske analyser på energiområdet. Energistyrelsen. April 2011, opdateret dataark oktober 2012</t>
  </si>
  <si>
    <t>4, http://www.agri-outlook.org/</t>
  </si>
  <si>
    <t xml:space="preserve">41, Ea Enerrgy Analyses (2013)  "Analysis of biomass prices, future Danish prices for straw, wood chips and wood pellets (draft 21-03-2013)", </t>
  </si>
  <si>
    <t>http://www.indexmundi.com/commodities/?commodity=rapeseed-oil&amp;months=120</t>
  </si>
  <si>
    <t>Source: 29, Biogas i Danmark - status, barrierer og perspektiver, Biogas Taskforce, November 2013, Kap 8, Biogasøkonomi. Ea-energianalyser har leveret den bagvedliggende data.</t>
  </si>
  <si>
    <t>17, www.eof.dk</t>
  </si>
  <si>
    <t>Hydrogen an værk</t>
  </si>
  <si>
    <t xml:space="preserve">AD dataark </t>
  </si>
  <si>
    <t>Source: 23, Forudsætninger for samfundsøkonomiske analyser på energiområdet. Energistyrelsen. April 2011, opdateret dataark oktober 2012</t>
  </si>
  <si>
    <t>Updated Solid biomass prices</t>
  </si>
  <si>
    <t>C106-AS122</t>
  </si>
  <si>
    <t>All data</t>
  </si>
  <si>
    <t>Updated all data to the new AD model 3.02</t>
  </si>
  <si>
    <t>B10:AS24</t>
  </si>
  <si>
    <t>Updated ETS and NETS prices</t>
  </si>
  <si>
    <t>Description</t>
  </si>
  <si>
    <t>Purpose:</t>
  </si>
  <si>
    <t>Description:</t>
  </si>
  <si>
    <t>The data is based on the VMAS survey of energy services as well as the energy matrices from Statistics Denmark</t>
  </si>
  <si>
    <t>Relevant sectors</t>
  </si>
  <si>
    <t>Description of different sheets</t>
  </si>
  <si>
    <t>Processes</t>
  </si>
  <si>
    <t>Commodities</t>
  </si>
  <si>
    <t>Defines the commodities used in the processes</t>
  </si>
  <si>
    <t>SUP</t>
  </si>
  <si>
    <t>This sheet defines processes, commodities and existing stocks for upstream fuels including imports and export interface</t>
  </si>
  <si>
    <t>Defines the processes for fuel conversions</t>
  </si>
  <si>
    <t>Topology of mining, import and exports of fuels - costs</t>
  </si>
  <si>
    <t>Topology of co2 certificates - costs</t>
  </si>
  <si>
    <t>Topology for fuels used in upstream sector</t>
  </si>
  <si>
    <t>MIN-IMP-EXP Data</t>
  </si>
  <si>
    <t>Refinery data</t>
  </si>
  <si>
    <t>Topology for processes in refining of fuels</t>
  </si>
  <si>
    <t>Data for costs on biomass and other feedstocks</t>
  </si>
  <si>
    <t>Data on imports and exports of fuels (GJ) from energy matrix from Statistics Denmark</t>
  </si>
  <si>
    <t>Data on refinery production from energy matrix from Statistics Denmark</t>
  </si>
  <si>
    <t>Lars B. Termansen</t>
  </si>
  <si>
    <t>Added intro sheet. Color coded tabs</t>
  </si>
  <si>
    <t>Added the IMPWAV technology from the SubRes_ELC-Techs</t>
  </si>
  <si>
    <t>Added the WAV commodity from the SubRes_ELC-Techs</t>
  </si>
  <si>
    <t>WAV</t>
  </si>
  <si>
    <t>Wave</t>
  </si>
  <si>
    <t>Added the technology IMPWAV in the list</t>
  </si>
  <si>
    <t>Row 33</t>
  </si>
  <si>
    <t>Import technology - all second generation BIO</t>
  </si>
  <si>
    <t>+10% on 1st generation</t>
  </si>
  <si>
    <t>Introduced a 10% increase in the price of all second generation bio, guessing that second generation is more expensive than first generation.</t>
  </si>
  <si>
    <t>DME</t>
  </si>
  <si>
    <t>Dimethyl ether</t>
  </si>
  <si>
    <t>MNR</t>
  </si>
  <si>
    <t>Manure (Gylle)</t>
  </si>
  <si>
    <t>Aviation gasoline</t>
  </si>
  <si>
    <t>BIOCO2</t>
  </si>
  <si>
    <t>Biogenic CO2 emissions</t>
  </si>
  <si>
    <t>Jacopo tattini</t>
  </si>
  <si>
    <t>Com, Proc, Min-Imp-Exp</t>
  </si>
  <si>
    <t>Merged with Giada and with Jacopo</t>
  </si>
  <si>
    <t>AGSL</t>
  </si>
  <si>
    <t>MOV</t>
  </si>
  <si>
    <t>Movement - Dummy commodity for bike and walk</t>
  </si>
  <si>
    <t>Source: Energistyrelsens samfundsøkonomiske beregningsforudsætninger 2017 (til høring)</t>
  </si>
  <si>
    <t>2017-priser (kr./ton)</t>
  </si>
  <si>
    <t>CO2 kvotepris 2017kr/ton</t>
  </si>
  <si>
    <t>PYF (BVT-Deflator)</t>
  </si>
  <si>
    <t>CO2 kvotepris 2014kr/ton</t>
  </si>
  <si>
    <t>DKK/Ton</t>
  </si>
  <si>
    <t xml:space="preserve">Source: "samfundsøkonomiske beregningsforudsætninger 2017" ENS  </t>
  </si>
  <si>
    <t>Extrapolated from 2040 up till 2050 with the estimated valuyes given by the DEA</t>
  </si>
  <si>
    <t>* Values associate with commodities</t>
  </si>
  <si>
    <t>Commodity Emissions</t>
  </si>
  <si>
    <t>kg/GJ = kt/PJ</t>
  </si>
  <si>
    <t>Nat. Gas</t>
  </si>
  <si>
    <t>*Units</t>
  </si>
  <si>
    <t>SUPCO2W</t>
  </si>
  <si>
    <t>Waste CO2 emissions SUP</t>
  </si>
  <si>
    <t>Mikkel Bosack Simonsen</t>
  </si>
  <si>
    <t xml:space="preserve">Applied regional actbnd on fossil fuels, applied from Giada´s Straw analysis </t>
  </si>
  <si>
    <t>FIW</t>
  </si>
  <si>
    <t>Firewood</t>
  </si>
  <si>
    <t>Share~LO~0</t>
  </si>
  <si>
    <t>Share~UP~0</t>
  </si>
  <si>
    <t>GRS</t>
  </si>
  <si>
    <t>Grass</t>
  </si>
  <si>
    <t>~COMEMI</t>
  </si>
  <si>
    <t>SUPNGA</t>
  </si>
  <si>
    <t>SUPCOA</t>
  </si>
  <si>
    <t>SUPDSL</t>
  </si>
  <si>
    <t>SUPHFO</t>
  </si>
  <si>
    <t>SUPLPG</t>
  </si>
  <si>
    <t>SUPWST</t>
  </si>
  <si>
    <t>MCRD</t>
  </si>
  <si>
    <t>MNGA</t>
  </si>
  <si>
    <t>FT-MINNGA</t>
  </si>
  <si>
    <t>FT-MINCRD</t>
  </si>
  <si>
    <t>Mining Natural Gas</t>
  </si>
  <si>
    <t>Mining Crude Oil</t>
  </si>
  <si>
    <t>MINCO2</t>
  </si>
  <si>
    <t>Mining crude oil</t>
  </si>
  <si>
    <t>Mining Natural gas</t>
  </si>
  <si>
    <t>COST~0</t>
  </si>
  <si>
    <t>Deep Litter</t>
  </si>
  <si>
    <t>DLI</t>
  </si>
  <si>
    <t>HFB</t>
  </si>
  <si>
    <t>Heavy Fuel Bio Oil</t>
  </si>
  <si>
    <t>Fossil fuels</t>
  </si>
  <si>
    <t>Biomass</t>
  </si>
  <si>
    <t>Other renewables</t>
  </si>
  <si>
    <t>Renewable fuels</t>
  </si>
  <si>
    <t>Waste products</t>
  </si>
  <si>
    <t>Supply fuels</t>
  </si>
  <si>
    <t>H2</t>
  </si>
  <si>
    <t>Hydrogen</t>
  </si>
  <si>
    <t>H2G</t>
  </si>
  <si>
    <t>Hydrogen Gas</t>
  </si>
  <si>
    <t>MGO</t>
  </si>
  <si>
    <t>Marine Gas Oil</t>
  </si>
  <si>
    <t>AMM</t>
  </si>
  <si>
    <t>Ammonia (Liquid)</t>
  </si>
  <si>
    <t>Electro Kerosene</t>
  </si>
  <si>
    <t>KRE</t>
  </si>
  <si>
    <t>SNE</t>
  </si>
  <si>
    <t>Electro Synt. Nat. Gas</t>
  </si>
  <si>
    <t>DSE</t>
  </si>
  <si>
    <t>Electro Diesel</t>
  </si>
  <si>
    <t>GSE</t>
  </si>
  <si>
    <t>Electro Gasoline</t>
  </si>
  <si>
    <t>MOE</t>
  </si>
  <si>
    <t>Electro Methanol</t>
  </si>
  <si>
    <t>Other</t>
  </si>
  <si>
    <t>CO2SINK</t>
  </si>
  <si>
    <t>CO2 sink - non useable for fuels</t>
  </si>
  <si>
    <t>CCXCO2</t>
  </si>
  <si>
    <t>CO2 captured at plants</t>
  </si>
  <si>
    <t>Mining</t>
  </si>
  <si>
    <t>PEA</t>
  </si>
  <si>
    <t>Peat</t>
  </si>
  <si>
    <t>Added by MH for Sweden</t>
  </si>
  <si>
    <t>IWH</t>
  </si>
  <si>
    <t xml:space="preserve">Industrial waste heat </t>
  </si>
  <si>
    <t>BFG</t>
  </si>
  <si>
    <t>Blast furnace gas</t>
  </si>
  <si>
    <t>AMB</t>
  </si>
  <si>
    <t>Ambient Temperature for heat pump</t>
  </si>
  <si>
    <t>URN</t>
  </si>
  <si>
    <t>Nuclear fuel</t>
  </si>
  <si>
    <t>BLQ</t>
  </si>
  <si>
    <t>Black liquor</t>
  </si>
  <si>
    <t>Commodity</t>
  </si>
  <si>
    <t>Curr</t>
  </si>
  <si>
    <t>COST~2015</t>
  </si>
  <si>
    <t>COST~2016</t>
  </si>
  <si>
    <t>COST~2017</t>
  </si>
  <si>
    <t>COST~2018</t>
  </si>
  <si>
    <t>COST~2019</t>
  </si>
  <si>
    <t>COST~2021</t>
  </si>
  <si>
    <t>COST~2022</t>
  </si>
  <si>
    <t>COST~2023</t>
  </si>
  <si>
    <t>COST~2024</t>
  </si>
  <si>
    <t>COST~2025</t>
  </si>
  <si>
    <t>COST~2026</t>
  </si>
  <si>
    <t>COST~2027</t>
  </si>
  <si>
    <t>COST~2028</t>
  </si>
  <si>
    <t>COST~2029</t>
  </si>
  <si>
    <t>COST~2031</t>
  </si>
  <si>
    <t>COST~2032</t>
  </si>
  <si>
    <t>COST~2033</t>
  </si>
  <si>
    <t>COST~2034</t>
  </si>
  <si>
    <t>COST~2035</t>
  </si>
  <si>
    <t>COST~2036</t>
  </si>
  <si>
    <t>COST~2037</t>
  </si>
  <si>
    <t>COST~2038</t>
  </si>
  <si>
    <t>COST~2039</t>
  </si>
  <si>
    <t>COST~2041</t>
  </si>
  <si>
    <t>COST~2042</t>
  </si>
  <si>
    <t>COST~2043</t>
  </si>
  <si>
    <t>COST~2044</t>
  </si>
  <si>
    <t>COST~2045</t>
  </si>
  <si>
    <t>COST~2046</t>
  </si>
  <si>
    <t>COST~2047</t>
  </si>
  <si>
    <t>COST~2048</t>
  </si>
  <si>
    <t>COST~2049</t>
  </si>
  <si>
    <t>Tabel 4: CIF priser / priser ab producent</t>
  </si>
  <si>
    <t>2019-priser kr./GJ</t>
  </si>
  <si>
    <t>Importpriser (CIF-priser)</t>
  </si>
  <si>
    <t>ab DK producent</t>
  </si>
  <si>
    <t>Fuelolie</t>
  </si>
  <si>
    <t>Gasolie</t>
  </si>
  <si>
    <t>Benzin</t>
  </si>
  <si>
    <t>Træpiller (industri)</t>
  </si>
  <si>
    <t>Træpiller (konsum)</t>
  </si>
  <si>
    <t>Træflis</t>
  </si>
  <si>
    <t>Note: Der angives ikke en importpris for halm, da halm betragtes som en lokal ressource.</t>
  </si>
  <si>
    <t>From Danish "Samfundsøkonomiske analyseforudsætninger" made by energinet.dk and danish energy agency</t>
  </si>
  <si>
    <t>Data on fuel prices and their projections</t>
  </si>
  <si>
    <t>N/A</t>
  </si>
  <si>
    <t>similar to Export Price of fossil alternative</t>
  </si>
  <si>
    <t>Similar to Kerosene</t>
  </si>
  <si>
    <t>Double Natural Gas price</t>
  </si>
  <si>
    <t>Price from TIMES-DK (no source)</t>
  </si>
  <si>
    <t>similar to STR</t>
  </si>
  <si>
    <t>Similar to MNR</t>
  </si>
  <si>
    <t>25% of WCH</t>
  </si>
  <si>
    <t>Import technology - electro fuels</t>
  </si>
  <si>
    <t>Factor</t>
  </si>
  <si>
    <t>Semi dummy factor</t>
  </si>
  <si>
    <t>Similar factor as for bio dielsel</t>
  </si>
  <si>
    <r>
      <t>Tabel 14: Skøn for priser på CO</t>
    </r>
    <r>
      <rPr>
        <b/>
        <vertAlign val="subscript"/>
        <sz val="15"/>
        <rFont val="Calibri"/>
        <family val="2"/>
        <scheme val="minor"/>
      </rPr>
      <t>2</t>
    </r>
  </si>
  <si>
    <t>2019-priser kr./ton</t>
  </si>
  <si>
    <t>Skøn for CO2-kvotepris</t>
  </si>
  <si>
    <t>Skøn for pris på CO2-udledninger uden for kvotesektoren</t>
  </si>
  <si>
    <t xml:space="preserve">Kilder: </t>
  </si>
  <si>
    <t xml:space="preserve">Skøn for kvotepris: Finansministeriet, september 2019. </t>
  </si>
  <si>
    <r>
      <t>Skøn for omkostninger for CO</t>
    </r>
    <r>
      <rPr>
        <vertAlign val="subscript"/>
        <sz val="10"/>
        <color theme="1"/>
        <rFont val="Calibri"/>
        <family val="2"/>
        <scheme val="minor"/>
      </rPr>
      <t>2</t>
    </r>
    <r>
      <rPr>
        <sz val="10"/>
        <color theme="1"/>
        <rFont val="Calibri"/>
        <family val="2"/>
        <scheme val="minor"/>
      </rPr>
      <t>-udledning uden for kvotesektoren: EU’s Impact Assessment for 2030-pakken (http://eur-lex.europa.eu/legal-content/EN/TXT/PDF/?uri=CELEX:52014SC0015&amp;from=EN). Efter 2030 er omkostningen for CO</t>
    </r>
    <r>
      <rPr>
        <vertAlign val="subscript"/>
        <sz val="10"/>
        <color theme="1"/>
        <rFont val="Calibri"/>
        <family val="2"/>
        <scheme val="minor"/>
      </rPr>
      <t>2</t>
    </r>
    <r>
      <rPr>
        <sz val="10"/>
        <color theme="1"/>
        <rFont val="Calibri"/>
        <family val="2"/>
        <scheme val="minor"/>
      </rPr>
      <t>-udledning uden for kvotesektoren fastholdt på samme niveau, indtil kvoteprisen når dette niveau.</t>
    </r>
  </si>
  <si>
    <t>Note 1: Alle prisskøn i denne tabel er angivet i faktorpriser, og skal derfor ganges med nettoafgiftsfaktoren for at blive angivet i forbrugerpriser.</t>
  </si>
  <si>
    <t>Supply electricity</t>
  </si>
  <si>
    <t>Supply Decentral district heating</t>
  </si>
  <si>
    <t>Supply Central district heating</t>
  </si>
  <si>
    <t>Relating to wood waste</t>
  </si>
  <si>
    <t>Guestimate (based on stat)</t>
  </si>
  <si>
    <t>Same assumption as for waste</t>
  </si>
  <si>
    <t>Relating to coal price</t>
  </si>
  <si>
    <t>Free</t>
  </si>
  <si>
    <t>Elforsk, "El från nya och framtida anläggningar 2014"</t>
  </si>
  <si>
    <t>SEK14</t>
  </si>
  <si>
    <t>Related to Wood Waste</t>
  </si>
  <si>
    <t>Similar to waste</t>
  </si>
  <si>
    <t>Legend</t>
  </si>
  <si>
    <t>TIMES-DK data</t>
  </si>
  <si>
    <t>Share-O~UP~2011</t>
  </si>
  <si>
    <t>Share-O~UP~2013</t>
  </si>
  <si>
    <t>Share-O~UP~2014</t>
  </si>
  <si>
    <t>EFF~2011</t>
  </si>
  <si>
    <t>EFF~2013</t>
  </si>
  <si>
    <t>EFF~2014</t>
  </si>
  <si>
    <t>BNDACT~UP~NO2</t>
  </si>
  <si>
    <t>BNDACT~UP~2011~NO2</t>
  </si>
  <si>
    <t>BNDACT~UP~2012~NO2</t>
  </si>
  <si>
    <t>BNDACT~UP~2013~NO2</t>
  </si>
  <si>
    <t>BNDACT~UP~2014~NO2</t>
  </si>
  <si>
    <t>BNDACT~UP~2015~NO2</t>
  </si>
  <si>
    <t>Output share / Base year</t>
  </si>
  <si>
    <t>Output share / 2011</t>
  </si>
  <si>
    <t>Output share / 2012</t>
  </si>
  <si>
    <t>Output share / 2013</t>
  </si>
  <si>
    <t>Output share / 2014</t>
  </si>
  <si>
    <t>Crude level (PJ) NO2</t>
  </si>
  <si>
    <t>Upper Input share from 2015</t>
  </si>
  <si>
    <t>Lower Input share from 2015</t>
  </si>
  <si>
    <t>NO2</t>
  </si>
  <si>
    <t xml:space="preserve">Data source on refinary costs for Denmark: TIMES-DK </t>
  </si>
  <si>
    <t>UtslippEkv</t>
  </si>
  <si>
    <t>Internal reference code:</t>
  </si>
  <si>
    <t>External PROD</t>
  </si>
  <si>
    <t>Database:</t>
  </si>
  <si>
    <t>31.12.</t>
  </si>
  <si>
    <t>Emissions to air (1 000 tonnes CO2-equivalents)</t>
  </si>
  <si>
    <t>Reference period:</t>
  </si>
  <si>
    <t>Flow</t>
  </si>
  <si>
    <t>Emissions to air (1 000 tonnes CO2-equivalents):</t>
  </si>
  <si>
    <t>Data type:</t>
  </si>
  <si>
    <t>1 000 tonnes CO2-equivalents</t>
  </si>
  <si>
    <t>Units:</t>
  </si>
  <si>
    <t>Copyright</t>
  </si>
  <si>
    <t>eir@ssb.no</t>
  </si>
  <si>
    <t xml:space="preserve"> +47 944 89 464</t>
  </si>
  <si>
    <t>Crude</t>
  </si>
  <si>
    <t>Eirik Knutsen, Statistics Norway</t>
  </si>
  <si>
    <t>Export</t>
  </si>
  <si>
    <t>tmb@ssb.no</t>
  </si>
  <si>
    <t xml:space="preserve"> +47 408 11 425</t>
  </si>
  <si>
    <t>Trude Melby Bothner, Statistics Norway</t>
  </si>
  <si>
    <t>Elect eff</t>
  </si>
  <si>
    <t>Contact:</t>
  </si>
  <si>
    <t>Statistics Norway</t>
  </si>
  <si>
    <t>pj</t>
  </si>
  <si>
    <t>Primary inputs</t>
  </si>
  <si>
    <t>20190603 08:00</t>
  </si>
  <si>
    <t>tot</t>
  </si>
  <si>
    <t>Latest update:</t>
  </si>
  <si>
    <t>kt of CO2</t>
  </si>
  <si>
    <t>. = Category not applicable</t>
  </si>
  <si>
    <t>kt of CO2 / PJ extracted</t>
  </si>
  <si>
    <t>Primary production</t>
  </si>
  <si>
    <t>: = Not for publication</t>
  </si>
  <si>
    <t>Includes ocean transport and international air transport.</t>
  </si>
  <si>
    <t>from ktoe to pj</t>
  </si>
  <si>
    <t>New estimates of emissions from aviation and industry are under development. This may lead to changes in the time series when publishing final numbers 2018.
Due to rounding error, the total may not match the sum of subgroups.</t>
  </si>
  <si>
    <t>.</t>
  </si>
  <si>
    <t>Sulphurhexafluoride (SF6)</t>
  </si>
  <si>
    <t>K95</t>
  </si>
  <si>
    <t>Perfluorocarbons (PFK)</t>
  </si>
  <si>
    <t>K90</t>
  </si>
  <si>
    <t>:</t>
  </si>
  <si>
    <t>Hydrofluorocarbons (HFK)</t>
  </si>
  <si>
    <t>K80</t>
  </si>
  <si>
    <t>Nitrous oxide (N2O)</t>
  </si>
  <si>
    <t>K13</t>
  </si>
  <si>
    <t>Methane (CH4)</t>
  </si>
  <si>
    <t>K12</t>
  </si>
  <si>
    <t>Carbon dioxide (CO2)</t>
  </si>
  <si>
    <t>K11</t>
  </si>
  <si>
    <t>Oil and gas extraction, including service activities and transport via pipelines</t>
  </si>
  <si>
    <t>N.02.02.00-02.03.00</t>
  </si>
  <si>
    <t>Mining and quarrying</t>
  </si>
  <si>
    <t>N.02.01.00</t>
  </si>
  <si>
    <t>2018</t>
  </si>
  <si>
    <t>2017</t>
  </si>
  <si>
    <t>2016</t>
  </si>
  <si>
    <t>2015</t>
  </si>
  <si>
    <t>2014</t>
  </si>
  <si>
    <t>2013</t>
  </si>
  <si>
    <t>2012</t>
  </si>
  <si>
    <t>2011</t>
  </si>
  <si>
    <t>2010</t>
  </si>
  <si>
    <t>09288: Greenhouse gases from Norwegian economic activity, by industry, pollutant, contents and year</t>
  </si>
  <si>
    <t>From SSB</t>
  </si>
  <si>
    <t>B_101014</t>
  </si>
  <si>
    <t>Liquid biofuels blended in gasoline/diesel</t>
  </si>
  <si>
    <t>Memo item:</t>
  </si>
  <si>
    <t>B_102200</t>
  </si>
  <si>
    <t>Statistical differences</t>
  </si>
  <si>
    <t>B_102040</t>
  </si>
  <si>
    <t>Non-specified (Other)</t>
  </si>
  <si>
    <t>+</t>
  </si>
  <si>
    <t>B_102020</t>
  </si>
  <si>
    <t>Fishing</t>
  </si>
  <si>
    <t>B_102030</t>
  </si>
  <si>
    <t>Agriculture / Forestry</t>
  </si>
  <si>
    <t>B_102010</t>
  </si>
  <si>
    <t>Residential</t>
  </si>
  <si>
    <t>B_102035</t>
  </si>
  <si>
    <t>Services</t>
  </si>
  <si>
    <t>B_102000</t>
  </si>
  <si>
    <t>Other Sectors</t>
  </si>
  <si>
    <t>B_101950</t>
  </si>
  <si>
    <t>Non-specified (Transport)</t>
  </si>
  <si>
    <t>B_101945</t>
  </si>
  <si>
    <t>Pipeline transport</t>
  </si>
  <si>
    <t>B_101940</t>
  </si>
  <si>
    <t>Domestic Navigation</t>
  </si>
  <si>
    <t>B_101932</t>
  </si>
  <si>
    <t>Domestic aviation</t>
  </si>
  <si>
    <t>B_101931</t>
  </si>
  <si>
    <t>International aviation</t>
  </si>
  <si>
    <t>B_101920</t>
  </si>
  <si>
    <t>Road</t>
  </si>
  <si>
    <t>B_101910</t>
  </si>
  <si>
    <t>Rail</t>
  </si>
  <si>
    <t>B_101900</t>
  </si>
  <si>
    <t>Transport</t>
  </si>
  <si>
    <t>B_101853</t>
  </si>
  <si>
    <t>Non-specified (Industry)</t>
  </si>
  <si>
    <t>B_101835</t>
  </si>
  <si>
    <t>Textile and Leather</t>
  </si>
  <si>
    <t>B_101852</t>
  </si>
  <si>
    <t>Construction</t>
  </si>
  <si>
    <t>B_101851</t>
  </si>
  <si>
    <t>Wood and Wood Products</t>
  </si>
  <si>
    <t>B_101840</t>
  </si>
  <si>
    <t>Paper, Pulp and Print</t>
  </si>
  <si>
    <t>B_101830</t>
  </si>
  <si>
    <t>Food and Tabasco</t>
  </si>
  <si>
    <t>B_101825</t>
  </si>
  <si>
    <t>Mining and Quarrying</t>
  </si>
  <si>
    <t>B_101847</t>
  </si>
  <si>
    <t>Machinery</t>
  </si>
  <si>
    <t>B_101846</t>
  </si>
  <si>
    <t>Transport Equipment</t>
  </si>
  <si>
    <t>B_101820</t>
  </si>
  <si>
    <t>Non-metallic Minerals (Glass, pottery &amp; building mat. Industry)</t>
  </si>
  <si>
    <t>B_101810</t>
  </si>
  <si>
    <t>Non-ferrous metal industry</t>
  </si>
  <si>
    <t>B_101815</t>
  </si>
  <si>
    <t>Chemical and Petrochemical industry</t>
  </si>
  <si>
    <t>B_101805</t>
  </si>
  <si>
    <t>Iron &amp; steel industry</t>
  </si>
  <si>
    <t>B_101800</t>
  </si>
  <si>
    <t>Industry</t>
  </si>
  <si>
    <t>B_101700</t>
  </si>
  <si>
    <t>Final energy consumption</t>
  </si>
  <si>
    <t>B_101608</t>
  </si>
  <si>
    <t>Non-Energy Use in Industry, Transformation and Energy Sectors</t>
  </si>
  <si>
    <t>B_101607</t>
  </si>
  <si>
    <t>Non-Energy Use in Other sectors</t>
  </si>
  <si>
    <t>B_101606</t>
  </si>
  <si>
    <t>Non-Energy Use in Transport sector</t>
  </si>
  <si>
    <t>B_101601</t>
  </si>
  <si>
    <t>of which Non-Energy Use in Chemical/Petrochemical Industry</t>
  </si>
  <si>
    <t>B_101605</t>
  </si>
  <si>
    <t>Non-Energy Use in Industry sector</t>
  </si>
  <si>
    <t>B_101604</t>
  </si>
  <si>
    <t>Non-Energy Use in Energy sector</t>
  </si>
  <si>
    <t>B_101603</t>
  </si>
  <si>
    <t>Non-Energy Use in Transformation sector</t>
  </si>
  <si>
    <t>B_101600</t>
  </si>
  <si>
    <t>Final non-energy consumption</t>
  </si>
  <si>
    <t>B_101500</t>
  </si>
  <si>
    <t>Available for Final Consumption</t>
  </si>
  <si>
    <t>B_101400</t>
  </si>
  <si>
    <t>Distribution losses</t>
  </si>
  <si>
    <t>B_101321</t>
  </si>
  <si>
    <t>Charcoal production plants (Energy)</t>
  </si>
  <si>
    <t>B_101320</t>
  </si>
  <si>
    <t>Non-specified (Energy)</t>
  </si>
  <si>
    <t>B_101319</t>
  </si>
  <si>
    <t>Gas-to-Liquids (GTL) Plants (Energy)</t>
  </si>
  <si>
    <t>B_101318</t>
  </si>
  <si>
    <t>Gasification plants for biogas</t>
  </si>
  <si>
    <t>B_101317</t>
  </si>
  <si>
    <t>Liquefaction (LNG) / regasification plants</t>
  </si>
  <si>
    <t>B_101316</t>
  </si>
  <si>
    <t>Coal Liquefaction Plants</t>
  </si>
  <si>
    <t>B_101315</t>
  </si>
  <si>
    <t>Blast Furnaces</t>
  </si>
  <si>
    <t>B_101314</t>
  </si>
  <si>
    <t>Gas works</t>
  </si>
  <si>
    <t>B_101313</t>
  </si>
  <si>
    <t>BKB / PB Plants</t>
  </si>
  <si>
    <t>B_101312</t>
  </si>
  <si>
    <t>Coke Ovens</t>
  </si>
  <si>
    <t>B_101311</t>
  </si>
  <si>
    <t>Patent fuel plants</t>
  </si>
  <si>
    <t>B_101310</t>
  </si>
  <si>
    <t>Coal Mines</t>
  </si>
  <si>
    <t>B_101308</t>
  </si>
  <si>
    <t>Nuclear industry</t>
  </si>
  <si>
    <t>B_101307</t>
  </si>
  <si>
    <t>Oil refineries (Petroleum Refineries)</t>
  </si>
  <si>
    <t>B_101305</t>
  </si>
  <si>
    <t>Oil and Natural Gas extraction plants</t>
  </si>
  <si>
    <t>15_107037</t>
  </si>
  <si>
    <t>El. Gen. Autoproducer electricity only - Pumped Hydro</t>
  </si>
  <si>
    <t>15_107036</t>
  </si>
  <si>
    <t>El. Gen. Main Activity electricity only - Pumped Hydro</t>
  </si>
  <si>
    <t>17_107301</t>
  </si>
  <si>
    <t>Production in pumped storage power station</t>
  </si>
  <si>
    <t>-</t>
  </si>
  <si>
    <t>17_107302</t>
  </si>
  <si>
    <t>Used for pumped storage</t>
  </si>
  <si>
    <t>B_101302</t>
  </si>
  <si>
    <t>Pumped storage power stations balance (Pumping stations)</t>
  </si>
  <si>
    <t>B_101301</t>
  </si>
  <si>
    <t>Own Use in Electricity, CHP and Heat Plants</t>
  </si>
  <si>
    <t>B_101300</t>
  </si>
  <si>
    <t>Consumption of the energy branch</t>
  </si>
  <si>
    <t>B_101230</t>
  </si>
  <si>
    <t>Petrochemical industry (Returns from petrochem. Industry)</t>
  </si>
  <si>
    <t>B_101220</t>
  </si>
  <si>
    <t>Products transferred</t>
  </si>
  <si>
    <t>B_101210</t>
  </si>
  <si>
    <t>Interproduct tranfers</t>
  </si>
  <si>
    <t>B_101200</t>
  </si>
  <si>
    <t>Exchanges and transfers, returns</t>
  </si>
  <si>
    <t>14_1070711</t>
  </si>
  <si>
    <t>Heat Prod. Autoproducer heat only plants - Solar Thermal</t>
  </si>
  <si>
    <t>15_107089</t>
  </si>
  <si>
    <t>Heat Prod. Autoproducer heat only plants - Other Sources</t>
  </si>
  <si>
    <t>15_107085</t>
  </si>
  <si>
    <t>Heat Prod. Autoproducer heat only plants - Heat from Chemical Sources</t>
  </si>
  <si>
    <t>15_107083</t>
  </si>
  <si>
    <t>Heat Prod. Autoproducer heat only plants - Electric Boilers</t>
  </si>
  <si>
    <t>15_107079</t>
  </si>
  <si>
    <t>Heat Prod. Autoproducer heat only plants - Heat Pumps</t>
  </si>
  <si>
    <t>15_107075</t>
  </si>
  <si>
    <t>Heat Prod. Autoproducer heat only plants - Combustible Fuels</t>
  </si>
  <si>
    <t>15_107067</t>
  </si>
  <si>
    <t>Heat Prod. Autoproducer heat only plants - Geothermal</t>
  </si>
  <si>
    <t>15_107063</t>
  </si>
  <si>
    <t>Heat Prod. Autoproducer heat only plants - Nuclear</t>
  </si>
  <si>
    <t>14_1070691</t>
  </si>
  <si>
    <t>Heat Prod. Main activity heat only plants - Solar Thermal</t>
  </si>
  <si>
    <t>15_107087</t>
  </si>
  <si>
    <t>Heat Prod. Main activity heat only plants - Other Sources</t>
  </si>
  <si>
    <t>15_107081</t>
  </si>
  <si>
    <t>Heat Prod. Main activity heat only plants - Electric Boilers</t>
  </si>
  <si>
    <t>15_107077</t>
  </si>
  <si>
    <t>Heat Prod. Main activity heat only plants - Heat Pumps</t>
  </si>
  <si>
    <t>15_107073</t>
  </si>
  <si>
    <t>Heat Prod. Main activity heat only plants - Combustible Fuels</t>
  </si>
  <si>
    <t>15_107065</t>
  </si>
  <si>
    <t>Heat Prod. Main activity heat only plants - Geothermal</t>
  </si>
  <si>
    <t>15_107061</t>
  </si>
  <si>
    <t>Heat Prod. Main activity heat only plants - Nuclear</t>
  </si>
  <si>
    <t>B_101109</t>
  </si>
  <si>
    <t>District Heating Plants</t>
  </si>
  <si>
    <t>B_101115</t>
  </si>
  <si>
    <t>Charcoal production plants</t>
  </si>
  <si>
    <t>B_101111</t>
  </si>
  <si>
    <t>B_101110</t>
  </si>
  <si>
    <t>Patent Fuel Plants</t>
  </si>
  <si>
    <t>B_101108</t>
  </si>
  <si>
    <t>B_101107</t>
  </si>
  <si>
    <t>B_101106</t>
  </si>
  <si>
    <t>Blast-furnaces</t>
  </si>
  <si>
    <t>B_101104</t>
  </si>
  <si>
    <t>Coke-ovens</t>
  </si>
  <si>
    <t>15_107062</t>
  </si>
  <si>
    <t>Heat Prod. Autoproducer CHP plants - Nuclear</t>
  </si>
  <si>
    <t>15_107060</t>
  </si>
  <si>
    <t>Heat Prod. Main Activity CHP plants - Nuclear</t>
  </si>
  <si>
    <t>15_107033</t>
  </si>
  <si>
    <t>El. Gen. Autoproducer CHP plants - Nuclear</t>
  </si>
  <si>
    <t>15_107032</t>
  </si>
  <si>
    <t>El. Gen. Autoproducer electricity only - Nuclear</t>
  </si>
  <si>
    <t>15_107031</t>
  </si>
  <si>
    <t>El. Gen. Main Activity CHP plants - Nuclear</t>
  </si>
  <si>
    <t>15_107030</t>
  </si>
  <si>
    <t>El. Gen. Main Activity electricity only - Nuclear</t>
  </si>
  <si>
    <t>B_101102</t>
  </si>
  <si>
    <t>Nuclear power stations</t>
  </si>
  <si>
    <t>14_1070701</t>
  </si>
  <si>
    <t>Heat Prod. Autoproducer CHP plants - Solar Thermal</t>
  </si>
  <si>
    <t>15_107088</t>
  </si>
  <si>
    <t>Heat Prod. Autoproducer CHP plants - Other Sources</t>
  </si>
  <si>
    <t>15_107084</t>
  </si>
  <si>
    <t>Heat Prod. Autoproducer CHP plants - Heat from Chemical Sources</t>
  </si>
  <si>
    <t>15_107082</t>
  </si>
  <si>
    <t>Heat Prod. Autoproducer CHP plants - Electric Boilers</t>
  </si>
  <si>
    <t>15_107078</t>
  </si>
  <si>
    <t>Heat Prod. Autoproducer CHP plants - Heat Pumps</t>
  </si>
  <si>
    <t>15_107074</t>
  </si>
  <si>
    <t>Heat Prod. Autoproducer CHP plants - Combustible Fuels</t>
  </si>
  <si>
    <t>15_107066</t>
  </si>
  <si>
    <t>Heat Prod. Autoproducer CHP plants - Geothermal</t>
  </si>
  <si>
    <t>14_1070433</t>
  </si>
  <si>
    <t>El. Gen. Autoproducer CHP plants - Solar Thermal</t>
  </si>
  <si>
    <t>15_107057</t>
  </si>
  <si>
    <t>El. Gen. Autoproducer CHP plants - Other Sources</t>
  </si>
  <si>
    <t>15_107053</t>
  </si>
  <si>
    <t>El. Gen. Autoproducer CHP plants - Heat from Chemical Sources</t>
  </si>
  <si>
    <t>15_107051</t>
  </si>
  <si>
    <t>El. Gen. Autoproducer CHP plants - Combustible Fuels</t>
  </si>
  <si>
    <t>15_107041</t>
  </si>
  <si>
    <t>El. Gen. Autoproducer CHP plants - Geothermal</t>
  </si>
  <si>
    <t>14_1070432</t>
  </si>
  <si>
    <t>El. Gen. Autoproducer electricity only - Solar Thermal</t>
  </si>
  <si>
    <t>15_107056</t>
  </si>
  <si>
    <t>El. Gen. Autoproducer electricity only - Other Sources</t>
  </si>
  <si>
    <t>15_107052</t>
  </si>
  <si>
    <t>El. Gen. Autoproducer electricity only - Heat from Chemical Sources</t>
  </si>
  <si>
    <t>15_107050</t>
  </si>
  <si>
    <t>El. Gen. Autoproducer electricity only - Combustible Fuels</t>
  </si>
  <si>
    <t>15_107040</t>
  </si>
  <si>
    <t>El. Gen. Autoproducer electricity only - Geothermal</t>
  </si>
  <si>
    <t>B_101122</t>
  </si>
  <si>
    <t>Autoproducer Conventional Thermal Power Stations</t>
  </si>
  <si>
    <t>14_1070681</t>
  </si>
  <si>
    <t>Heat Prod. Main activity CHP plants - Solar Thermal</t>
  </si>
  <si>
    <t>15_107086</t>
  </si>
  <si>
    <t>Heat Prod. Main activity CHP plants - Other Sources</t>
  </si>
  <si>
    <t>15_107080</t>
  </si>
  <si>
    <t>Heat Prod. Main activity CHP plants - Electric Boilers</t>
  </si>
  <si>
    <t>15_107076</t>
  </si>
  <si>
    <t>Heat Prod. Main activity CHP plants - Heat Pumps</t>
  </si>
  <si>
    <t>15_107072</t>
  </si>
  <si>
    <t>Heat Prod. Main activity CHP plants - Combustible Fuels</t>
  </si>
  <si>
    <t>15_107064</t>
  </si>
  <si>
    <t>Heat Prod. Main activity CHP plants - Geothermal</t>
  </si>
  <si>
    <t>14_1070423</t>
  </si>
  <si>
    <t>El. Gen. Main activity CHP plants - Solar Thermal</t>
  </si>
  <si>
    <t>15_107055</t>
  </si>
  <si>
    <t>El. Gen. Main activity CHP plants - Other Sources</t>
  </si>
  <si>
    <t>15_107049</t>
  </si>
  <si>
    <t>El. Gen. Main activity CHP plants - Combustible Fuels</t>
  </si>
  <si>
    <t>15_107039</t>
  </si>
  <si>
    <t>El. Gen. Main activity CHP plants - Geothermal</t>
  </si>
  <si>
    <t>14_1070422</t>
  </si>
  <si>
    <t>El. Gen. Main activity electricity only - Solar Thermal</t>
  </si>
  <si>
    <t>15_107054</t>
  </si>
  <si>
    <t>El. Gen. Main activity electricity only - Other Sources</t>
  </si>
  <si>
    <t>15_107048</t>
  </si>
  <si>
    <t>El. Gen. Main activity electricity only - Combustible Fuels</t>
  </si>
  <si>
    <t>15_107038</t>
  </si>
  <si>
    <t>El. Gen. Main activity electricity only - Geothermal</t>
  </si>
  <si>
    <t>B_101121</t>
  </si>
  <si>
    <t>Main Activity Producer Conventional Thermal Power Stations</t>
  </si>
  <si>
    <t>B_101101</t>
  </si>
  <si>
    <t>Conventional Thermal Power Stations</t>
  </si>
  <si>
    <t>B_101100</t>
  </si>
  <si>
    <t>Transformation output</t>
  </si>
  <si>
    <t>B_101020</t>
  </si>
  <si>
    <t>Non-specified Transformation Input</t>
  </si>
  <si>
    <t>B_101016</t>
  </si>
  <si>
    <t>Gas-to-Liquids (GTL) Plants (transformation)</t>
  </si>
  <si>
    <t>B_101015</t>
  </si>
  <si>
    <t>Charcoal production plants (transformation)</t>
  </si>
  <si>
    <t>B_101013</t>
  </si>
  <si>
    <t>For Blended Natural Gas</t>
  </si>
  <si>
    <t>B_101012</t>
  </si>
  <si>
    <t>B_101011</t>
  </si>
  <si>
    <t>B_101010</t>
  </si>
  <si>
    <t>B_101323</t>
  </si>
  <si>
    <t>Used for electric boilers</t>
  </si>
  <si>
    <t>B_101322</t>
  </si>
  <si>
    <t>Used for heat pumps</t>
  </si>
  <si>
    <t>B_101039</t>
  </si>
  <si>
    <t>Autoproducer Heat Only Plants</t>
  </si>
  <si>
    <t>B_101038</t>
  </si>
  <si>
    <t>Main Activity Producer Heat Only Plants</t>
  </si>
  <si>
    <t>B_101009</t>
  </si>
  <si>
    <t>District heating plants</t>
  </si>
  <si>
    <t>B_101008</t>
  </si>
  <si>
    <t>B_101007</t>
  </si>
  <si>
    <t>B_101006</t>
  </si>
  <si>
    <t>B_101004</t>
  </si>
  <si>
    <t>B_101002</t>
  </si>
  <si>
    <t>Nuclear Power Stations</t>
  </si>
  <si>
    <t>B_101017</t>
  </si>
  <si>
    <t>Used for electricity generation</t>
  </si>
  <si>
    <t>B_101035</t>
  </si>
  <si>
    <t>Autoproducer CHP Plants</t>
  </si>
  <si>
    <t>B_101034</t>
  </si>
  <si>
    <t>Autoproducer Electricity Plants</t>
  </si>
  <si>
    <t>B_101022</t>
  </si>
  <si>
    <t>B_101032</t>
  </si>
  <si>
    <t>Main Activity Producer CHP Plants</t>
  </si>
  <si>
    <t>B_101031</t>
  </si>
  <si>
    <t>Main Activity Producer Electricity Plants</t>
  </si>
  <si>
    <t>B_101021</t>
  </si>
  <si>
    <t>B_101001</t>
  </si>
  <si>
    <t>B_101000</t>
  </si>
  <si>
    <t>Transformation input</t>
  </si>
  <si>
    <t>B_100900</t>
  </si>
  <si>
    <t>Gross inland consumption</t>
  </si>
  <si>
    <t>B_100112</t>
  </si>
  <si>
    <t>Direct use</t>
  </si>
  <si>
    <t>B_100800</t>
  </si>
  <si>
    <t>Bunkers</t>
  </si>
  <si>
    <t>B_100500</t>
  </si>
  <si>
    <t>B_100400</t>
  </si>
  <si>
    <t>Stock changes</t>
  </si>
  <si>
    <t>B_100300</t>
  </si>
  <si>
    <t>B_100210</t>
  </si>
  <si>
    <t>Recycled products</t>
  </si>
  <si>
    <t>B_150204</t>
  </si>
  <si>
    <t>of which From Coal</t>
  </si>
  <si>
    <t>B_150203</t>
  </si>
  <si>
    <t>of which From Renewables</t>
  </si>
  <si>
    <t>B_150202</t>
  </si>
  <si>
    <t>of which From Natural Gas</t>
  </si>
  <si>
    <t>B_150201</t>
  </si>
  <si>
    <t>of which From Oil Products</t>
  </si>
  <si>
    <t>B_100200</t>
  </si>
  <si>
    <t>From other sources (Recovered products)</t>
  </si>
  <si>
    <t>B_100110</t>
  </si>
  <si>
    <t>Primary production receipt</t>
  </si>
  <si>
    <t>B_100100</t>
  </si>
  <si>
    <t>Derived heat</t>
  </si>
  <si>
    <t>Nuclear heat</t>
  </si>
  <si>
    <t>Municial wastes (non-ren.)</t>
  </si>
  <si>
    <t>Industrial wastes</t>
  </si>
  <si>
    <t>Wastes (non ren.)</t>
  </si>
  <si>
    <t>Geo-thermal</t>
  </si>
  <si>
    <t>Other liquid biofuels</t>
  </si>
  <si>
    <t>Bio jet kerosene</t>
  </si>
  <si>
    <t>Biodiesel</t>
  </si>
  <si>
    <t>Bio gasoline</t>
  </si>
  <si>
    <t>Municipal wastes (renew.)</t>
  </si>
  <si>
    <t>Biogas (all)</t>
  </si>
  <si>
    <t>Charcoal</t>
  </si>
  <si>
    <t>Solid biomass</t>
  </si>
  <si>
    <t>Solar PV</t>
  </si>
  <si>
    <t>Solar thermal</t>
  </si>
  <si>
    <t>Tide, wave and ocean</t>
  </si>
  <si>
    <t>Wind power</t>
  </si>
  <si>
    <t>Hydro power</t>
  </si>
  <si>
    <t>Total Renewables</t>
  </si>
  <si>
    <t>Other recovered gas</t>
  </si>
  <si>
    <t>Gasworks gas</t>
  </si>
  <si>
    <t xml:space="preserve">Coke oven gas </t>
  </si>
  <si>
    <t>Gas</t>
  </si>
  <si>
    <t>Other Products</t>
  </si>
  <si>
    <t>Paraffin Waxes</t>
  </si>
  <si>
    <t>Petroleum Coke</t>
  </si>
  <si>
    <t>Bitumen</t>
  </si>
  <si>
    <t>Lubricants</t>
  </si>
  <si>
    <t>White spirit and SBP</t>
  </si>
  <si>
    <t>Fuel Oil</t>
  </si>
  <si>
    <t>Gas/Diesel Oil (w/o bio)</t>
  </si>
  <si>
    <t>Other Kerosene</t>
  </si>
  <si>
    <t>Kerosene Type Jet Fuel</t>
  </si>
  <si>
    <t>Gasoline Type Jet Fuel</t>
  </si>
  <si>
    <t>Aviation Gasoline</t>
  </si>
  <si>
    <t>Motor Gasoline (w/o bio)</t>
  </si>
  <si>
    <t>Ethane</t>
  </si>
  <si>
    <t>Other Hydrocarb. (w/o bio)</t>
  </si>
  <si>
    <t>Additives / Oxygenates</t>
  </si>
  <si>
    <t>Refinery Feedstocks</t>
  </si>
  <si>
    <t>Natural Gas Liguids</t>
  </si>
  <si>
    <t>Oil (total)</t>
  </si>
  <si>
    <t>Oil shale &amp; oil sands</t>
  </si>
  <si>
    <t>Peat products</t>
  </si>
  <si>
    <t>BKB</t>
  </si>
  <si>
    <t>Coal tar</t>
  </si>
  <si>
    <t>Gas coke</t>
  </si>
  <si>
    <t>Coke oven coke</t>
  </si>
  <si>
    <t>Patent Fuels</t>
  </si>
  <si>
    <t>Lignite / Brown Coal</t>
  </si>
  <si>
    <t>Sub-bituminous coal</t>
  </si>
  <si>
    <t>Other bituminous coal</t>
  </si>
  <si>
    <t>Coking coal</t>
  </si>
  <si>
    <t>Anthracite</t>
  </si>
  <si>
    <t>Solid fuels</t>
  </si>
  <si>
    <t>Total all products</t>
  </si>
  <si>
    <t>Norway</t>
  </si>
  <si>
    <t>ktoe</t>
  </si>
  <si>
    <t>3270A</t>
  </si>
  <si>
    <t>0000</t>
  </si>
  <si>
    <t>WP_CCS</t>
  </si>
  <si>
    <t>WOOD_WASTE</t>
  </si>
  <si>
    <t>WOOD_PELLETS</t>
  </si>
  <si>
    <t>WOOD_CPH</t>
  </si>
  <si>
    <t>WOOD</t>
  </si>
  <si>
    <t>STRAW_CPH</t>
  </si>
  <si>
    <t>STRAW</t>
  </si>
  <si>
    <t>SHALE</t>
  </si>
  <si>
    <t>PEAT</t>
  </si>
  <si>
    <t>ORIMULSION</t>
  </si>
  <si>
    <t>NUCLEAR</t>
  </si>
  <si>
    <t>NG_CCS</t>
  </si>
  <si>
    <t>NAT_GAS</t>
  </si>
  <si>
    <t>MUNI_WASTE_CPH</t>
  </si>
  <si>
    <t>MUNI_WASTE</t>
  </si>
  <si>
    <t>LIGNITE</t>
  </si>
  <si>
    <t>LIGHTOIL</t>
  </si>
  <si>
    <t>GEO_WOOD</t>
  </si>
  <si>
    <t>FUELOIL</t>
  </si>
  <si>
    <t>COAL_CCS</t>
  </si>
  <si>
    <t>COAL</t>
  </si>
  <si>
    <t>BIOOIL</t>
  </si>
  <si>
    <t>BIOGAS_net</t>
  </si>
  <si>
    <t>BIOGAS_EC_net</t>
  </si>
  <si>
    <t>BIOGAS_EC</t>
  </si>
  <si>
    <t>BIOGAS</t>
  </si>
  <si>
    <t>BIO_PEAKgas</t>
  </si>
  <si>
    <t>BIO_PEAK</t>
  </si>
  <si>
    <t>DKK2015/GJ</t>
  </si>
  <si>
    <t>Euro2015/GJ</t>
  </si>
  <si>
    <t>2050</t>
  </si>
  <si>
    <t>2040</t>
  </si>
  <si>
    <t>2030</t>
  </si>
  <si>
    <t>2020</t>
  </si>
  <si>
    <t>Row Labels</t>
  </si>
  <si>
    <t>NORWAY</t>
  </si>
  <si>
    <t>NORDICS</t>
  </si>
  <si>
    <t>Column Labels</t>
  </si>
  <si>
    <t>Average of Price</t>
  </si>
  <si>
    <t>01_grid-invest_8</t>
  </si>
  <si>
    <t>caseName</t>
  </si>
  <si>
    <t>01_grid-invest_11</t>
  </si>
  <si>
    <t>DKK 2015</t>
  </si>
  <si>
    <t>Euro 2015</t>
  </si>
  <si>
    <t>Source Official DTU - P. E. Grohnheit, DTU Management Engineering, 1999-2016, updated 05-02-2016</t>
  </si>
  <si>
    <t>Conversion</t>
  </si>
  <si>
    <t>$offtext</t>
  </si>
  <si>
    <t>Nat GAS</t>
  </si>
  <si>
    <t>€/MWh</t>
  </si>
  <si>
    <t xml:space="preserve"> €/MWh</t>
  </si>
  <si>
    <t>total - IEA</t>
  </si>
  <si>
    <t>total</t>
  </si>
  <si>
    <t>refining</t>
  </si>
  <si>
    <t>Price difference to IEA</t>
  </si>
  <si>
    <t>€ vs DKK</t>
  </si>
  <si>
    <t>Wood Pellets</t>
  </si>
  <si>
    <t>Wood Chips</t>
  </si>
  <si>
    <t xml:space="preserve"> € vs $</t>
  </si>
  <si>
    <t>High</t>
  </si>
  <si>
    <t>Med</t>
  </si>
  <si>
    <t>Low</t>
  </si>
  <si>
    <t>Year</t>
  </si>
  <si>
    <t xml:space="preserve">GJ/Mbtu </t>
  </si>
  <si>
    <t>GJ/tønde</t>
  </si>
  <si>
    <t>http://energinet.dk/DA/El/Udvikling-af-elsystemet/Analyseforudsaetninger/Sider/Baggrundsnotater.aspx</t>
  </si>
  <si>
    <t>BIOMASS PRICES</t>
  </si>
  <si>
    <t>OECD STEAM COAL ($/tonne)</t>
  </si>
  <si>
    <t>NATGAS ($/Mbtu)</t>
  </si>
  <si>
    <t>CRUDE ($/barrel)</t>
  </si>
  <si>
    <t>IEA WEO 2014 (2013 prices)</t>
  </si>
  <si>
    <t>Fuel Price change calculator</t>
  </si>
  <si>
    <t>NATGAS($/Mbtu)</t>
  </si>
  <si>
    <t>CRUDE($/barrel)</t>
  </si>
  <si>
    <t>IEA WEO 2013 (2012 prices)</t>
  </si>
  <si>
    <t>2040/2035</t>
  </si>
  <si>
    <t>2013/2012</t>
  </si>
  <si>
    <t>450 Scenario</t>
  </si>
  <si>
    <t>Current Policy</t>
  </si>
  <si>
    <t>New Policy</t>
  </si>
  <si>
    <t>2014.SE4</t>
  </si>
  <si>
    <t>2013.SE4</t>
  </si>
  <si>
    <t>2012.SE4</t>
  </si>
  <si>
    <t>2011.SE4</t>
  </si>
  <si>
    <t>2010.SE4</t>
  </si>
  <si>
    <t>2014.SE3</t>
  </si>
  <si>
    <t>2013.SE3</t>
  </si>
  <si>
    <t>2012.SE3</t>
  </si>
  <si>
    <t>2011.SE3</t>
  </si>
  <si>
    <t>2010.SE3</t>
  </si>
  <si>
    <t>2014.SE2</t>
  </si>
  <si>
    <t>2013.SE2</t>
  </si>
  <si>
    <t>2012.SE2</t>
  </si>
  <si>
    <t>2011.SE2</t>
  </si>
  <si>
    <t>2010.SE2</t>
  </si>
  <si>
    <t>2014.SE1</t>
  </si>
  <si>
    <t>2013.SE1</t>
  </si>
  <si>
    <t>2012.SE1</t>
  </si>
  <si>
    <t>2011.SE1</t>
  </si>
  <si>
    <t>2010.SE1</t>
  </si>
  <si>
    <t>2014.DK</t>
  </si>
  <si>
    <t>2014.FINLAND</t>
  </si>
  <si>
    <t>2014.UK</t>
  </si>
  <si>
    <t>2013.UK</t>
  </si>
  <si>
    <t>2012.UK</t>
  </si>
  <si>
    <t>2014.Ger</t>
  </si>
  <si>
    <t>2013.Ger</t>
  </si>
  <si>
    <t>2012.Ger</t>
  </si>
  <si>
    <t>2011.Ger</t>
  </si>
  <si>
    <t>2010.Ger</t>
  </si>
  <si>
    <t>NOTES FOR LATER</t>
  </si>
  <si>
    <t>$ontext</t>
  </si>
  <si>
    <t>FUELPRICE(YYY,AAA,FFF)=FUELPRICE(YYY,AAA,FFF)/3.6;</t>
  </si>
  <si>
    <t>*translate prices into €/Gj from €/MWh</t>
  </si>
  <si>
    <t>FUELPRICE(YYY,AAA,FFF)$((YYY.val &gt; 2014) and (FUELPRICE(YYY,AAA,FFF) EQ 0))=FUELPRICE(YYY,'DK1_large',FFF);</t>
  </si>
  <si>
    <t>FUELPRICE('2012',AAA,FFF)$(FUELPRICE('2012',AAA,FFF) EQ 0)=FUELPRICE('2012','DK1_large',FFF);</t>
  </si>
  <si>
    <t>* the values for  'DK1_large'  are used for all A:</t>
  </si>
  <si>
    <t>* Unless other values are assigned in the TABLE FUELPRICE above,</t>
  </si>
  <si>
    <t>FUELPRICE(YYY,AAA,FFF) = SUM(RRR, FUELPRICE1(YYY,RRR,FFF)*RRRAAA(RRR,AAA));</t>
  </si>
  <si>
    <t xml:space="preserve">PARAMETER FUELPRICE(YYY,AAA,FFF); </t>
  </si>
  <si>
    <t>;</t>
  </si>
  <si>
    <t>2030.DK1</t>
  </si>
  <si>
    <t>2029.DK1</t>
  </si>
  <si>
    <t>2028.DK1</t>
  </si>
  <si>
    <t>2027.DK1</t>
  </si>
  <si>
    <t>2026.DK1</t>
  </si>
  <si>
    <t>2025.DK1</t>
  </si>
  <si>
    <t>2024.DK1</t>
  </si>
  <si>
    <t>2023.DK1</t>
  </si>
  <si>
    <t>2022.DK1</t>
  </si>
  <si>
    <t>2021.DK1</t>
  </si>
  <si>
    <t>2020.DK1</t>
  </si>
  <si>
    <t>2019.DK1</t>
  </si>
  <si>
    <t>2018.DK1</t>
  </si>
  <si>
    <t>2017.DK1</t>
  </si>
  <si>
    <t>2016.DK1</t>
  </si>
  <si>
    <t>2015.DK1</t>
  </si>
  <si>
    <t>WASTEHEAT</t>
  </si>
  <si>
    <t>OTHERGAS</t>
  </si>
  <si>
    <t>WOODPELLETS</t>
  </si>
  <si>
    <t>DRYWOODCHIPS</t>
  </si>
  <si>
    <t>WOODCHIPS</t>
  </si>
  <si>
    <t>WOODWASTE</t>
  </si>
  <si>
    <t>RECYCLEDWOOD</t>
  </si>
  <si>
    <t>MUNIWASTE</t>
  </si>
  <si>
    <t>FUELOIL_EXETS</t>
  </si>
  <si>
    <t>COAL_EXETS</t>
  </si>
  <si>
    <t>NATGAS_EXETS</t>
  </si>
  <si>
    <t>LNG</t>
  </si>
  <si>
    <t>HEAVYFUELOIL</t>
  </si>
  <si>
    <t>NATGAS</t>
  </si>
  <si>
    <t>*</t>
  </si>
  <si>
    <t>* FUTURE PRICE DEVELOPMENT - SAME PRICE FOR ALL AREAS</t>
  </si>
  <si>
    <t>2012.EE</t>
  </si>
  <si>
    <t>*/</t>
  </si>
  <si>
    <t>/*</t>
  </si>
  <si>
    <t>DUMMY</t>
  </si>
  <si>
    <t>HYDROGEN</t>
  </si>
  <si>
    <t>2012.NO5</t>
  </si>
  <si>
    <t>2012.NO4</t>
  </si>
  <si>
    <t>2012.NO3</t>
  </si>
  <si>
    <t>2012.NO2</t>
  </si>
  <si>
    <t>2012.Fin</t>
  </si>
  <si>
    <t>2012.Ne</t>
  </si>
  <si>
    <t>2012.DK2</t>
  </si>
  <si>
    <t>***REGION SPESIFIC PRICES:             (If entered value is zero, the price will equal DK1A)</t>
  </si>
  <si>
    <t>Units</t>
  </si>
  <si>
    <t>2012.DK1</t>
  </si>
  <si>
    <t>FDN2O</t>
  </si>
  <si>
    <t>FDSO2</t>
  </si>
  <si>
    <t>FDCO2</t>
  </si>
  <si>
    <t>FDNB</t>
  </si>
  <si>
    <t>FDACRONYM</t>
  </si>
  <si>
    <t>Fuel oil according to Thomson reuters</t>
  </si>
  <si>
    <t>** base year prices:</t>
  </si>
  <si>
    <t>TABLE FUELPRICE1(YYY,RRR,FFF)  'Fuel prices (Money/MWh)'</t>
  </si>
  <si>
    <t>* Units: EUR2012/GJ</t>
  </si>
  <si>
    <t>DKK 2012</t>
  </si>
  <si>
    <t>Euro 2012</t>
  </si>
  <si>
    <t>* UK gas - national balancing point: ~21£/MWh, 1£ = 0.81087 €</t>
  </si>
  <si>
    <t>SRMC with CO2</t>
  </si>
  <si>
    <t>Fuel price (€/MWh)</t>
  </si>
  <si>
    <t>Fuel &amp; CO2-cost/GJ</t>
  </si>
  <si>
    <t>CO2-cost (€/GJ)</t>
  </si>
  <si>
    <t>EUR12/t CO2</t>
  </si>
  <si>
    <t>Fuel price (€/GJ)</t>
  </si>
  <si>
    <t>* Data source Finland: http://www.stat.fi/til/ehi/2014/02/ehi_2014_02_2014-09-18_tie_001_en.html (CO2 tax not included here)</t>
  </si>
  <si>
    <t>SRMC Calculator:</t>
  </si>
  <si>
    <t>* Woodwaste: assumption made according to observed prices in Finland</t>
  </si>
  <si>
    <t>MKr12</t>
  </si>
  <si>
    <t>Import technology - Coal</t>
  </si>
  <si>
    <t>IMPCOA</t>
  </si>
  <si>
    <t>* Straw: same as wood</t>
  </si>
  <si>
    <t>Import technology - Wood pellets</t>
  </si>
  <si>
    <t>IMPWPE</t>
  </si>
  <si>
    <t>* Lignite: half of the price of coal, orimulsion and peat: same as lignite</t>
  </si>
  <si>
    <t>Import technology - Hydro</t>
  </si>
  <si>
    <t>IMPHYD</t>
  </si>
  <si>
    <t>* Oil, gas and coal: Data from Reuters, UK energy and climate, and projections from IEA</t>
  </si>
  <si>
    <t>From 2012 to 2015</t>
  </si>
  <si>
    <t>Import technology - Wind</t>
  </si>
  <si>
    <t>IMPWIN</t>
  </si>
  <si>
    <t>* Nuclear and wood: data from NVE report</t>
  </si>
  <si>
    <t>IMPBGA</t>
  </si>
  <si>
    <t xml:space="preserve">* Data Source Germany: http://www.bafa.de/bafa/de/energie/steinkohle/drittlandskohlepreis/index.html and http://www.bafa.de/bafa/de/energie/erdgas/index.html
</t>
  </si>
  <si>
    <t>MKr10</t>
  </si>
  <si>
    <t>MKr15</t>
  </si>
  <si>
    <t>G_CUREX</t>
  </si>
  <si>
    <t>Import technology - Heavy Fuel Oil</t>
  </si>
  <si>
    <t>IMPHFO</t>
  </si>
  <si>
    <t>* Lignite assumed 50 % of coal</t>
  </si>
  <si>
    <t>Import technology - Wood chips</t>
  </si>
  <si>
    <t>IMPWCH</t>
  </si>
  <si>
    <t>*SWEDEN - http://www.energimyndigheten.se/contentassets/5b5e7fbcd0f249458f53cbd82675aef1/tidserier_tradbransle_och_torvpriser_master_webben-ver01.xls</t>
  </si>
  <si>
    <t>IMPWST</t>
  </si>
  <si>
    <t>Import technology - Natural Gas</t>
  </si>
  <si>
    <t>IMPNGA</t>
  </si>
  <si>
    <t>MKr11</t>
  </si>
  <si>
    <t>Import technology - Diesel</t>
  </si>
  <si>
    <t>IMPDSL</t>
  </si>
  <si>
    <t>* PARAMETER FUELPRICE contains average fuel prices through the year.</t>
  </si>
  <si>
    <t>DKK2012/GJ</t>
  </si>
  <si>
    <t>From SysSettings</t>
  </si>
  <si>
    <t>*------------------------------------------------------------------------------</t>
  </si>
  <si>
    <t>* This file is part of the Balmorel model, version 2.11 Alpha (April 2004).</t>
  </si>
  <si>
    <t>* File Fuelp.incnat</t>
  </si>
  <si>
    <t>SOURCE: TIMES-DK</t>
  </si>
  <si>
    <t>MSEK14</t>
  </si>
  <si>
    <t>SUPKRB</t>
  </si>
  <si>
    <t>Supply Bio Kerosene</t>
  </si>
  <si>
    <t>SUPSNG</t>
  </si>
  <si>
    <t>SUPDSB</t>
  </si>
  <si>
    <t>SUPGSB</t>
  </si>
  <si>
    <t>SUPMOB</t>
  </si>
  <si>
    <t>Supply Bio Synt. Nat. Gas</t>
  </si>
  <si>
    <t>Supply Biodiesel</t>
  </si>
  <si>
    <t>Supply Bioethanol</t>
  </si>
  <si>
    <t>Supply Bio Methanol</t>
  </si>
  <si>
    <t>SUPCRD</t>
  </si>
  <si>
    <t>Input~2011</t>
  </si>
  <si>
    <t>Input~2012</t>
  </si>
  <si>
    <t>Input~2013</t>
  </si>
  <si>
    <t>Input~2014</t>
  </si>
  <si>
    <t>DAct~FI_T</t>
  </si>
  <si>
    <t>Old Refinery structure</t>
  </si>
  <si>
    <t>New refinery structure based on EUROstats and danish refinary data to determine overall efficiency</t>
  </si>
  <si>
    <t>Share~UP~2018</t>
  </si>
  <si>
    <t>Input~2015</t>
  </si>
  <si>
    <t>Input~2018</t>
  </si>
  <si>
    <t>EFF~2018</t>
  </si>
  <si>
    <t>Input CRD share / Base year</t>
  </si>
  <si>
    <t>Input CRD share / 2012</t>
  </si>
  <si>
    <t>Input CRD share from 2015</t>
  </si>
  <si>
    <t>Crude level 2010 (PJ)</t>
  </si>
  <si>
    <t>Crude max. Flow level from 2015</t>
  </si>
  <si>
    <t>OTH</t>
  </si>
  <si>
    <t>SUPLVN</t>
  </si>
  <si>
    <t>Pja</t>
  </si>
  <si>
    <t>kg CO2</t>
  </si>
  <si>
    <t>GJ/toe</t>
  </si>
  <si>
    <t>https://www.ssb.no/en/forskning/discussion-papers/_attachment/225118</t>
  </si>
  <si>
    <t>Based on NO studies on oil and gas extractions</t>
  </si>
  <si>
    <t>Input~2020</t>
  </si>
  <si>
    <t>\I:</t>
  </si>
  <si>
    <t>Triple the price of kerosene</t>
  </si>
  <si>
    <t>Triple the price natural gas</t>
  </si>
  <si>
    <t>1.5 time the cost of biofuels</t>
  </si>
  <si>
    <t>MKr19</t>
  </si>
  <si>
    <t>Eas CIF værdier</t>
  </si>
  <si>
    <t>Inflation correction</t>
  </si>
  <si>
    <t>TOTCO2</t>
  </si>
  <si>
    <t>Total CO2 emissions</t>
  </si>
  <si>
    <t>FT-MINNGA2</t>
  </si>
  <si>
    <t>FT-MINCRD2</t>
  </si>
  <si>
    <t>Assuming electricity consumption in Oil and gas production can become 100 % electricified would result in a 50% less fuel consumption compared to Natural gas</t>
  </si>
  <si>
    <t>Start</t>
  </si>
  <si>
    <t>Figur 3.10</t>
  </si>
  <si>
    <t>Produksjon og anslått framtidig produksjon av petroleum på norsk sokkel</t>
  </si>
  <si>
    <t xml:space="preserve">Mill. Sm3 o.e </t>
  </si>
  <si>
    <t>MtOe</t>
  </si>
  <si>
    <t>Old data on Oil production</t>
  </si>
  <si>
    <t>Old data on Gas production</t>
  </si>
  <si>
    <t>FT-MINNGA3</t>
  </si>
  <si>
    <t>FT-MINCRD3</t>
  </si>
  <si>
    <t xml:space="preserve">Values are cabilrated with 5% </t>
  </si>
  <si>
    <t>Oil and oil products (excl. bio)</t>
  </si>
  <si>
    <t>Biofuels</t>
  </si>
  <si>
    <t>District heating</t>
  </si>
  <si>
    <t>Total</t>
  </si>
  <si>
    <t>Crude petroleum and natural gas production</t>
  </si>
  <si>
    <t>Oil refineries</t>
  </si>
  <si>
    <t>Total supply</t>
  </si>
  <si>
    <t>Tabell 1: Own use of energy (PJ) in the supply sector according to Staticstics Norway (SSB). 2019 numbers.</t>
  </si>
  <si>
    <t>FX</t>
  </si>
  <si>
    <t>Other non energy related commodities</t>
  </si>
  <si>
    <t>Refinery Azerbaijan 1</t>
  </si>
  <si>
    <t>SYN</t>
  </si>
  <si>
    <t>RE syn gas</t>
  </si>
  <si>
    <t>HETCP</t>
  </si>
  <si>
    <t>HETDP</t>
  </si>
  <si>
    <t>FIXOM</t>
  </si>
  <si>
    <t>CAP2ACT</t>
  </si>
  <si>
    <t>AFA</t>
  </si>
  <si>
    <t>LIFE</t>
  </si>
  <si>
    <t>ELCHIG</t>
  </si>
  <si>
    <t>Power transmission line medium voltage</t>
  </si>
  <si>
    <t>ELCMID</t>
  </si>
  <si>
    <t>Power transmission line low voltage</t>
  </si>
  <si>
    <t>ELCLOW</t>
  </si>
  <si>
    <t>Electricity high voltage</t>
  </si>
  <si>
    <t>Electricity medium voltage</t>
  </si>
  <si>
    <t>Electricity low voltage</t>
  </si>
  <si>
    <t>Gas distribution grid transmission lines</t>
  </si>
  <si>
    <t>NGAT</t>
  </si>
  <si>
    <t>*Source</t>
  </si>
  <si>
    <t>Danish technology catalogue</t>
  </si>
  <si>
    <t>Following national statistics a total power loss results in a convetion loss of</t>
  </si>
  <si>
    <t>Loss according to danish technology catalogue</t>
  </si>
  <si>
    <t>Loss according to Azerbajainian system</t>
  </si>
  <si>
    <t>ELC</t>
  </si>
  <si>
    <t>DAYNITE</t>
  </si>
  <si>
    <t>From Subres files on Transmissions</t>
  </si>
  <si>
    <t/>
  </si>
  <si>
    <t>Fixed O&amp;M Cost</t>
  </si>
  <si>
    <t>MEUR/MW/year</t>
  </si>
  <si>
    <t>NGAD</t>
  </si>
  <si>
    <t>Gas distribution grid distribution lines</t>
  </si>
  <si>
    <t>Gas grid in Transmission lines</t>
  </si>
  <si>
    <t>Gas grid in distribution lines</t>
  </si>
  <si>
    <t>Annual avaiability factor</t>
  </si>
  <si>
    <t>Variable O&amp;M Cost</t>
  </si>
  <si>
    <t>MEUR/PJ</t>
  </si>
  <si>
    <t>MEUR15</t>
  </si>
  <si>
    <t>terajoule</t>
  </si>
  <si>
    <t xml:space="preserve">Total all products </t>
  </si>
  <si>
    <t>Crude oil  (including gas condensate)</t>
  </si>
  <si>
    <t>Refinery feedstocks</t>
  </si>
  <si>
    <t>Petroleum products, total</t>
  </si>
  <si>
    <t>including:</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</si>
  <si>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</si>
  <si>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</si>
  <si>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</si>
  <si>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</si>
  <si>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</si>
  <si>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</si>
  <si>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</si>
  <si>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</si>
  <si>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</si>
  <si>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</si>
  <si>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</si>
  <si>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Fuel oil </t>
  </si>
  <si>
    <t xml:space="preserve">Bitumen </t>
  </si>
  <si>
    <t>Other petroleum products</t>
  </si>
  <si>
    <t>Import</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</si>
  <si>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</si>
  <si>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</si>
  <si>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</si>
  <si>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</si>
  <si>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</si>
  <si>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</si>
  <si>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</si>
  <si>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</si>
  <si>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</si>
  <si>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</si>
  <si>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</si>
  <si>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Blast furnaces</t>
  </si>
  <si>
    <t>Petrochemical plants</t>
  </si>
  <si>
    <t>Other transformation processes</t>
  </si>
  <si>
    <t xml:space="preserve">Energy industries own use </t>
  </si>
  <si>
    <t>Losses</t>
  </si>
  <si>
    <t>Final consumption</t>
  </si>
  <si>
    <t xml:space="preserve">Final energy consumption </t>
  </si>
  <si>
    <t>Mt CO2 from natural gas to power&amp;heat</t>
  </si>
  <si>
    <t xml:space="preserve">Industry and construction </t>
  </si>
  <si>
    <t>Mt CO2 from natural gas to end use</t>
  </si>
  <si>
    <t>Iron and steel</t>
  </si>
  <si>
    <t>Mt CO2 from oil products</t>
  </si>
  <si>
    <t>Chemical and petrochemical</t>
  </si>
  <si>
    <t>Non-ferrous metal</t>
  </si>
  <si>
    <t>Mt CO2e</t>
  </si>
  <si>
    <t>Non-metallic minerals</t>
  </si>
  <si>
    <t>Upstream natural gas consumption, ELC</t>
  </si>
  <si>
    <t>Transport equipment</t>
  </si>
  <si>
    <t>Upstream Oil consumption in refineries, SUP</t>
  </si>
  <si>
    <t>End use natural gas</t>
  </si>
  <si>
    <t>End use Oil products</t>
  </si>
  <si>
    <t>Food and tobacco</t>
  </si>
  <si>
    <t>Total from energy sector</t>
  </si>
  <si>
    <t>Paper, pulp and printing</t>
  </si>
  <si>
    <t>methane leakage</t>
  </si>
  <si>
    <t>Wood and wood products</t>
  </si>
  <si>
    <t>Total from energy sector incl leakage</t>
  </si>
  <si>
    <t>Textile and leather</t>
  </si>
  <si>
    <t>Non-specified</t>
  </si>
  <si>
    <t>https://ourworldindata.org/co2/country/azerbaijan</t>
  </si>
  <si>
    <t xml:space="preserve">Road </t>
  </si>
  <si>
    <t>AGR</t>
  </si>
  <si>
    <t>Buildings</t>
  </si>
  <si>
    <t>Domestic navigation</t>
  </si>
  <si>
    <t>Manufacturing</t>
  </si>
  <si>
    <t>Transport not elsewhere specified</t>
  </si>
  <si>
    <t>Other fields of economy</t>
  </si>
  <si>
    <t>Other fuel combustion</t>
  </si>
  <si>
    <t xml:space="preserve">Agriculture, forestry and fishing </t>
  </si>
  <si>
    <t>Avi/Shipping</t>
  </si>
  <si>
    <t>Commerce and public services</t>
  </si>
  <si>
    <t>LULUCF</t>
  </si>
  <si>
    <t>Households</t>
  </si>
  <si>
    <t>Total GHG emissions</t>
  </si>
  <si>
    <t>Not elsewhere-specified</t>
  </si>
  <si>
    <t>CO2 emissions´ish</t>
  </si>
  <si>
    <t>Non-energy use</t>
  </si>
  <si>
    <t>SUPNOX</t>
  </si>
  <si>
    <t>SUPCH4</t>
  </si>
  <si>
    <t>Supply sector Mehtnae emissions</t>
  </si>
  <si>
    <t>kt CO2e</t>
  </si>
  <si>
    <t>Supply sector NOx emissions</t>
  </si>
  <si>
    <t>Methane emissions</t>
  </si>
  <si>
    <t>Annual tranmission</t>
  </si>
  <si>
    <t>PJ annual flow</t>
  </si>
  <si>
    <t xml:space="preserve">Pipeline </t>
  </si>
  <si>
    <t>Fuel oil - low sulphur</t>
  </si>
  <si>
    <t>Energy balance by products in 2010</t>
  </si>
  <si>
    <t>2.2  Energy balance by products in 2015</t>
  </si>
  <si>
    <t>Diesel fuel (gas oil)</t>
  </si>
  <si>
    <t>Pipeline</t>
  </si>
  <si>
    <t>Comment</t>
  </si>
  <si>
    <t>Emissions diviate from subres strucutre to match historical leakage of methane emissions, assumed to belong dominantly within the gas transmissions system</t>
  </si>
  <si>
    <t>District heating distribution grid Urban lines existing</t>
  </si>
  <si>
    <t>District heating distribution grid Suburban lines existing</t>
  </si>
  <si>
    <t>District heating distribution grid Rural lines existing</t>
  </si>
  <si>
    <t>HETC</t>
  </si>
  <si>
    <t>HETD</t>
  </si>
  <si>
    <t>Heat from district heating system central</t>
  </si>
  <si>
    <t>Heat from district heating system decentral</t>
  </si>
  <si>
    <t>NCAP_AFA</t>
  </si>
  <si>
    <t>CAPACT</t>
  </si>
  <si>
    <r>
      <t>GHG emissions, Gg CO</t>
    </r>
    <r>
      <rPr>
        <b/>
        <vertAlign val="subscript"/>
        <sz val="9"/>
        <rFont val="Arial"/>
        <family val="2"/>
      </rPr>
      <t>2</t>
    </r>
    <r>
      <rPr>
        <b/>
        <sz val="9"/>
        <rFont val="Arial"/>
        <family val="2"/>
        <charset val="1"/>
      </rPr>
      <t xml:space="preserve"> equivalent</t>
    </r>
  </si>
  <si>
    <t>1990</t>
  </si>
  <si>
    <t>1991</t>
  </si>
  <si>
    <t>1992</t>
  </si>
  <si>
    <t>1993</t>
  </si>
  <si>
    <t>1994</t>
  </si>
  <si>
    <t>1995</t>
  </si>
  <si>
    <t>1996</t>
  </si>
  <si>
    <t>1997</t>
  </si>
  <si>
    <t>1998</t>
  </si>
  <si>
    <t>1999</t>
  </si>
  <si>
    <t>2000</t>
  </si>
  <si>
    <t>2001</t>
  </si>
  <si>
    <t>2002</t>
  </si>
  <si>
    <t>2003</t>
  </si>
  <si>
    <t>2004</t>
  </si>
  <si>
    <t>2005</t>
  </si>
  <si>
    <t>2006</t>
  </si>
  <si>
    <t>2007</t>
  </si>
  <si>
    <t>2008</t>
  </si>
  <si>
    <t>2009</t>
  </si>
  <si>
    <t>Summary Total</t>
  </si>
  <si>
    <r>
      <t>CO</t>
    </r>
    <r>
      <rPr>
        <vertAlign val="subscript"/>
        <sz val="9"/>
        <rFont val="Arial"/>
        <family val="2"/>
      </rPr>
      <t>2</t>
    </r>
    <r>
      <rPr>
        <sz val="9"/>
        <rFont val="Arial"/>
        <family val="2"/>
        <charset val="1"/>
      </rPr>
      <t xml:space="preserve"> emissions without LULUCF / LUCF</t>
    </r>
  </si>
  <si>
    <r>
      <t>CO</t>
    </r>
    <r>
      <rPr>
        <vertAlign val="subscript"/>
        <sz val="9"/>
        <rFont val="Arial"/>
        <family val="2"/>
      </rPr>
      <t>2</t>
    </r>
    <r>
      <rPr>
        <sz val="9"/>
        <rFont val="Arial"/>
        <family val="2"/>
        <charset val="1"/>
      </rPr>
      <t xml:space="preserve"> net emissions/removals by LULUCF / LUCF</t>
    </r>
  </si>
  <si>
    <r>
      <t>CO</t>
    </r>
    <r>
      <rPr>
        <vertAlign val="subscript"/>
        <sz val="9"/>
        <rFont val="Arial"/>
        <family val="2"/>
      </rPr>
      <t>2</t>
    </r>
    <r>
      <rPr>
        <sz val="9"/>
        <rFont val="Arial"/>
        <family val="2"/>
        <charset val="1"/>
      </rPr>
      <t xml:space="preserve"> net emissions/removals with LULUCF / LUCF</t>
    </r>
  </si>
  <si>
    <t>GHG emissions without LULUCF / LUCF</t>
  </si>
  <si>
    <t>GHG net emissions/removals by LULUCF / LUCF</t>
  </si>
  <si>
    <t>GHG net emissions/removals with LULUCF / LUCF</t>
  </si>
  <si>
    <t>Breakdown by sub-sectors</t>
  </si>
  <si>
    <t xml:space="preserve">1. Energy </t>
  </si>
  <si>
    <t>1.A.1. Energy industries</t>
  </si>
  <si>
    <t>1.A.2. Manufacturing industries and construction</t>
  </si>
  <si>
    <t>1.A.3. Transport</t>
  </si>
  <si>
    <t>1.A.4. Other sectors</t>
  </si>
  <si>
    <t>1.A.5. Other</t>
  </si>
  <si>
    <t>NO</t>
  </si>
  <si>
    <t>1.B. Fugitive emissions from Fuels</t>
  </si>
  <si>
    <t>2. Industrial Processes</t>
  </si>
  <si>
    <t>2.A. Mineral Products</t>
  </si>
  <si>
    <t>2.B. Chemical Industry</t>
  </si>
  <si>
    <t>2.C. Metal Production</t>
  </si>
  <si>
    <t>2.D. Other Production</t>
  </si>
  <si>
    <t>2.E. Production of Halocarbons and SF6</t>
  </si>
  <si>
    <t>2.F. Consumption of Halocarbons and SF6</t>
  </si>
  <si>
    <t>2.G. Other</t>
  </si>
  <si>
    <t>NA</t>
  </si>
  <si>
    <t>3. Solvents</t>
  </si>
  <si>
    <t xml:space="preserve">4. Agriculture </t>
  </si>
  <si>
    <t>4.A. Enteric Fermentation</t>
  </si>
  <si>
    <t>4.B. Manure Management</t>
  </si>
  <si>
    <t>4.C. Rice Cultivation</t>
  </si>
  <si>
    <t>4.D. Agricultural Soils</t>
  </si>
  <si>
    <t>4.E. Prescribed Burning of Savannas</t>
  </si>
  <si>
    <t>4.F. Field Burning of Agricultural Residues</t>
  </si>
  <si>
    <t>4.G. Other</t>
  </si>
  <si>
    <t>5bis. Land-Use Change and Forestry</t>
  </si>
  <si>
    <t>5bis.A. Changes in Forest and Other Woody Biomass Stocks</t>
  </si>
  <si>
    <t>5bis.B. Forest and Grassland Conversion</t>
  </si>
  <si>
    <t>5bis.C. Abandonment of Managed Lands</t>
  </si>
  <si>
    <t>5bis.D. CO2 Emissions and Removals from Soil</t>
  </si>
  <si>
    <t>5bis.E. Other</t>
  </si>
  <si>
    <t>6. Waste</t>
  </si>
  <si>
    <t>6.A. Solid Waste Disposal on Land</t>
  </si>
  <si>
    <t>6.B. Wastewater Handling</t>
  </si>
  <si>
    <t>6.C. Waste Incineration</t>
  </si>
  <si>
    <t>6.D. Other</t>
  </si>
  <si>
    <t>7. Other</t>
  </si>
  <si>
    <t>Average annual changes, in percent</t>
  </si>
  <si>
    <t>EMISSIONS~SUPCH4~0</t>
  </si>
  <si>
    <t>EMISSIONS~SUPCH4~2019</t>
  </si>
  <si>
    <t>EMISSIONS~SUPCH4~2010</t>
  </si>
  <si>
    <t>2.10  Energy balance by products in 2019</t>
  </si>
  <si>
    <t>FT-GRDELCMID</t>
  </si>
  <si>
    <t>FT-GRDELCLOW</t>
  </si>
  <si>
    <t>FT-GRDHETSPE</t>
  </si>
  <si>
    <t>FT-GRDHETRPE</t>
  </si>
  <si>
    <t>FT-GRDNGAD</t>
  </si>
  <si>
    <t>FT-GRDHETUPE</t>
  </si>
  <si>
    <t>FT-GRDNGAT</t>
  </si>
  <si>
    <t>NCAP_BND</t>
  </si>
  <si>
    <t>NCAP_BND~0</t>
  </si>
  <si>
    <t>HETSP</t>
  </si>
  <si>
    <t>Heat from district heating system Suburban</t>
  </si>
  <si>
    <t>Mining technology - Biomass</t>
  </si>
  <si>
    <t>ACTBND~UP~DE3</t>
  </si>
  <si>
    <t>ACTBND~UP~2015~DE3</t>
  </si>
  <si>
    <t>ACTBND~UP~2020~DE3</t>
  </si>
  <si>
    <t>ACTBND~UP~0~DE3</t>
  </si>
  <si>
    <t>ACTBND~UP~DE2</t>
  </si>
  <si>
    <t>ACTBND~UP~2015~DE2</t>
  </si>
  <si>
    <t>ACTBND~UP~2020~DE2</t>
  </si>
  <si>
    <t>ACTBND~UP~0~DE2</t>
  </si>
  <si>
    <t>ACTBND~UP~DE1</t>
  </si>
  <si>
    <t>ACTBND~UP~2015~DE1</t>
  </si>
  <si>
    <t>ACTBND~UP~2020~DE1</t>
  </si>
  <si>
    <t>ACTBND~UP~0~DE1</t>
  </si>
  <si>
    <t>~FI_T: DE1</t>
  </si>
  <si>
    <t>BNDACT~FX~DE1</t>
  </si>
  <si>
    <t>BNDACT~FX~2015~DE1</t>
  </si>
  <si>
    <t>BNDACT~FX~2019~DE1</t>
  </si>
  <si>
    <t>BNDACT~FX~2020~DE1</t>
  </si>
  <si>
    <t>BNDACT~LO~2025~DE1</t>
  </si>
  <si>
    <t>BNDACT~LO~2030~DE1</t>
  </si>
  <si>
    <t>BNDACT~LO~2035~DE1</t>
  </si>
  <si>
    <t>SREFDE1</t>
  </si>
  <si>
    <t>DE1</t>
  </si>
  <si>
    <t>Share between DE1 and NO2</t>
  </si>
  <si>
    <t>BNDACT~UP~DE1</t>
  </si>
  <si>
    <t>BNDACT~UP~2011~DE1</t>
  </si>
  <si>
    <t>BNDACT~UP~2012~DE1</t>
  </si>
  <si>
    <t>BNDACT~UP~2013~DE1</t>
  </si>
  <si>
    <t>BNDACT~UP~2014~DE1</t>
  </si>
  <si>
    <t>BNDACT~UP~2015~DE1</t>
  </si>
  <si>
    <t>Crude level 2010 (PJ) DE1</t>
  </si>
  <si>
    <t>2012.DE1</t>
  </si>
  <si>
    <t>Not in reference scenario!!</t>
  </si>
  <si>
    <t>!! Source: https://tyndp.entsoe.eu/tyndp2018/projects/projects/126</t>
  </si>
  <si>
    <t xml:space="preserve">XKFX(YYY,'SE3','SE2')$(YVALUE(YYY) GE 2030) = XKFX(YYY,'SE3','SE2') + 1500;             </t>
  </si>
  <si>
    <t>!! Project name: SE North-south reinforcements       Status: Under consideration</t>
  </si>
  <si>
    <t xml:space="preserve">XKFX(YYY,'SE2','SE3')$(YVALUE(YYY) GE 2030) = XKFX(YYY,'SE2','SE3') + 1500;             </t>
  </si>
  <si>
    <t>!! Source: https://tyndp.entsoe.eu/tyndp2018/projects/projects/260</t>
  </si>
  <si>
    <t xml:space="preserve">XKFX(YYY,'NL','UK')$(YVALUE(YYY) GE 2030) = XKFX(YYY,'NL','UK') + 2000;             </t>
  </si>
  <si>
    <t>!! Project name: New Great Britain - Netherlands interconnection       Status: In permitting</t>
  </si>
  <si>
    <t xml:space="preserve">XKFX(YYY,'UK','NL')$(YVALUE(YYY) GE 2030) = XKFX(YYY,'UK','NL') + 2000;             </t>
  </si>
  <si>
    <t>!! Source: https://tyndp.entsoe.eu/tyndp2018/projects/projects/296</t>
  </si>
  <si>
    <t xml:space="preserve">XKFX(YYY,'UK','FR')$(YVALUE(YYY) GE 2024) = XKFX(YYY,'UK','FR') + 1800;             </t>
  </si>
  <si>
    <t>!! Project name: Birtib       Status: In permitting</t>
  </si>
  <si>
    <t xml:space="preserve">XKFX(YYY,'FR','UK')$(YVALUE(YYY) GE 2024) = XKFX(YYY,'FR','UK') + 1800;             </t>
  </si>
  <si>
    <t>!! Source: https://tyndp.entsoe.eu/tyndp2018/projects/projects/247</t>
  </si>
  <si>
    <t xml:space="preserve">XKFX(YYY,'UK','FR')$(YVALUE(YYY) GE 2022) = XKFX(YYY,'UK','FR') + 2000;             </t>
  </si>
  <si>
    <t>!! Project name: AQUIND       Status: In permitting</t>
  </si>
  <si>
    <t xml:space="preserve">XKFX(YYY,'FR','UK')$(YVALUE(YYY) GE 2022) = XKFX(YYY,'FR','UK') + 2000;             </t>
  </si>
  <si>
    <t>!! Source: https://tyndp.entsoe.eu/tyndp2018/projects/projects/239</t>
  </si>
  <si>
    <t xml:space="preserve">XKFX(YYY,'FIN','SE2')$(YVALUE(YYY) GE 2029) = XKFX(YYY,'FIN','SE2') + 800;             </t>
  </si>
  <si>
    <t>!! Project name: Fenno-Skan 1 renewal         Status Under consideration</t>
  </si>
  <si>
    <t xml:space="preserve">XKFX(YYY,'SE2','FIN')$(YVALUE(YYY) GE 2029) = XKFX(YYY,'SE2','FIN') + 800;             </t>
  </si>
  <si>
    <t>!! Source: https://tyndp.entsoe.eu/tyndp2018/projects/projects/234</t>
  </si>
  <si>
    <t xml:space="preserve">XKFX(YYY,'PL','DK2')$(YVALUE(YYY) GE 2033) = XKFX(YYY,'PL','DK2') + 600;             </t>
  </si>
  <si>
    <t>!! Project name: DKE - PL-1        Status: Under consideration</t>
  </si>
  <si>
    <t xml:space="preserve">XKFX(YYY,'DK2','PL')$(YVALUE(YYY) GE 2033) = XKFX(YYY,'DK2','PL') + 600;             </t>
  </si>
  <si>
    <t>!! Source: https://tyndp.entsoe.eu/tyndp2018/projects/projects/175</t>
  </si>
  <si>
    <t xml:space="preserve">XKFX(YYY,'DK2','DK1')$(YVALUE(YYY) GE 2030) = XKFX(YYY,'DK2','DK1') + 600;             </t>
  </si>
  <si>
    <t>!! Project name: Great Belt II        Status: Under consideration</t>
  </si>
  <si>
    <t xml:space="preserve">XKFX(YYY,'DK1','DK2')$(YVALUE(YYY) GE 2030) = XKFX(YYY,'DK1','DK2') + 600;             </t>
  </si>
  <si>
    <t>!! Source: https://tyndp.entsoe.eu/tyndp2018/projects/projects/179</t>
  </si>
  <si>
    <t xml:space="preserve">XKFX(YYY,'DK2','DE4-E')$(YVALUE(YYY) GE 2030) = XKFX(YYY,'DK2','DE4-E') + 600;             </t>
  </si>
  <si>
    <t>!! Project name: DKE - DE (Kontek2)       Status: Under consideration</t>
  </si>
  <si>
    <t xml:space="preserve">XKFX(YYY,'DE4-E','DK2')$(YVALUE(YYY) GE 2030) = XKFX(YYY,'DE4-E','DK2') + 600;             </t>
  </si>
  <si>
    <t>!! Source: https://tyndp.entsoe.eu/tyndp2018/projects/projects/267</t>
  </si>
  <si>
    <t xml:space="preserve">XKFX(YYY,'SE4','DE4-E')$(YVALUE(YYY) GE 2030) = XKFX(YYY,'SE4','DE4-E') + 700;             </t>
  </si>
  <si>
    <t>!! Project name: Hansa PowerBridge II        Status: Under consideration</t>
  </si>
  <si>
    <t xml:space="preserve">XKFX(YYY,'DE4-E','SE4')$(YVALUE(YYY) GE 2030) = XKFX(YYY,'DE4-E','SE4') + 700;             </t>
  </si>
  <si>
    <t>!! Source: https://tyndp.entsoe.eu/tyndp2018/projects/projects/228</t>
  </si>
  <si>
    <t xml:space="preserve">XKFX(YYY,'FR','DE4-S')$(YVALUE(YYY) GE 2025) = XKFX(YYY,'FR','DE4-S') + 300;             </t>
  </si>
  <si>
    <t>!! Project name: Muhlbach - Eichstetten          Status: Planned but not yet permitting</t>
  </si>
  <si>
    <t xml:space="preserve">XKFX(YYY,'DE4-S','FR')$(YVALUE(YYY) GE 2025) = XKFX(YYY,'DE4-S','FR') + 300;             </t>
  </si>
  <si>
    <t>!! Source: https://tyndp.entsoe.eu/tyndp2018/projects/projects/377</t>
  </si>
  <si>
    <t xml:space="preserve">XKFX(YYY,'NL','BE')$(YVALUE(YYY) GE 2030) = XKFX(YYY,'NL','BE') + 1000;             </t>
  </si>
  <si>
    <t>!! Project name: Upgrade BE-NL interconnector VanEyck-Maasbracht          Status: Under consideration</t>
  </si>
  <si>
    <t xml:space="preserve">XKFX(YYY,'BE','NL')$(YVALUE(YYY) GE 2030) = XKFX(YYY,'BE','NL') + 1000;             </t>
  </si>
  <si>
    <t>!! Source: https://tyndp.entsoe.eu/tyndp2018/projects/projects/121</t>
  </si>
  <si>
    <t xml:space="preserve">XKFX(YYY,'UK','BE')$(YVALUE(YYY) GE 2028) = XKFX(YYY,'UK','BE') + 1400;             </t>
  </si>
  <si>
    <t>!! Project name: Nautilus: 2nd interconnector Belgium - UK       Status: Under consideration</t>
  </si>
  <si>
    <t xml:space="preserve">XKFX(YYY,'BE','UK')$(YVALUE(YYY) GE 2028) = XKFX(YYY,'BE','UK') + 1400;             </t>
  </si>
  <si>
    <t>!! Source: https://tyndp.entsoe.eu/tyndp2018/projects/projects/280</t>
  </si>
  <si>
    <t xml:space="preserve">XKFX(YYY,'FR','BE')$(YVALUE(YYY) GE 2030) = XKFX(YYY,'FR','BE') + 1000;             </t>
  </si>
  <si>
    <t>!! Project name: study Lonny-Achene-Gramme, Status: Under consideration</t>
  </si>
  <si>
    <t xml:space="preserve">XKFX(YYY,'BE','FR')$(YVALUE(YYY) GE 2030) = XKFX(YYY,'BE','FR') + 1000;             </t>
  </si>
  <si>
    <t>!! Source: https://tyndp.entsoe.eu/tyndp2018/projects/projects/225</t>
  </si>
  <si>
    <t xml:space="preserve">XKFX(YYY,'DE4-W','BE')$(YVALUE(YYY) GE 2028) = XKFX(YYY,'DE4-W','BE') + 1000;             </t>
  </si>
  <si>
    <t>!! Project name: 2nd interconnector Belgium - Germany,        Status: Under consideration</t>
  </si>
  <si>
    <t xml:space="preserve">XKFX(YYY,'BE','DE4-W')$(YVALUE(YYY) GE 2028) = XKFX(YYY,'BE','DE4-W') + 1000;             </t>
  </si>
  <si>
    <t>OPEX  [M€/Y]</t>
  </si>
  <si>
    <t>CAPEX [MEURO]</t>
  </si>
  <si>
    <t>* Other projects in TYNDP before 2035</t>
  </si>
  <si>
    <t>!! Source: https://www.montelnews.com/news/1254368/france-approves-route-of-22-gw-interconnector-with-spain</t>
  </si>
  <si>
    <t xml:space="preserve">XKFX(YYY,'ES','FR')$(YVALUE(YYY) GE 2027) = XKFX(YYY,'ES','FR') + 2200;             </t>
  </si>
  <si>
    <t xml:space="preserve">XKFX(YYY,'FR','ES')$(YVALUE(YYY) GE 2027) = XKFX(YYY,'FR','ES') + 2200;             </t>
  </si>
  <si>
    <t>!! Source: https://tyndp.entsoe.eu/tyndp2018/projects/projects/309</t>
  </si>
  <si>
    <t xml:space="preserve">XKFX(YYY,'UK','DE4-W')$(YVALUE(YYY) GE 2022) = XKFX(YYY,'UK','DE4-W') + 1400;             </t>
  </si>
  <si>
    <t>!! Project name: NeuConnect</t>
  </si>
  <si>
    <t xml:space="preserve">XKFX(YYY,'DE4-W','UK')$(YVALUE(YYY) GE 2022) = XKFX(YYY,'DE4-W','UK') + 1400;             </t>
  </si>
  <si>
    <t>!! Source: https://tyndp.entsoe.eu/Documents/TYNDP%20documents/TYNDP2018/consultation/Main%20Report/TYNDP18%20Exec%20Report%20appendix.pdf</t>
  </si>
  <si>
    <t xml:space="preserve">XKFX(YYY,'SE4','SE3')$(YVALUE(YYY) GE 2027) = XKFX(YYY,'SE4','SE3') + 400;             </t>
  </si>
  <si>
    <t>!! Difference between Reference 2020 and 2027</t>
  </si>
  <si>
    <t xml:space="preserve">XKFX(YYY,'SE3','SE4')$(YVALUE(YYY) GE 2027) = XKFX(YYY,'SE3','SE4') + 700;             </t>
  </si>
  <si>
    <t>!! Source: https://tyndp.entsoe.eu/Documents/TYNDP%20documents/TYNDP2018/consultation/Main%20Report/TYNDP18%20Exec%20Report%20appendix.pdf , https://tyndp.entsoe.eu/tyndp2018/projects/projects/170</t>
  </si>
  <si>
    <t xml:space="preserve">XKFX(YYY,'LT','PL')$(YVALUE(YYY) GE 2025) = XKFX(YYY,'LT','PL') + 500;             </t>
  </si>
  <si>
    <t>!! Project name: Baltics synchro with CE</t>
  </si>
  <si>
    <t xml:space="preserve">XKFX(YYY,'PL','LT')$(YVALUE(YYY) GE 2025) = XKFX(YYY,'PL','LT') + 500;             </t>
  </si>
  <si>
    <t>!! Source: https://tyndp.entsoe.eu/tyndp2018/projects/projects/190</t>
  </si>
  <si>
    <t xml:space="preserve">XKFX(YYY,'NO5','UK')$(YVALUE(YYY) GE 2022) = XKFX(YYY,'NO5','UK') + 1400;             </t>
  </si>
  <si>
    <t>!! Project name: NorthConnect</t>
  </si>
  <si>
    <t xml:space="preserve">XKFX(YYY,'UK','NO5')$(YVALUE(YYY) GE 2022) = XKFX(YYY,'UK','NO5') + 1400;             </t>
  </si>
  <si>
    <t>!! Source: https://tyndp.entsoe.eu/tyndp2018/projects/projects/110</t>
  </si>
  <si>
    <t xml:space="preserve">XKFX(YYY,'NO2','UK')$(YVALUE(YYY) GE 2021) = XKFX(YYY,'NO2','UK') + 1400;             </t>
  </si>
  <si>
    <t>!! Project name: North Sea Link</t>
  </si>
  <si>
    <t xml:space="preserve">XKFX(YYY,'UK','NO2')$(YVALUE(YYY) GE 2021) = XKFX(YYY,'UK','NO2') + 1400;             </t>
  </si>
  <si>
    <t>!! Source: https://tyndp.entsoe.eu/tyndp2018/projects/projects/285</t>
  </si>
  <si>
    <t xml:space="preserve">XKFX(YYY,'UK','FR')$(YVALUE(YYY) GE 2022) = XKFX(YYY,'UK','FR') + 1400;             </t>
  </si>
  <si>
    <t>!! Project name: GridLink</t>
  </si>
  <si>
    <t xml:space="preserve">XKFX(YYY,'FR','UK')$(YVALUE(YYY) GE 2022) = XKFX(YYY,'FR','UK') + 1400;             </t>
  </si>
  <si>
    <t>!! Source: https://tyndp.entsoe.eu/tyndp2018/projects/projects/153</t>
  </si>
  <si>
    <t>!! Project name: France-Alderney-Britain</t>
  </si>
  <si>
    <t>!! Source: https://tyndp.entsoe.eu/tyndp2018/projects/projects/25</t>
  </si>
  <si>
    <t xml:space="preserve">XKFX(YYY,'UK','FR')$(YVALUE(YYY) GE 2020) = XKFX(YYY,'UK','FR') + 1000;             </t>
  </si>
  <si>
    <t>!! Project name: IFA2</t>
  </si>
  <si>
    <t xml:space="preserve">XKFX(YYY,'FR','UK')$(YVALUE(YYY) GE 2020) = XKFX(YYY,'FR','UK') + 1000;             </t>
  </si>
  <si>
    <t>!! Source: https://tyndp.entsoe.eu/tyndp2018/projects/projects/172</t>
  </si>
  <si>
    <t xml:space="preserve">XKFX(YYY,'UK','FR')$(YVALUE(YYY) GE 2019) = XKFX(YYY,'UK','FR') + 1000;             </t>
  </si>
  <si>
    <t>!! Project name: ElecLink</t>
  </si>
  <si>
    <t xml:space="preserve">XKFX(YYY,'FR','UK')$(YVALUE(YYY) GE 2019) = XKFX(YYY,'FR','UK') + 1000;             </t>
  </si>
  <si>
    <t>!! Source: https://tyndp.entsoe.eu/tyndp2018/projects/projects/111</t>
  </si>
  <si>
    <t xml:space="preserve">XKFX(YYY,'FIN','SE1')$(YVALUE(YYY) GE 2025) = XKFX(YYY,'FIN','SE1') + 900;             </t>
  </si>
  <si>
    <t>!! Project name: 3rd AC Finland-Sweden north , NTC fitted to match numbers in tyndp 2027</t>
  </si>
  <si>
    <t xml:space="preserve">XKFX(YYY,'SE1','FIN')$(YVALUE(YYY) GE 2025) = XKFX(YYY,'SE1','FIN') + 500;             </t>
  </si>
  <si>
    <t>!! Source: https://tyndp.entsoe.eu/tyndp2018/projects/projects/62</t>
  </si>
  <si>
    <t xml:space="preserve">XKFX(YYY,'LV','EE')$(YVALUE(YYY) GE 2021) = XKFX(YYY,'LV','EE') + 500;             </t>
  </si>
  <si>
    <t>!! Project name: Estonia-Latvia 3rd IC , NTC fitted to match numbers in tyndp 2027</t>
  </si>
  <si>
    <t xml:space="preserve">XKFX(YYY,'EE','LV')$(YVALUE(YYY) GE 2021) = XKFX(YYY,'EE','LV') + 400;             </t>
  </si>
  <si>
    <t>!! Source: https://tyndp.entsoe.eu/tyndp2018/projects/projects/167</t>
  </si>
  <si>
    <t xml:space="preserve">XKFX(YYY,'UK','DK1')$(YVALUE(YYY) GE 2023) = XKFX(YYY,'UK','DK1') + 1400;             </t>
  </si>
  <si>
    <t>!! Project name: Viking DKW-GB</t>
  </si>
  <si>
    <t xml:space="preserve">XKFX(YYY,'DK1','UK')$(YVALUE(YYY) GE 2023) = XKFX(YYY,'DK1','UK') + 1400;             </t>
  </si>
  <si>
    <t>!! Source: https://tyndp.entsoe.eu/tyndp2018/projects/projects/176</t>
  </si>
  <si>
    <t xml:space="preserve">XKFX(YYY,'SE4','DE4-E')$(YVALUE(YYY) GE 2026) = XKFX(YYY,'SE4','DE4-E') + 700;             </t>
  </si>
  <si>
    <t>!! Project name: Hansa PowerBridge I</t>
  </si>
  <si>
    <t xml:space="preserve">XKFX(YYY,'DE4-E','SE4')$(YVALUE(YYY) GE 2026) = XKFX(YYY,'DE4-E','SE4') + 700;             </t>
  </si>
  <si>
    <t>!! Source: https://tyndp.entsoe.eu/tyndp2018/projects/projects/94</t>
  </si>
  <si>
    <t xml:space="preserve">XKFX(YYY,'PL','DE4-E')$(YVALUE(YYY) GE 2021) = XKFX(YYY,'PL','DE4-E') + 500;             </t>
  </si>
  <si>
    <t>!! Project name: GerPol Improvements</t>
  </si>
  <si>
    <t xml:space="preserve">XKFX(YYY,'DE4-E','PL')$(YVALUE(YYY) GE 2021) = XKFX(YYY,'DE4-E','PL') + 1500;             </t>
  </si>
  <si>
    <t xml:space="preserve">XKFX(YYY,'NL','DE4-W')$(YVALUE(YYY) GE 2027) = XKFX(YYY,'NL','DE4-W') + 750;             </t>
  </si>
  <si>
    <t xml:space="preserve">XKFX(YYY,'DE4-W','NL')$(YVALUE(YYY) GE 2027) = XKFX(YYY,'DE4-W','NL') + 750;             </t>
  </si>
  <si>
    <t xml:space="preserve">XKFX(YYY,'FR','DE4-S')$(YVALUE(YYY) GE 2027) = XKFX(YYY,'FR','DE4-S') + 1200;             </t>
  </si>
  <si>
    <t xml:space="preserve">XKFX(YYY,'DE4-S','FR')$(YVALUE(YYY) GE 2027) = XKFX(YYY,'DE4-S','FR') + 700;             </t>
  </si>
  <si>
    <t>!! Source: https://tyndp.entsoe.eu/tyndp2018/projects/projects/244</t>
  </si>
  <si>
    <t xml:space="preserve">XKFX(YYY,'FR','DE4-S')$(YVALUE(YYY) GE 2027) = XKFX(YYY,'FR','DE4-S') + 1500;             </t>
  </si>
  <si>
    <t>!! Project name: Vigy - Uchtelfangen area          Status: Planned but not yet permitting</t>
  </si>
  <si>
    <t xml:space="preserve">XKFX(YYY,'DE4-S','FR')$(YVALUE(YYY) GE 2027) = XKFX(YYY,'DE4-S','FR') + 1500;             </t>
  </si>
  <si>
    <t>!! Source: https://tyndp.entsoe.eu/tyndp2018/projects/projects/183</t>
  </si>
  <si>
    <t xml:space="preserve">XKFX(YYY,'DK1','DE4-N')$(YVALUE(YYY) GE 2023) = XKFX(YYY,'DK1','DE4-N') + 500;             </t>
  </si>
  <si>
    <t>!! Project name: DKW-DE, Westcoast          Status: In permitting</t>
  </si>
  <si>
    <t xml:space="preserve">XKFX(YYY,'DE4-N','DK1')$(YVALUE(YYY) GE 2023) = XKFX(YYY,'DE4-N','DK1') + 500;             </t>
  </si>
  <si>
    <t xml:space="preserve">XKFX(YYY,'NL','BE')$(YVALUE(YYY) GE 2022) = XKFX(YYY,'NL','BE') + 1000;             </t>
  </si>
  <si>
    <t>!! Source: https://tyndp.entsoe.eu/tyndp2018/projects/projects/262</t>
  </si>
  <si>
    <t>!! Project name: Zandvliet-Rilland          Status: Planned but not yet permitting</t>
  </si>
  <si>
    <t xml:space="preserve">XKFX(YYY,'BE','NL')$(YVALUE(YYY) GE 2022) = XKFX(YYY,'BE','NL') + 1000;             </t>
  </si>
  <si>
    <t>!! Source: https://tyndp.entsoe.eu/tyndp2018/projects/projects/23</t>
  </si>
  <si>
    <t xml:space="preserve">XKFX(YYY,'FR','BE')$(YVALUE(YYY) GE 2021) = XKFX(YYY,'FR','BE') + 1000;             </t>
  </si>
  <si>
    <t>!! Project name: Avelin/Mastaing-Avelgem-Horta HTLS AC</t>
  </si>
  <si>
    <t xml:space="preserve">XKFX(YYY,'BE','FR')$(YVALUE(YYY) GE 2021) = XKFX(YYY,'BE','FR') + 1000;             </t>
  </si>
  <si>
    <t>* Upgrades in CBA reference 2027</t>
  </si>
  <si>
    <t>!! Source: https://tyndp.entsoe.eu/Documents/TYNDP%20documents/TYNDP2018/consultation/Main%20Report/TYNDP18%20Exec%20Report%20appendix.pdf , https://www.nordpoolgroup.com/globalassets/download-center/tso/max-ntc.pdf</t>
  </si>
  <si>
    <t xml:space="preserve">XKFX(YYY,'SE4','SE3')$(YVALUE(YYY) GE 2020) = XKFX(YYY,'SE4','SE3') + 1200;             </t>
  </si>
  <si>
    <t>!! Difference between Nordpool spot NTC and TYNDP NTC 2020</t>
  </si>
  <si>
    <t xml:space="preserve">XKFX(YYY,'SE3','SE4')$(YVALUE(YYY) GE 2020) = XKFX(YYY,'SE3','SE4') + 1200;             </t>
  </si>
  <si>
    <t xml:space="preserve">XKFX(YYY,'SE3','SE2')$(YVALUE(YYY) GE 2020) = XKFX(YYY,'SE3','SE2') + 500;             </t>
  </si>
  <si>
    <t xml:space="preserve">XKFX(YYY,'SE2','SE3')$(YVALUE(YYY) GE 2020) = XKFX(YYY,'SE2','SE3') + 500;             </t>
  </si>
  <si>
    <t>!! Source: https://www.nordpoolgroup.com/globalassets/download-center/tso/max-ntc.pdf</t>
  </si>
  <si>
    <t xml:space="preserve">XKFX(YYY,'NO5','NO3')$(YVALUE(YYY) GE 2020) = XKFX(YYY,'NO5','NO3') + 700;             </t>
  </si>
  <si>
    <t xml:space="preserve">XKFX(YYY,'NO3','NO5')$(YVALUE(YYY) GE 2020) = XKFX(YYY,'NO3','NO5') + 700;             </t>
  </si>
  <si>
    <t xml:space="preserve">XKFX(YYY,'NO4','NO3')$(YVALUE(YYY) GE 2017) = XKFX(YYY,'NO4','NO3') + 200;             </t>
  </si>
  <si>
    <t xml:space="preserve">XKFX(YYY,'NO3','NO4')$(YVALUE(YYY) GE 2018) = XKFX(YYY,'NO3','NO4') + 200;             </t>
  </si>
  <si>
    <t>!! Uncertain NTC effect</t>
  </si>
  <si>
    <t xml:space="preserve">XKFX(YYY,'NO5','NO2')$(YVALUE(YYY) GE 2020) = XKFX(YYY,'NO5','NO2') + 1000;             </t>
  </si>
  <si>
    <t>!! Project name: Vestre korridor</t>
  </si>
  <si>
    <t xml:space="preserve">XKFX(YYY,'NO2','NO5')$(YVALUE(YYY) GE 2020) = XKFX(YYY,'NO2','NO5') + 1000;             </t>
  </si>
  <si>
    <t xml:space="preserve">XKFX(YYY,'NO1','NO5')$(YVALUE(YYY) GE 2017) = XKFX(YYY,'NO1','NO5') + 300;             </t>
  </si>
  <si>
    <t xml:space="preserve">XKFX(YYY,'LV','LT')$(YVALUE(YYY) GE 2020) = XKFX(YYY,'LV','LT') + 266;             </t>
  </si>
  <si>
    <t xml:space="preserve">XKFX(YYY,'LT','LV')$(YVALUE(YYY) GE 2020) = XKFX(YYY,'LT','LV') + 516;             </t>
  </si>
  <si>
    <t>!! Source: https://tyndp.entsoe.eu/tyndp2018/projects/projects/71</t>
  </si>
  <si>
    <t xml:space="preserve">XKFX(YYY,'NL','DK1')$(YVALUE(YYY) GE 2019) = XKFX(YYY,'NL','DK1') + 700;             </t>
  </si>
  <si>
    <t>!! Project name: COBRA cable VSC DC</t>
  </si>
  <si>
    <t xml:space="preserve">XKFX(YYY,'DK1','NL')$(YVALUE(YYY) GE 2019) = XKFX(YYY,'DK1','NL') + 700;             </t>
  </si>
  <si>
    <t>!! Source: https://tyndp.entsoe.eu/tyndp2018/projects/projects/39</t>
  </si>
  <si>
    <t xml:space="preserve">XKFX(YYY,'DK1','DE4-N')$(YVALUE(YYY) GE 2020) = XKFX(YYY,'DK1','DE4-N') + 740;             </t>
  </si>
  <si>
    <t>!! Project name: DKW-DE, step 3</t>
  </si>
  <si>
    <t xml:space="preserve">XKFX(YYY,'DE4-N','DK1')$(YVALUE(YYY) GE 2020) = XKFX(YYY,'DE4-N','DK1') + 1000;             </t>
  </si>
  <si>
    <t>!! Source: https://tyndp.entsoe.eu/tyndp2018/projects/projects/37</t>
  </si>
  <si>
    <t xml:space="preserve">XKFX(YYY,'NO2','DE4-N')$(YVALUE(YYY) GE 2020) = XKFX(YYY,'NO2','DE4-N') + 1400;             </t>
  </si>
  <si>
    <t>!! Project name: Nordlink</t>
  </si>
  <si>
    <t xml:space="preserve">XKFX(YYY,'DE4-N','NO2')$(YVALUE(YYY) GE 2020) = XKFX(YYY,'DE4-N','NO2') + 1400;             </t>
  </si>
  <si>
    <t>!! Source: https://tyndp.entsoe.eu/tyndp2018/projects/projects/245 , https://tyndp.entsoe.eu/tyndp2018/projects/projects/113 , https://tyndp.entsoe.eu/Documents/TYNDP%20documents/TYNDP2018/consultation/Main%20Report/TYNDP18%20Exec%20Report%20appendix.pdf</t>
  </si>
  <si>
    <t xml:space="preserve">XKFX(YYY,'NL','DE4-W')$(YVALUE(YYY) GE 2018) = XKFX(YYY,'NL','DE4-W') + 1150;             </t>
  </si>
  <si>
    <t>!! Project name: Meeden Diele &amp; Niederrhein Doetinchem</t>
  </si>
  <si>
    <t xml:space="preserve">XKFX(YYY,'DE4-W','NL')$(YVALUE(YYY) GE 2018) = XKFX(YYY,'DE4-W','NL') + 350;             </t>
  </si>
  <si>
    <t>!! Source: https://tyndp.entsoe.eu/tyndp2018/projects/projects/36</t>
  </si>
  <si>
    <t xml:space="preserve">XKFX(YYY,'DK2','DE4-E')$(YVALUE(YYY) GE 2019) = XKFX(YYY,'DK2','DE4-E') + 400;             </t>
  </si>
  <si>
    <t xml:space="preserve">!! Project name: Kriegers Flak CGS </t>
  </si>
  <si>
    <t xml:space="preserve">XKFX(YYY,'DE4-E','DK2')$(YVALUE(YYY) GE 2019) = XKFX(YYY,'DE4-E','DK2') + 400;             </t>
  </si>
  <si>
    <t>!! Source: https://tyndp.entsoe.eu/tyndp2018/projects/projects/74</t>
  </si>
  <si>
    <t xml:space="preserve">XKFX(YYY,'UK','BE')$(YVALUE(YYY) GE 2019) = XKFX(YYY,'UK','BE') + 1000;             </t>
  </si>
  <si>
    <t>!! Project name: NEMO Link HVDC</t>
  </si>
  <si>
    <t xml:space="preserve">XKFX(YYY,'BE','UK')$(YVALUE(YYY) GE 2019) = XKFX(YYY,'BE','UK') + 1000;             </t>
  </si>
  <si>
    <t>!! Source: https://tyndp.entsoe.eu/tyndp2018/projects/projects/92</t>
  </si>
  <si>
    <t xml:space="preserve">XKFX(YYY,'DE4-W','BE')$(YVALUE(YYY) GE 2020) = XKFX(YYY,'DE4-W','BE') + 1000;             </t>
  </si>
  <si>
    <t>!! Project name: ALEGrO 100 km HVDC</t>
  </si>
  <si>
    <t>XKFX(YYY,'BE','DE4-W')$(YVALUE(YYY) GE 2020) = XKFX(YYY,'BE','DE4-W') + 1000;</t>
  </si>
  <si>
    <t>* Upgrades before 2020</t>
  </si>
  <si>
    <t>XKFX(YYY,IRRRE,IRRRI)$(YYY.VAL GT 2016) = XKFX('2016',IRRRE,IRRRI);</t>
  </si>
  <si>
    <t>PT</t>
  </si>
  <si>
    <t>ES</t>
  </si>
  <si>
    <t>CZ</t>
  </si>
  <si>
    <t>AT</t>
  </si>
  <si>
    <t>CH</t>
  </si>
  <si>
    <t>IT</t>
  </si>
  <si>
    <t>SE4</t>
  </si>
  <si>
    <t>SE3</t>
  </si>
  <si>
    <t>SE2</t>
  </si>
  <si>
    <t>SE1</t>
  </si>
  <si>
    <t>PL</t>
  </si>
  <si>
    <t>NO5</t>
  </si>
  <si>
    <t>NO4</t>
  </si>
  <si>
    <t>NO3</t>
  </si>
  <si>
    <t>NO1</t>
  </si>
  <si>
    <t>NL</t>
  </si>
  <si>
    <t>LV</t>
  </si>
  <si>
    <t>LT</t>
  </si>
  <si>
    <t>UK</t>
  </si>
  <si>
    <t>FR</t>
  </si>
  <si>
    <t>FIN</t>
  </si>
  <si>
    <t>EE</t>
  </si>
  <si>
    <t>DK2</t>
  </si>
  <si>
    <t>DK1</t>
  </si>
  <si>
    <t>DE4-S</t>
  </si>
  <si>
    <t>DE4-E</t>
  </si>
  <si>
    <t>DE4-W</t>
  </si>
  <si>
    <t>DE4-N</t>
  </si>
  <si>
    <t>BE</t>
  </si>
  <si>
    <t>TABLE XKFX(YYY,IRRRE,IRRRI)  'Initial transmission capacity between regions'</t>
  </si>
  <si>
    <t>* Germany separated in four regions according to the major bottlenecks (Frauke 6.2.18)</t>
  </si>
  <si>
    <t>* Last update: 09.04.2019, Gustav</t>
  </si>
  <si>
    <t>* Capacities beyond 2016 are based on ENTSO-E TYNDP 2018</t>
  </si>
  <si>
    <t>* Capacities for 2016 are based on Nordpool NTC map, Nordic ETP and ENTSO-e TYNDP 2018.</t>
  </si>
  <si>
    <t xml:space="preserve">* data sources nordic countries: http://nordpoolspot.com/globalassets/download-center/tso/max_ntc_-valid-from-3-july-2014.pdf </t>
  </si>
  <si>
    <t>* the transmisison line, but at most (XCAPINIT*XLOSS) MW may be extracted.</t>
  </si>
  <si>
    <t>* Thus, if there is a loss, a maximum of XCAPINIT MW may be sent into</t>
  </si>
  <si>
    <t>* disregarding an eventual loss (see the table XLOSS).</t>
  </si>
  <si>
    <t>* The electrical transmission capacity is the capacity</t>
  </si>
  <si>
    <t>* Units: MW.</t>
  </si>
  <si>
    <t>* between pairs of regions.</t>
  </si>
  <si>
    <t>* PARAMETER XKFX contains the intital electrical transmission capacities</t>
  </si>
  <si>
    <t>Import technology - Electricity to DE3 West</t>
  </si>
  <si>
    <t>Import technology - Electricity to DE5 East</t>
  </si>
  <si>
    <t>Import technology - Electricity to DE4 South</t>
  </si>
  <si>
    <t xml:space="preserve">Import technology - Electricity to DE2 North </t>
  </si>
  <si>
    <t>Import technology - Electricity to DE3 East</t>
  </si>
  <si>
    <t>Export technology - Electricity to Holland</t>
  </si>
  <si>
    <t>Export technology - Electricity to France</t>
  </si>
  <si>
    <t>Export technology - Electricity to Switzerland</t>
  </si>
  <si>
    <t>Export technology - Electricity to Austria</t>
  </si>
  <si>
    <t>Export technology - Electricity to Czech</t>
  </si>
  <si>
    <t>Export technology - Electricity to Poland</t>
  </si>
  <si>
    <t>IMPELC-NLDE3</t>
  </si>
  <si>
    <t>IMPELC-FRDE4</t>
  </si>
  <si>
    <t>IMPELC-CHDE4</t>
  </si>
  <si>
    <t>IMPELC-ATDE4</t>
  </si>
  <si>
    <t>IMPELC-CZDE4</t>
  </si>
  <si>
    <t>IMPELC-DK2DE5</t>
  </si>
  <si>
    <t>IMPELC-PLDE5</t>
  </si>
  <si>
    <t>IMPELC-CZDE5</t>
  </si>
  <si>
    <t>EXPELC-NLDE3</t>
  </si>
  <si>
    <t>EXPELC-FRDE4</t>
  </si>
  <si>
    <t>EXPELC-CHDE4</t>
  </si>
  <si>
    <t>EXPELC-ATDE4</t>
  </si>
  <si>
    <t>EXPELC-CZDE4</t>
  </si>
  <si>
    <t>EXPELC-DK2DE5</t>
  </si>
  <si>
    <t>EXPELC-PLDE5</t>
  </si>
  <si>
    <t>EXPELC-CZDE5</t>
  </si>
  <si>
    <t>IMPELC-BEDE3</t>
  </si>
  <si>
    <t>IMPELC-NODE2</t>
  </si>
  <si>
    <t>IMPELC-DK1DE2</t>
  </si>
  <si>
    <t>EXPELC-BEDE3</t>
  </si>
  <si>
    <t>EXPELC-NODE2</t>
  </si>
  <si>
    <t>EXPELC-DK1DE2</t>
  </si>
  <si>
    <t>Export technology - Electricity to Denmark2</t>
  </si>
  <si>
    <t>IMPELC-SE4DE2</t>
  </si>
  <si>
    <t>EXPELC-SE4DE2</t>
  </si>
  <si>
    <t>Export technology - Electricity to Denmark1</t>
  </si>
  <si>
    <t>Export technology - Electricity to Sweden4</t>
  </si>
  <si>
    <t>EXPELC-SE4DE5</t>
  </si>
  <si>
    <t>IMPELC-SE4DE5</t>
  </si>
  <si>
    <t>IMPELC-UKDE3</t>
  </si>
  <si>
    <t>EXPELC-UKDE3</t>
  </si>
  <si>
    <t>Export technology - Electricity to Belgium</t>
  </si>
  <si>
    <t>Export technology - Electricity to Norway</t>
  </si>
  <si>
    <t xml:space="preserve">Export technology - Electricity to Denmark2 </t>
  </si>
  <si>
    <t>Export technology - Electricity to United Kingdom</t>
  </si>
  <si>
    <t>Power transmission line high voltage</t>
  </si>
  <si>
    <t>STOCK~DE1</t>
  </si>
  <si>
    <t>STOCK~DE2</t>
  </si>
  <si>
    <t>STOCK~DE3</t>
  </si>
  <si>
    <t>STOCK~DE1~2020</t>
  </si>
  <si>
    <t>STOCK~DE2~2020</t>
  </si>
  <si>
    <t>STOCK~DE3~2020</t>
  </si>
  <si>
    <t>STOCK~DE1~2070</t>
  </si>
  <si>
    <t>STOCK~DE2~2070</t>
  </si>
  <si>
    <t>STOCK~DE3~2070</t>
  </si>
  <si>
    <t>Import technology - Electricity to DE3 North</t>
  </si>
  <si>
    <t>FT-GRDELCHIGH</t>
  </si>
  <si>
    <t>STOCK~DE4</t>
  </si>
  <si>
    <t>STOCK~DE5</t>
  </si>
  <si>
    <t>STOCK~DE4~2020</t>
  </si>
  <si>
    <t>STOCK~DE5~2020</t>
  </si>
  <si>
    <t>STOCK~DE4~2070</t>
  </si>
  <si>
    <t>STOCK~DE5~2070</t>
  </si>
  <si>
    <t>ACTBND~UP~DE4</t>
  </si>
  <si>
    <t>ACTBND~UP~2015~DE4</t>
  </si>
  <si>
    <t>ACTBND~UP~2020~DE4</t>
  </si>
  <si>
    <t>ACTBND~UP~0~DE4</t>
  </si>
  <si>
    <t>ACTBND~UP~DE5</t>
  </si>
  <si>
    <t>ACTBND~UP~2015~DE5</t>
  </si>
  <si>
    <t>ACTBND~UP~2020~DE5</t>
  </si>
  <si>
    <t>ACTBND~UP~0~DE5</t>
  </si>
  <si>
    <t>not applicable</t>
  </si>
  <si>
    <t>z</t>
  </si>
  <si>
    <t>Available flags:</t>
  </si>
  <si>
    <t>not available</t>
  </si>
  <si>
    <t>Special value</t>
  </si>
  <si>
    <t>Fossil energy</t>
  </si>
  <si>
    <t>Germany (until 1990 former territory of the FRG)</t>
  </si>
  <si>
    <t>Bioenergy</t>
  </si>
  <si>
    <t>Non-renewable waste</t>
  </si>
  <si>
    <t>Non-renewable municipal waste</t>
  </si>
  <si>
    <t>Renewable municipal waste</t>
  </si>
  <si>
    <t>Industrial waste (non-renewable)</t>
  </si>
  <si>
    <t>Biogases</t>
  </si>
  <si>
    <t>Blended bio jet kerosene</t>
  </si>
  <si>
    <t>Pure bio jet kerosene</t>
  </si>
  <si>
    <t>Blended biodiesels</t>
  </si>
  <si>
    <t>Pure biodiesels</t>
  </si>
  <si>
    <t>Blended biogasoline</t>
  </si>
  <si>
    <t>Pure biogasoline</t>
  </si>
  <si>
    <t>Primary solid biofuels</t>
  </si>
  <si>
    <t>Ambient heat (heat pumps)</t>
  </si>
  <si>
    <t>Tide, wave, ocean</t>
  </si>
  <si>
    <t>Solar photovoltaic</t>
  </si>
  <si>
    <t>Renewables and biofuels</t>
  </si>
  <si>
    <t>Other oil products n.e.c.</t>
  </si>
  <si>
    <t>Petroleum coke</t>
  </si>
  <si>
    <t>Paraffin waxes</t>
  </si>
  <si>
    <t>White spirit and special boiling point industrial spirits</t>
  </si>
  <si>
    <t>Gas oil and diesel oil (excluding biofuel portion)</t>
  </si>
  <si>
    <t>Other kerosene</t>
  </si>
  <si>
    <t>Kerosene-type jet fuel (excluding biofuel portion)</t>
  </si>
  <si>
    <t>Gasoline-type jet fuel</t>
  </si>
  <si>
    <t>Motor gasoline (excluding biofuel portion)</t>
  </si>
  <si>
    <t>Liquefied petroleum gases</t>
  </si>
  <si>
    <t>Other hydrocarbons</t>
  </si>
  <si>
    <t>Additives and oxygenates (excluding biofuel portion)</t>
  </si>
  <si>
    <t>Natural gas liquids</t>
  </si>
  <si>
    <t>Oil and petroleum products (excluding biofuel portion)</t>
  </si>
  <si>
    <t>Oil shale and oil sands</t>
  </si>
  <si>
    <t>Peat and peat products</t>
  </si>
  <si>
    <t>Other recovered gases</t>
  </si>
  <si>
    <t>Gas works gas</t>
  </si>
  <si>
    <t>Coke oven gas</t>
  </si>
  <si>
    <t>Manufactured gases</t>
  </si>
  <si>
    <t>Brown coal briquettes</t>
  </si>
  <si>
    <t>Patent fuel</t>
  </si>
  <si>
    <t>Lignite</t>
  </si>
  <si>
    <t>Solid fossil fuels</t>
  </si>
  <si>
    <t>SIEC (Labels)</t>
  </si>
  <si>
    <t>GEO (Labels)</t>
  </si>
  <si>
    <t>NRG_BAL (Labels)</t>
  </si>
  <si>
    <t>TIME</t>
  </si>
  <si>
    <t>Terajoule</t>
  </si>
  <si>
    <t>Unit of measure</t>
  </si>
  <si>
    <t>Annual</t>
  </si>
  <si>
    <t>Time frequency</t>
  </si>
  <si>
    <t>04/03/2022 11:00</t>
  </si>
  <si>
    <t xml:space="preserve">Last updated: </t>
  </si>
  <si>
    <t xml:space="preserve">Dataset: </t>
  </si>
  <si>
    <t>Time</t>
  </si>
  <si>
    <t>Geopolitical entity (reporting)</t>
  </si>
  <si>
    <t>Standard international energy product classification (SIEC)</t>
  </si>
  <si>
    <t>Energy balance</t>
  </si>
  <si>
    <t>Label</t>
  </si>
  <si>
    <t>Position</t>
  </si>
  <si>
    <t>Dimension</t>
  </si>
  <si>
    <t>Structure</t>
  </si>
  <si>
    <t>Sheet 1</t>
  </si>
  <si>
    <t>Contents</t>
  </si>
  <si>
    <t>Eurostat</t>
  </si>
  <si>
    <t>Institutional source(s)</t>
  </si>
  <si>
    <t>17/12/2021 11:00</t>
  </si>
  <si>
    <t xml:space="preserve">Last change of data structure: </t>
  </si>
  <si>
    <t xml:space="preserve">Last update of data: </t>
  </si>
  <si>
    <t xml:space="preserve">Description: </t>
  </si>
  <si>
    <t>Open in Data Browser</t>
  </si>
  <si>
    <t>Open product page</t>
  </si>
  <si>
    <t>2019</t>
  </si>
  <si>
    <t>Complete energy balances [NRG_BAL_C__custom_2459267]</t>
  </si>
  <si>
    <t>Data extracted on 07/04/2022 10:56:44 from [ESTAT]</t>
  </si>
  <si>
    <t>MIN2010</t>
  </si>
  <si>
    <t>EXP2010</t>
  </si>
  <si>
    <t>IMP2010</t>
  </si>
  <si>
    <t>MIN2015</t>
  </si>
  <si>
    <t>IMP2015</t>
  </si>
  <si>
    <t>EXP2015</t>
  </si>
  <si>
    <t>MIN2020</t>
  </si>
  <si>
    <t>IMP2020</t>
  </si>
  <si>
    <t>EXP2020</t>
  </si>
  <si>
    <t>Vedas outputs</t>
  </si>
  <si>
    <t>Veda divideret med AFA og CAP2ACT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</si>
</sst>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7">
    <numFmt numFmtId="41" formatCode="_-* #,##0_-;\-* #,##0_-;_-* &quot;-&quot;_-;_-@_-"/>
    <numFmt numFmtId="43" formatCode="_-* #,##0.00_-;\-* #,##0.00_-;_-* &quot;-&quot;??_-;_-@_-"/>
    <numFmt numFmtId="164" formatCode="_ * #,##0.00_ ;_ * \-#,##0.00_ ;_ * &quot;-&quot;??_ ;_ @_ "/>
    <numFmt numFmtId="165" formatCode="_(* #,##0.00_);_(* \(#,##0.00\);_(* &quot;-&quot;??_);_(@_)"/>
    <numFmt numFmtId="166" formatCode="_-&quot;€&quot;\ * #,##0.00_-;\-&quot;€&quot;\ * #,##0.00_-;_-&quot;€&quot;\ * &quot;-&quot;??_-;_-@_-"/>
    <numFmt numFmtId="167" formatCode="#,##0;\-\ #,##0;_-\ &quot;- &quot;"/>
    <numFmt numFmtId="168" formatCode="_-[$€-2]\ * #,##0.00_-;\-[$€-2]\ * #,##0.00_-;_-[$€-2]\ * &quot;-&quot;??_-"/>
    <numFmt numFmtId="169" formatCode="0.000"/>
    <numFmt numFmtId="170" formatCode="0.0"/>
    <numFmt numFmtId="171" formatCode="\Te\x\t"/>
    <numFmt numFmtId="172" formatCode="_([$€]* #,##0.00_);_([$€]* \(#,##0.00\);_([$€]* &quot;-&quot;??_);_(@_)"/>
    <numFmt numFmtId="173" formatCode="#,##0.0"/>
    <numFmt numFmtId="174" formatCode="_ * #,##0.0_ ;_ * \-#,##0.0_ ;_ * &quot;-&quot;??_ ;_ @_ "/>
    <numFmt numFmtId="175" formatCode="_(* #,##0_);_(* \(#,##0\);_(* &quot;-&quot;??_);_(@_)"/>
    <numFmt numFmtId="176" formatCode="0.0%"/>
    <numFmt numFmtId="177" formatCode="_-[$€-2]* #,##0.00_-;\-[$€-2]* #,##0.00_-;_-[$€-2]* &quot;-&quot;??_-"/>
    <numFmt numFmtId="178" formatCode="0_ ;\-0\ "/>
    <numFmt numFmtId="179" formatCode="0.0_ ;\-0.0\ "/>
    <numFmt numFmtId="180" formatCode="0.000_ ;\-0.000\ "/>
    <numFmt numFmtId="181" formatCode="0.00_ ;\-0.00\ "/>
    <numFmt numFmtId="182" formatCode="0.0000_ ;\-0.0000\ "/>
    <numFmt numFmtId="183" formatCode="0.00000_ ;\-0.00000\ "/>
    <numFmt numFmtId="184" formatCode="0.000000_ ;\-0.000000\ "/>
    <numFmt numFmtId="185" formatCode="#,##0;#\ ##0"/>
    <numFmt numFmtId="186" formatCode="0.0;\-0.0;0"/>
    <numFmt numFmtId="187" formatCode="#,##0;\-#,##0;&quot;&quot;"/>
    <numFmt numFmtId="188" formatCode="0.0000"/>
    <numFmt numFmtId="189" formatCode="#,##0.0000"/>
    <numFmt numFmtId="190" formatCode="_-* #,##0.000_-;\-* #,##0.000_-;_-* &quot;-&quot;??_-;_-@_-"/>
    <numFmt numFmtId="191" formatCode="0.0\ %"/>
    <numFmt numFmtId="192" formatCode="#,##0.000"/>
    <numFmt numFmtId="193" formatCode="0.0000000000000%"/>
    <numFmt numFmtId="194" formatCode="0.00000"/>
    <numFmt numFmtId="195" formatCode="0.000000"/>
    <numFmt numFmtId="196" formatCode="0.00%;\-0.00%;&quot;–&quot;;@"/>
    <numFmt numFmtId="197" formatCode="_-* #,##0.00_-;\-* #,##0.00_-;_-* \-??_-;_-@_-"/>
    <numFmt numFmtId="198" formatCode="#,##0.##########"/>
  </numFmts>
  <fonts count="20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color indexed="81"/>
      <name val="Tahoma"/>
      <family val="2"/>
    </font>
    <font>
      <b/>
      <sz val="9"/>
      <color indexed="81"/>
      <name val="Tahoma"/>
      <family val="2"/>
    </font>
    <font>
      <sz val="10"/>
      <name val="Helv"/>
    </font>
    <font>
      <sz val="11"/>
      <name val="Calibri"/>
      <family val="2"/>
    </font>
    <font>
      <sz val="10"/>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b/>
      <sz val="10"/>
      <name val="Arial"/>
      <family val="2"/>
    </font>
    <font>
      <sz val="9"/>
      <name val="Calibri"/>
      <family val="2"/>
    </font>
    <font>
      <sz val="7"/>
      <name val="Calibri"/>
      <family val="2"/>
    </font>
    <font>
      <sz val="11"/>
      <color indexed="8"/>
      <name val="Calibri"/>
      <family val="2"/>
    </font>
    <font>
      <b/>
      <sz val="11"/>
      <color indexed="8"/>
      <name val="Calibri"/>
      <family val="2"/>
    </font>
    <font>
      <sz val="11"/>
      <color indexed="62"/>
      <name val="Calibri"/>
      <family val="2"/>
    </font>
    <font>
      <b/>
      <sz val="10"/>
      <color indexed="62"/>
      <name val="Calibri"/>
      <family val="2"/>
    </font>
    <font>
      <sz val="10"/>
      <color indexed="62"/>
      <name val="Calibri"/>
      <family val="2"/>
    </font>
    <font>
      <b/>
      <sz val="12"/>
      <color indexed="62"/>
      <name val="Calibri"/>
      <family val="2"/>
    </font>
    <font>
      <b/>
      <sz val="11"/>
      <color indexed="62"/>
      <name val="Calibri"/>
      <family val="2"/>
    </font>
    <font>
      <b/>
      <sz val="10"/>
      <color indexed="10"/>
      <name val="Arial"/>
      <family val="2"/>
    </font>
    <font>
      <b/>
      <sz val="12"/>
      <color indexed="62"/>
      <name val="Calibri"/>
      <family val="2"/>
    </font>
    <font>
      <b/>
      <sz val="11"/>
      <color indexed="12"/>
      <name val="Calibri"/>
      <family val="2"/>
    </font>
    <font>
      <sz val="10"/>
      <color indexed="8"/>
      <name val="Calibri"/>
      <family val="2"/>
    </font>
    <font>
      <sz val="9"/>
      <name val="Geneva"/>
      <family val="2"/>
    </font>
    <font>
      <sz val="10"/>
      <name val="Arial"/>
      <family val="2"/>
    </font>
    <font>
      <i/>
      <sz val="10"/>
      <name val="Calibri"/>
      <family val="2"/>
    </font>
    <font>
      <b/>
      <sz val="11"/>
      <name val="Calibri"/>
      <family val="2"/>
    </font>
    <font>
      <u/>
      <sz val="8"/>
      <color indexed="12"/>
      <name val="Arial"/>
      <family val="2"/>
    </font>
    <font>
      <sz val="10"/>
      <name val="Arial"/>
      <family val="2"/>
    </font>
    <font>
      <sz val="11"/>
      <color theme="1"/>
      <name val="Calibri"/>
      <family val="2"/>
      <scheme val="minor"/>
    </font>
    <font>
      <sz val="10"/>
      <color rgb="FF9C0006"/>
      <name val="Calibri"/>
      <family val="2"/>
    </font>
    <font>
      <sz val="10"/>
      <color rgb="FF0000FF"/>
      <name val="Calibri"/>
      <family val="2"/>
    </font>
    <font>
      <b/>
      <sz val="11"/>
      <color rgb="FFFA7D0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0"/>
      <color rgb="FF00B050"/>
      <name val="Calibri"/>
      <family val="2"/>
    </font>
    <font>
      <sz val="11"/>
      <color theme="1"/>
      <name val="Calibri"/>
      <family val="2"/>
    </font>
    <font>
      <sz val="10"/>
      <color theme="1"/>
      <name val="Calibri"/>
      <family val="2"/>
    </font>
    <font>
      <b/>
      <sz val="11"/>
      <color rgb="FF3F3F3F"/>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1"/>
      <color theme="1"/>
      <name val="Calibri"/>
      <family val="2"/>
      <scheme val="minor"/>
    </font>
    <font>
      <sz val="10"/>
      <color rgb="FFFF0000"/>
      <name val="Calibri"/>
      <family val="2"/>
    </font>
    <font>
      <sz val="10"/>
      <name val="Calibri"/>
      <family val="2"/>
      <scheme val="minor"/>
    </font>
    <font>
      <b/>
      <sz val="16"/>
      <color theme="0"/>
      <name val="Calibri"/>
      <family val="2"/>
    </font>
    <font>
      <b/>
      <sz val="10"/>
      <name val="Calibri"/>
      <family val="2"/>
      <scheme val="minor"/>
    </font>
    <font>
      <sz val="8"/>
      <name val="Calibri"/>
      <family val="2"/>
      <scheme val="minor"/>
    </font>
    <font>
      <b/>
      <sz val="11"/>
      <name val="Calibri"/>
      <family val="2"/>
      <scheme val="minor"/>
    </font>
    <font>
      <sz val="10"/>
      <color rgb="FF0000FF"/>
      <name val="Calibri"/>
      <family val="2"/>
      <scheme val="minor"/>
    </font>
    <font>
      <sz val="10"/>
      <color indexed="17"/>
      <name val="Calibri"/>
      <family val="2"/>
      <scheme val="minor"/>
    </font>
    <font>
      <sz val="10"/>
      <color rgb="FF00B050"/>
      <name val="Calibri"/>
      <family val="2"/>
      <scheme val="minor"/>
    </font>
    <font>
      <sz val="10"/>
      <color rgb="FF9C0006"/>
      <name val="Calibri"/>
      <family val="2"/>
      <scheme val="minor"/>
    </font>
    <font>
      <sz val="10"/>
      <color rgb="FFFF0000"/>
      <name val="Calibri"/>
      <family val="2"/>
      <scheme val="minor"/>
    </font>
    <font>
      <sz val="11"/>
      <name val="Calibri"/>
      <family val="2"/>
      <scheme val="minor"/>
    </font>
    <font>
      <sz val="9"/>
      <name val="Geneva"/>
      <family val="2"/>
    </font>
    <font>
      <i/>
      <sz val="11"/>
      <color theme="1"/>
      <name val="Calibri"/>
      <family val="2"/>
      <scheme val="minor"/>
    </font>
    <font>
      <b/>
      <sz val="18"/>
      <color theme="3"/>
      <name val="Cambria"/>
      <family val="2"/>
      <scheme val="maj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Arial"/>
      <family val="2"/>
    </font>
    <font>
      <sz val="8"/>
      <color indexed="8"/>
      <name val="Arial"/>
      <family val="2"/>
    </font>
    <font>
      <sz val="10"/>
      <name val="Times New Roman"/>
      <family val="1"/>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u/>
      <sz val="10"/>
      <color indexed="12"/>
      <name val="Arial"/>
      <family val="2"/>
    </font>
    <font>
      <sz val="18"/>
      <color theme="3"/>
      <name val="Cambria"/>
      <family val="2"/>
      <scheme val="major"/>
    </font>
    <font>
      <b/>
      <sz val="7"/>
      <color indexed="45"/>
      <name val="Arial"/>
      <family val="2"/>
    </font>
    <font>
      <sz val="7"/>
      <color indexed="45"/>
      <name val="Arial"/>
      <family val="2"/>
    </font>
    <font>
      <u/>
      <sz val="10"/>
      <color theme="10"/>
      <name val="Arial"/>
      <family val="2"/>
    </font>
    <font>
      <b/>
      <sz val="14"/>
      <color rgb="FFFF0000"/>
      <name val="Calibri"/>
      <family val="2"/>
      <scheme val="minor"/>
    </font>
    <font>
      <sz val="9"/>
      <name val="Geneva"/>
    </font>
    <font>
      <sz val="10"/>
      <color theme="1"/>
      <name val="Calibri"/>
      <family val="2"/>
      <scheme val="minor"/>
    </font>
    <font>
      <sz val="10"/>
      <color indexed="9"/>
      <name val="Calibri"/>
      <family val="2"/>
      <scheme val="minor"/>
    </font>
    <font>
      <sz val="10"/>
      <color indexed="10"/>
      <name val="Calibri"/>
      <family val="2"/>
    </font>
    <font>
      <sz val="10"/>
      <color rgb="FFFF0000"/>
      <name val="Arial"/>
      <family val="2"/>
    </font>
    <font>
      <sz val="8"/>
      <name val="Arial"/>
      <family val="2"/>
    </font>
    <font>
      <b/>
      <sz val="11"/>
      <color rgb="FFFF0000"/>
      <name val="Calibri"/>
      <family val="2"/>
      <scheme val="minor"/>
    </font>
    <font>
      <b/>
      <sz val="15"/>
      <name val="Calibri"/>
      <family val="2"/>
      <scheme val="minor"/>
    </font>
    <font>
      <b/>
      <sz val="9"/>
      <color theme="1"/>
      <name val="Calibri"/>
      <family val="2"/>
      <scheme val="minor"/>
    </font>
    <font>
      <sz val="9"/>
      <color theme="1"/>
      <name val="Calibri"/>
      <family val="2"/>
      <scheme val="minor"/>
    </font>
    <font>
      <sz val="11"/>
      <color rgb="FF00B050"/>
      <name val="Calibri"/>
      <family val="2"/>
      <scheme val="minor"/>
    </font>
    <font>
      <sz val="10"/>
      <color rgb="FF00B050"/>
      <name val="Arial"/>
      <family val="2"/>
    </font>
    <font>
      <b/>
      <sz val="11"/>
      <color rgb="FF00B050"/>
      <name val="Calibri"/>
      <family val="2"/>
      <scheme val="minor"/>
    </font>
    <font>
      <sz val="11"/>
      <color rgb="FF0070C0"/>
      <name val="Calibri"/>
      <family val="2"/>
      <scheme val="minor"/>
    </font>
    <font>
      <sz val="16"/>
      <name val="Arial"/>
      <family val="2"/>
    </font>
    <font>
      <b/>
      <vertAlign val="subscript"/>
      <sz val="15"/>
      <name val="Calibri"/>
      <family val="2"/>
      <scheme val="minor"/>
    </font>
    <font>
      <vertAlign val="subscript"/>
      <sz val="10"/>
      <color theme="1"/>
      <name val="Calibri"/>
      <family val="2"/>
      <scheme val="minor"/>
    </font>
    <font>
      <sz val="10"/>
      <color rgb="FF0070C0"/>
      <name val="Arial"/>
      <family val="2"/>
    </font>
    <font>
      <sz val="11"/>
      <color theme="1"/>
      <name val="Calibri"/>
      <family val="2"/>
      <charset val="186"/>
      <scheme val="minor"/>
    </font>
    <font>
      <sz val="9"/>
      <name val="Helvetica"/>
      <family val="2"/>
    </font>
    <font>
      <sz val="11"/>
      <color rgb="FF000000"/>
      <name val="Calibri"/>
      <family val="2"/>
    </font>
    <font>
      <b/>
      <sz val="11"/>
      <name val="Arial"/>
      <family val="2"/>
    </font>
    <font>
      <b/>
      <sz val="11"/>
      <color rgb="FF000000"/>
      <name val="Calibri"/>
      <family val="2"/>
    </font>
    <font>
      <b/>
      <sz val="14"/>
      <color rgb="FF000000"/>
      <name val="Calibri"/>
      <family val="2"/>
    </font>
    <font>
      <sz val="6"/>
      <color indexed="8"/>
      <name val="Arial"/>
      <family val="2"/>
    </font>
    <font>
      <b/>
      <sz val="8"/>
      <color indexed="8"/>
      <name val="Arial"/>
      <family val="2"/>
    </font>
    <font>
      <i/>
      <sz val="8"/>
      <color indexed="8"/>
      <name val="Arial"/>
      <family val="2"/>
    </font>
    <font>
      <i/>
      <sz val="6"/>
      <color indexed="8"/>
      <name val="Arial"/>
      <family val="2"/>
    </font>
    <font>
      <b/>
      <i/>
      <sz val="8"/>
      <color indexed="8"/>
      <name val="Arial"/>
      <family val="2"/>
    </font>
    <font>
      <b/>
      <sz val="11"/>
      <color indexed="8"/>
      <name val="Arial"/>
      <family val="2"/>
    </font>
    <font>
      <b/>
      <sz val="15"/>
      <color rgb="FF000000"/>
      <name val="Calibri"/>
      <family val="2"/>
    </font>
    <font>
      <sz val="10"/>
      <color rgb="FF666666"/>
      <name val="Arial"/>
      <family val="2"/>
    </font>
    <font>
      <sz val="9"/>
      <name val="Calibri"/>
      <family val="2"/>
      <scheme val="minor"/>
    </font>
    <font>
      <sz val="10"/>
      <color indexed="10"/>
      <name val="Arial"/>
      <family val="2"/>
    </font>
    <font>
      <sz val="11"/>
      <color indexed="30"/>
      <name val="Calibri"/>
      <family val="2"/>
    </font>
    <font>
      <sz val="11"/>
      <color indexed="16"/>
      <name val="Calibri"/>
      <family val="2"/>
    </font>
    <font>
      <sz val="11"/>
      <color indexed="23"/>
      <name val="Calibri"/>
      <family val="2"/>
    </font>
    <font>
      <sz val="11"/>
      <color indexed="57"/>
      <name val="Calibri"/>
      <family val="2"/>
    </font>
    <font>
      <sz val="11"/>
      <color indexed="19"/>
      <name val="Calibri"/>
      <family val="2"/>
    </font>
    <font>
      <sz val="11"/>
      <color indexed="63"/>
      <name val="Calibri"/>
      <family val="2"/>
    </font>
    <font>
      <sz val="11"/>
      <color indexed="29"/>
      <name val="Calibri"/>
      <family val="2"/>
    </font>
    <font>
      <sz val="11"/>
      <color indexed="28"/>
      <name val="Calibri"/>
      <family val="2"/>
    </font>
    <font>
      <sz val="11"/>
      <name val="Arial"/>
      <family val="2"/>
    </font>
    <font>
      <sz val="8"/>
      <color indexed="8"/>
      <name val="Calibri"/>
      <family val="2"/>
    </font>
    <font>
      <sz val="11"/>
      <color indexed="10"/>
      <name val="Arial"/>
      <family val="2"/>
    </font>
    <font>
      <sz val="11"/>
      <color indexed="63"/>
      <name val="Arial"/>
      <family val="2"/>
    </font>
    <font>
      <sz val="11"/>
      <color rgb="FFFF0000"/>
      <name val="Calibri"/>
      <family val="2"/>
    </font>
    <font>
      <sz val="10"/>
      <color indexed="63"/>
      <name val="Arial"/>
      <family val="2"/>
    </font>
    <font>
      <sz val="10"/>
      <color indexed="17"/>
      <name val="Arial"/>
      <family val="2"/>
    </font>
    <font>
      <b/>
      <sz val="10"/>
      <color rgb="FFFF0000"/>
      <name val="Arial"/>
      <family val="2"/>
    </font>
    <font>
      <sz val="8"/>
      <color rgb="FFFF0000"/>
      <name val="Calibri"/>
      <family val="2"/>
    </font>
    <font>
      <b/>
      <sz val="16"/>
      <color theme="1"/>
      <name val="Calibri"/>
      <family val="2"/>
      <scheme val="minor"/>
    </font>
    <font>
      <b/>
      <sz val="9"/>
      <color rgb="FF808080"/>
      <name val="Calibri"/>
      <family val="2"/>
    </font>
    <font>
      <sz val="9"/>
      <color rgb="FFC00000"/>
      <name val="Calibri"/>
      <family val="2"/>
    </font>
    <font>
      <b/>
      <sz val="10"/>
      <name val="Open Sans"/>
      <family val="2"/>
    </font>
    <font>
      <b/>
      <sz val="8"/>
      <name val="Open Sans"/>
      <family val="2"/>
    </font>
    <font>
      <i/>
      <sz val="9"/>
      <color rgb="FF44546A"/>
      <name val="Calibri"/>
      <family val="2"/>
    </font>
    <font>
      <sz val="11"/>
      <name val="Times New Roman"/>
      <family val="1"/>
    </font>
    <font>
      <b/>
      <sz val="11"/>
      <name val="Times New Roman"/>
      <family val="1"/>
    </font>
    <font>
      <b/>
      <sz val="11"/>
      <name val="Times New Roman"/>
      <family val="1"/>
      <charset val="204"/>
    </font>
    <font>
      <sz val="11"/>
      <color indexed="8"/>
      <name val="Times New Roman"/>
      <family val="1"/>
    </font>
    <font>
      <b/>
      <sz val="11"/>
      <color indexed="8"/>
      <name val="Times New Roman"/>
      <family val="1"/>
    </font>
    <font>
      <sz val="10"/>
      <name val="Arial"/>
      <family val="2"/>
      <charset val="1"/>
    </font>
    <font>
      <b/>
      <sz val="9"/>
      <name val="Arial"/>
      <family val="2"/>
      <charset val="1"/>
    </font>
    <font>
      <b/>
      <vertAlign val="subscript"/>
      <sz val="9"/>
      <name val="Arial"/>
      <family val="2"/>
    </font>
    <font>
      <b/>
      <sz val="9"/>
      <name val="Arial"/>
      <family val="2"/>
    </font>
    <font>
      <sz val="9"/>
      <name val="Arial"/>
      <family val="2"/>
      <charset val="1"/>
    </font>
    <font>
      <vertAlign val="subscript"/>
      <sz val="9"/>
      <name val="Arial"/>
      <family val="2"/>
    </font>
    <font>
      <sz val="9"/>
      <name val="Arial"/>
      <family val="2"/>
    </font>
    <font>
      <sz val="11"/>
      <color theme="1"/>
      <name val="Times New Roman"/>
      <family val="1"/>
      <charset val="204"/>
    </font>
    <font>
      <b/>
      <sz val="11"/>
      <color theme="1"/>
      <name val="Times New Roman"/>
      <family val="1"/>
      <charset val="204"/>
    </font>
    <font>
      <sz val="12"/>
      <color theme="1"/>
      <name val="Calibri"/>
      <family val="2"/>
      <scheme val="minor"/>
    </font>
    <font>
      <sz val="12"/>
      <color indexed="17"/>
      <name val="Calibri"/>
      <family val="2"/>
    </font>
    <font>
      <sz val="12"/>
      <color indexed="10"/>
      <name val="Calibri"/>
      <family val="2"/>
    </font>
    <font>
      <sz val="11"/>
      <color indexed="8"/>
      <name val="Calibri"/>
      <family val="2"/>
      <scheme val="minor"/>
    </font>
    <font>
      <sz val="9"/>
      <name val="Arial"/>
    </font>
    <font>
      <b/>
      <sz val="9"/>
      <name val="Arial"/>
    </font>
    <font>
      <b/>
      <sz val="9"/>
      <color indexed="9"/>
      <name val="Arial"/>
    </font>
    <font>
      <b/>
      <sz val="11"/>
      <name val="Arial"/>
    </font>
    <font>
      <u/>
      <sz val="9"/>
      <color indexed="12"/>
      <name val="Arial"/>
    </font>
    <font>
      <b/>
      <sz val="11"/>
      <color rgb="FF0000FF"/>
      <name val="Calibri"/>
      <family val="2"/>
      <scheme val="minor"/>
    </font>
    <font>
      <b/>
      <sz val="9"/>
      <color rgb="FF000000"/>
      <name val="Tahoma"/>
      <family val="2"/>
    </font>
    <font>
      <sz val="9"/>
      <color rgb="FF000000"/>
      <name val="Tahoma"/>
      <family val="2"/>
    </font>
  </fonts>
  <fills count="115">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51"/>
        <bgColor indexed="64"/>
      </patternFill>
    </fill>
    <fill>
      <patternFill patternType="solid">
        <fgColor indexed="29"/>
        <bgColor indexed="64"/>
      </patternFill>
    </fill>
    <fill>
      <patternFill patternType="solid">
        <fgColor indexed="43"/>
        <bgColor indexed="64"/>
      </patternFill>
    </fill>
    <fill>
      <patternFill patternType="solid">
        <fgColor indexed="31"/>
        <bgColor indexed="64"/>
      </patternFill>
    </fill>
    <fill>
      <patternFill patternType="solid">
        <fgColor indexed="13"/>
        <bgColor indexed="64"/>
      </patternFill>
    </fill>
    <fill>
      <patternFill patternType="solid">
        <fgColor indexed="46"/>
        <bgColor indexed="64"/>
      </patternFill>
    </fill>
    <fill>
      <patternFill patternType="solid">
        <fgColor indexed="50"/>
        <bgColor indexed="64"/>
      </patternFill>
    </fill>
    <fill>
      <patternFill patternType="solid">
        <fgColor indexed="52"/>
        <bgColor indexed="64"/>
      </patternFill>
    </fill>
    <fill>
      <patternFill patternType="solid">
        <fgColor theme="0"/>
        <bgColor indexed="64"/>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rgb="FFC6EFCE"/>
      </patternFill>
    </fill>
    <fill>
      <patternFill patternType="solid">
        <fgColor rgb="FFFFCC99"/>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5" tint="0.59999389629810485"/>
        <bgColor indexed="64"/>
      </patternFill>
    </fill>
    <fill>
      <patternFill patternType="solid">
        <fgColor rgb="FFFFFF66"/>
        <bgColor indexed="64"/>
      </patternFill>
    </fill>
    <fill>
      <patternFill patternType="solid">
        <fgColor rgb="FF9999FF"/>
        <bgColor indexed="64"/>
      </patternFill>
    </fill>
    <fill>
      <patternFill patternType="solid">
        <fgColor rgb="FFFFFF0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0000"/>
        <bgColor indexed="64"/>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indexed="12"/>
        <bgColor indexed="64"/>
      </patternFill>
    </fill>
    <fill>
      <patternFill patternType="solid">
        <fgColor indexed="42"/>
        <bgColor indexed="64"/>
      </patternFill>
    </fill>
    <fill>
      <patternFill patternType="solid">
        <fgColor rgb="FF99CCFF"/>
        <bgColor indexed="64"/>
      </patternFill>
    </fill>
    <fill>
      <patternFill patternType="solid">
        <fgColor rgb="FFFFCC00"/>
        <bgColor indexed="64"/>
      </patternFill>
    </fill>
    <fill>
      <patternFill patternType="solid">
        <fgColor theme="6" tint="0.59999389629810485"/>
        <bgColor indexed="64"/>
      </patternFill>
    </fill>
    <fill>
      <patternFill patternType="solid">
        <fgColor rgb="FFCCFFCC"/>
        <bgColor indexed="64"/>
      </patternFill>
    </fill>
    <fill>
      <patternFill patternType="solid">
        <fgColor rgb="FFFFFF99"/>
        <bgColor indexed="64"/>
      </patternFill>
    </fill>
    <fill>
      <patternFill patternType="solid">
        <fgColor theme="6"/>
        <bgColor indexed="64"/>
      </patternFill>
    </fill>
    <fill>
      <patternFill patternType="solid">
        <fgColor rgb="FFFFA07A"/>
        <bgColor rgb="FFFFA07A"/>
      </patternFill>
    </fill>
    <fill>
      <patternFill patternType="solid">
        <fgColor indexed="27"/>
        <bgColor indexed="64"/>
      </patternFill>
    </fill>
    <fill>
      <patternFill patternType="solid">
        <fgColor theme="6" tint="0.79998168889431442"/>
        <bgColor indexed="64"/>
      </patternFill>
    </fill>
    <fill>
      <patternFill patternType="solid">
        <fgColor indexed="45"/>
        <bgColor indexed="64"/>
      </patternFill>
    </fill>
    <fill>
      <patternFill patternType="solid">
        <fgColor indexed="22"/>
        <bgColor indexed="64"/>
      </patternFill>
    </fill>
    <fill>
      <patternFill patternType="solid">
        <fgColor theme="3" tint="0.59999389629810485"/>
        <bgColor indexed="64"/>
      </patternFill>
    </fill>
    <fill>
      <patternFill patternType="solid">
        <fgColor rgb="FF00B0F0"/>
        <bgColor indexed="64"/>
      </patternFill>
    </fill>
    <fill>
      <patternFill patternType="solid">
        <fgColor rgb="FFD8E4BC"/>
        <bgColor rgb="FF000000"/>
      </patternFill>
    </fill>
    <fill>
      <patternFill patternType="solid">
        <fgColor theme="9" tint="0.79998168889431442"/>
        <bgColor indexed="64"/>
      </patternFill>
    </fill>
    <fill>
      <patternFill patternType="solid">
        <fgColor rgb="FF00FFFF"/>
        <bgColor rgb="FF00FFFF"/>
      </patternFill>
    </fill>
    <fill>
      <patternFill patternType="solid">
        <fgColor them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6F6F6"/>
      </patternFill>
    </fill>
    <fill>
      <patternFill patternType="solid">
        <fgColor rgb="FFDCE6F1"/>
      </patternFill>
    </fill>
    <fill>
      <patternFill patternType="mediumGray">
        <bgColor indexed="22"/>
      </patternFill>
    </fill>
    <fill>
      <patternFill patternType="solid">
        <fgColor rgb="FF0096DC"/>
      </patternFill>
    </fill>
    <fill>
      <patternFill patternType="solid">
        <fgColor rgb="FF4669AF"/>
      </patternFill>
    </fill>
    <fill>
      <patternFill patternType="solid">
        <fgColor rgb="FFFFFF5B"/>
        <bgColor indexed="64"/>
      </patternFill>
    </fill>
  </fills>
  <borders count="173">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medium">
        <color indexed="64"/>
      </right>
      <top/>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ck">
        <color indexed="64"/>
      </left>
      <right style="thin">
        <color indexed="64"/>
      </right>
      <top style="thick">
        <color indexed="64"/>
      </top>
      <bottom style="medium">
        <color indexed="64"/>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diagonal/>
    </border>
    <border>
      <left/>
      <right/>
      <top/>
      <bottom style="thin">
        <color auto="1"/>
      </bottom>
      <diagonal/>
    </border>
    <border>
      <left/>
      <right/>
      <top/>
      <bottom style="medium">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auto="1"/>
      </top>
      <bottom style="thin">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top/>
      <bottom style="thin">
        <color indexed="8"/>
      </bottom>
      <diagonal/>
    </border>
    <border>
      <left style="thin">
        <color indexed="64"/>
      </left>
      <right/>
      <top style="hair">
        <color indexed="22"/>
      </top>
      <bottom style="thin">
        <color indexed="64"/>
      </bottom>
      <diagonal/>
    </border>
    <border>
      <left style="thin">
        <color indexed="64"/>
      </left>
      <right style="thin">
        <color indexed="64"/>
      </right>
      <top style="hair">
        <color indexed="22"/>
      </top>
      <bottom style="thin">
        <color indexed="64"/>
      </bottom>
      <diagonal/>
    </border>
    <border>
      <left/>
      <right/>
      <top style="hair">
        <color indexed="22"/>
      </top>
      <bottom style="thin">
        <color indexed="64"/>
      </bottom>
      <diagonal/>
    </border>
    <border>
      <left style="thin">
        <color indexed="64"/>
      </left>
      <right/>
      <top style="hair">
        <color indexed="22"/>
      </top>
      <bottom style="hair">
        <color indexed="22"/>
      </bottom>
      <diagonal/>
    </border>
    <border>
      <left style="thin">
        <color indexed="64"/>
      </left>
      <right style="thin">
        <color indexed="64"/>
      </right>
      <top style="hair">
        <color indexed="22"/>
      </top>
      <bottom style="hair">
        <color indexed="22"/>
      </bottom>
      <diagonal/>
    </border>
    <border>
      <left/>
      <right/>
      <top style="hair">
        <color indexed="22"/>
      </top>
      <bottom style="hair">
        <color indexed="22"/>
      </bottom>
      <diagonal/>
    </border>
    <border>
      <left style="thin">
        <color indexed="64"/>
      </left>
      <right/>
      <top/>
      <bottom style="hair">
        <color indexed="22"/>
      </bottom>
      <diagonal/>
    </border>
    <border>
      <left style="thin">
        <color indexed="64"/>
      </left>
      <right style="thin">
        <color indexed="64"/>
      </right>
      <top/>
      <bottom style="hair">
        <color indexed="22"/>
      </bottom>
      <diagonal/>
    </border>
    <border>
      <left/>
      <right/>
      <top/>
      <bottom style="hair">
        <color indexed="22"/>
      </bottom>
      <diagonal/>
    </border>
    <border>
      <left style="thin">
        <color indexed="64"/>
      </left>
      <right/>
      <top style="hair">
        <color indexed="22"/>
      </top>
      <bottom style="thin">
        <color indexed="8"/>
      </bottom>
      <diagonal/>
    </border>
    <border>
      <left style="thin">
        <color indexed="64"/>
      </left>
      <right style="thin">
        <color indexed="64"/>
      </right>
      <top style="hair">
        <color indexed="22"/>
      </top>
      <bottom style="thin">
        <color indexed="8"/>
      </bottom>
      <diagonal/>
    </border>
    <border>
      <left/>
      <right/>
      <top style="hair">
        <color indexed="22"/>
      </top>
      <bottom style="thin">
        <color indexed="8"/>
      </bottom>
      <diagonal/>
    </border>
    <border>
      <left style="thin">
        <color indexed="64"/>
      </left>
      <right/>
      <top style="thin">
        <color indexed="64"/>
      </top>
      <bottom style="thin">
        <color indexed="64"/>
      </bottom>
      <diagonal/>
    </border>
    <border>
      <left style="thin">
        <color indexed="64"/>
      </left>
      <right/>
      <top style="thin">
        <color indexed="64"/>
      </top>
      <bottom style="hair">
        <color indexed="22"/>
      </bottom>
      <diagonal/>
    </border>
    <border>
      <left style="thin">
        <color indexed="64"/>
      </left>
      <right style="thin">
        <color indexed="64"/>
      </right>
      <top style="thin">
        <color indexed="64"/>
      </top>
      <bottom style="hair">
        <color indexed="22"/>
      </bottom>
      <diagonal/>
    </border>
    <border>
      <left/>
      <right/>
      <top style="thin">
        <color indexed="64"/>
      </top>
      <bottom style="hair">
        <color indexed="22"/>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B0B0B0"/>
      </left>
      <right style="thin">
        <color rgb="FFB0B0B0"/>
      </right>
      <top style="thin">
        <color rgb="FFB0B0B0"/>
      </top>
      <bottom style="thin">
        <color rgb="FFB0B0B0"/>
      </bottom>
      <diagonal/>
    </border>
    <border>
      <left/>
      <right style="thin">
        <color rgb="FFB0B0B0"/>
      </right>
      <top style="thin">
        <color rgb="FFB0B0B0"/>
      </top>
      <bottom style="thin">
        <color rgb="FFB0B0B0"/>
      </bottom>
      <diagonal/>
    </border>
    <border>
      <left style="thin">
        <color rgb="FFB0B0B0"/>
      </left>
      <right/>
      <top style="thin">
        <color rgb="FFB0B0B0"/>
      </top>
      <bottom style="thin">
        <color rgb="FFB0B0B0"/>
      </bottom>
      <diagonal/>
    </border>
    <border>
      <left/>
      <right/>
      <top style="thin">
        <color rgb="FFB0B0B0"/>
      </top>
      <bottom style="thin">
        <color rgb="FFB0B0B0"/>
      </bottom>
      <diagonal/>
    </border>
  </borders>
  <cellStyleXfs count="10696">
    <xf numFmtId="0" fontId="0" fillId="0" borderId="0"/>
    <xf numFmtId="177" fontId="13" fillId="0" borderId="0"/>
    <xf numFmtId="3" fontId="13" fillId="37" borderId="77" applyFont="0" applyFill="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9" borderId="0" applyNumberFormat="0" applyBorder="0" applyAlignment="0" applyProtection="0"/>
    <xf numFmtId="0" fontId="15" fillId="12" borderId="0" applyNumberFormat="0" applyBorder="0" applyAlignment="0" applyProtection="0"/>
    <xf numFmtId="0" fontId="13" fillId="0" borderId="0" applyNumberFormat="0" applyFont="0" applyFill="0" applyBorder="0" applyProtection="0">
      <alignment horizontal="left" vertical="center" indent="5"/>
    </xf>
    <xf numFmtId="0" fontId="16" fillId="13"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4" fontId="43" fillId="21" borderId="2">
      <alignment horizontal="right" vertical="center"/>
    </xf>
    <xf numFmtId="4" fontId="43" fillId="21" borderId="2">
      <alignment horizontal="right" vertical="center"/>
    </xf>
    <xf numFmtId="0" fontId="67" fillId="38" borderId="0" applyNumberFormat="0" applyBorder="0" applyAlignment="0" applyProtection="0"/>
    <xf numFmtId="3" fontId="68" fillId="39" borderId="77" applyNumberFormat="0" applyBorder="0" applyAlignment="0" applyProtection="0"/>
    <xf numFmtId="0" fontId="17" fillId="23" borderId="1" applyNumberFormat="0" applyAlignment="0" applyProtection="0"/>
    <xf numFmtId="0" fontId="69" fillId="40" borderId="77" applyNumberFormat="0" applyAlignment="0" applyProtection="0"/>
    <xf numFmtId="0" fontId="34" fillId="37" borderId="77" applyNumberFormat="0" applyBorder="0" applyAlignment="0" applyProtection="0"/>
    <xf numFmtId="0" fontId="18" fillId="0" borderId="3" applyNumberFormat="0" applyFill="0" applyAlignment="0" applyProtection="0"/>
    <xf numFmtId="0" fontId="19" fillId="24" borderId="4" applyNumberFormat="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20" borderId="0" applyNumberFormat="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13" fillId="0" borderId="0" applyFont="0" applyFill="0" applyBorder="0" applyAlignment="0" applyProtection="0"/>
    <xf numFmtId="164" fontId="40" fillId="0" borderId="0" applyFont="0" applyFill="0" applyBorder="0" applyAlignment="0" applyProtection="0"/>
    <xf numFmtId="164" fontId="41" fillId="0" borderId="0" applyFont="0" applyFill="0" applyBorder="0" applyAlignment="0" applyProtection="0"/>
    <xf numFmtId="164" fontId="13" fillId="0" borderId="0" applyFont="0" applyFill="0" applyBorder="0" applyAlignment="0" applyProtection="0"/>
    <xf numFmtId="164" fontId="41" fillId="0" borderId="0" applyFont="0" applyFill="0" applyBorder="0" applyAlignment="0" applyProtection="0"/>
    <xf numFmtId="164" fontId="60" fillId="0" borderId="0" applyFont="0" applyFill="0" applyBorder="0" applyAlignment="0" applyProtection="0"/>
    <xf numFmtId="43" fontId="49" fillId="0" borderId="0" applyFont="0" applyFill="0" applyBorder="0" applyAlignment="0" applyProtection="0"/>
    <xf numFmtId="43" fontId="15" fillId="0" borderId="0" applyFont="0" applyFill="0" applyBorder="0" applyAlignment="0" applyProtection="0"/>
    <xf numFmtId="164" fontId="13" fillId="0" borderId="0" applyFont="0" applyFill="0" applyBorder="0" applyAlignment="0" applyProtection="0"/>
    <xf numFmtId="164" fontId="49" fillId="0" borderId="0" applyFont="0" applyFill="0" applyBorder="0" applyAlignment="0" applyProtection="0"/>
    <xf numFmtId="164" fontId="15" fillId="0" borderId="0" applyFont="0" applyFill="0" applyBorder="0" applyAlignment="0" applyProtection="0"/>
    <xf numFmtId="164" fontId="66" fillId="0" borderId="0" applyFont="0" applyFill="0" applyBorder="0" applyAlignment="0" applyProtection="0"/>
    <xf numFmtId="164" fontId="40" fillId="0" borderId="0" applyFont="0" applyFill="0" applyBorder="0" applyAlignment="0" applyProtection="0"/>
    <xf numFmtId="164" fontId="49" fillId="0" borderId="0" applyFont="0" applyFill="0" applyBorder="0" applyAlignment="0" applyProtection="0"/>
    <xf numFmtId="164" fontId="15" fillId="0" borderId="0" applyFont="0" applyFill="0" applyBorder="0" applyAlignment="0" applyProtection="0"/>
    <xf numFmtId="164" fontId="66"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38" fillId="0" borderId="0"/>
    <xf numFmtId="0" fontId="44" fillId="0" borderId="5">
      <alignment horizontal="left" vertical="center" wrapText="1" indent="2"/>
    </xf>
    <xf numFmtId="168" fontId="12"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72"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0"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8" fontId="41" fillId="0" borderId="0" applyFont="0" applyFill="0" applyBorder="0" applyAlignment="0" applyProtection="0"/>
    <xf numFmtId="177" fontId="13"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0" fontId="38" fillId="0" borderId="0"/>
    <xf numFmtId="0" fontId="70" fillId="41" borderId="0" applyNumberFormat="0" applyBorder="0" applyAlignment="0" applyProtection="0"/>
    <xf numFmtId="0" fontId="71" fillId="0" borderId="78" applyNumberFormat="0" applyFill="0" applyAlignment="0" applyProtection="0"/>
    <xf numFmtId="0" fontId="72" fillId="0" borderId="79" applyNumberFormat="0" applyFill="0" applyAlignment="0" applyProtection="0"/>
    <xf numFmtId="0" fontId="73" fillId="0" borderId="0" applyNumberFormat="0" applyFill="0" applyBorder="0" applyAlignment="0" applyProtection="0"/>
    <xf numFmtId="177" fontId="64" fillId="0" borderId="0" applyNumberFormat="0" applyFill="0" applyBorder="0" applyAlignment="0" applyProtection="0">
      <alignment vertical="top"/>
      <protection locked="0"/>
    </xf>
    <xf numFmtId="0" fontId="20" fillId="8" borderId="1" applyNumberFormat="0" applyAlignment="0" applyProtection="0"/>
    <xf numFmtId="0" fontId="20" fillId="8" borderId="1" applyNumberFormat="0" applyAlignment="0" applyProtection="0"/>
    <xf numFmtId="0" fontId="74" fillId="42" borderId="77" applyNumberFormat="0" applyAlignment="0" applyProtection="0"/>
    <xf numFmtId="4" fontId="44" fillId="0" borderId="0" applyBorder="0">
      <alignment horizontal="right" vertical="center"/>
    </xf>
    <xf numFmtId="164" fontId="49" fillId="0" borderId="0" applyFont="0" applyFill="0" applyBorder="0" applyAlignment="0" applyProtection="0"/>
    <xf numFmtId="164" fontId="15" fillId="0" borderId="0" applyFont="0" applyFill="0" applyBorder="0" applyAlignment="0" applyProtection="0"/>
    <xf numFmtId="43" fontId="49" fillId="0" borderId="0" applyFont="0" applyFill="0" applyBorder="0" applyAlignment="0" applyProtection="0"/>
    <xf numFmtId="43" fontId="15" fillId="0" borderId="0" applyFont="0" applyFill="0" applyBorder="0" applyAlignment="0" applyProtection="0"/>
    <xf numFmtId="164" fontId="66" fillId="0" borderId="0" applyFont="0" applyFill="0" applyBorder="0" applyAlignment="0" applyProtection="0"/>
    <xf numFmtId="164" fontId="13" fillId="0" borderId="0" applyFont="0" applyFill="0" applyBorder="0" applyAlignment="0" applyProtection="0"/>
    <xf numFmtId="0" fontId="75" fillId="0" borderId="0" applyNumberFormat="0" applyFill="0" applyBorder="0" applyAlignment="0" applyProtection="0"/>
    <xf numFmtId="178" fontId="76" fillId="43" borderId="0" applyNumberFormat="0" applyBorder="0" applyAlignment="0" applyProtection="0">
      <alignment horizontal="center" vertical="top" wrapText="1"/>
    </xf>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164" fontId="13"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0" fontId="22" fillId="26" borderId="0" applyNumberFormat="0" applyBorder="0" applyAlignment="0" applyProtection="0"/>
    <xf numFmtId="0" fontId="13" fillId="0" borderId="0"/>
    <xf numFmtId="0" fontId="13" fillId="0" borderId="0"/>
    <xf numFmtId="0" fontId="38" fillId="0" borderId="0"/>
    <xf numFmtId="0" fontId="13" fillId="0" borderId="0"/>
    <xf numFmtId="0" fontId="38" fillId="0" borderId="0"/>
    <xf numFmtId="0" fontId="33" fillId="0" borderId="0" applyFill="0" applyBorder="0"/>
    <xf numFmtId="0" fontId="61" fillId="0" borderId="0"/>
    <xf numFmtId="0" fontId="38" fillId="0" borderId="0"/>
    <xf numFmtId="0" fontId="66" fillId="0" borderId="0"/>
    <xf numFmtId="0" fontId="13" fillId="0" borderId="0"/>
    <xf numFmtId="0" fontId="66" fillId="0" borderId="0"/>
    <xf numFmtId="0" fontId="77" fillId="0" borderId="0"/>
    <xf numFmtId="0" fontId="13" fillId="0" borderId="0"/>
    <xf numFmtId="0" fontId="78" fillId="0" borderId="0"/>
    <xf numFmtId="0" fontId="66" fillId="0" borderId="0"/>
    <xf numFmtId="0" fontId="13" fillId="0" borderId="0"/>
    <xf numFmtId="0" fontId="78" fillId="0" borderId="0"/>
    <xf numFmtId="0" fontId="41" fillId="0" borderId="0"/>
    <xf numFmtId="0" fontId="41" fillId="0" borderId="0"/>
    <xf numFmtId="0" fontId="66" fillId="0" borderId="0"/>
    <xf numFmtId="178" fontId="34" fillId="37" borderId="0" applyNumberFormat="0" applyBorder="0" applyAlignment="0"/>
    <xf numFmtId="4" fontId="44" fillId="0" borderId="2" applyFill="0" applyBorder="0" applyProtection="0">
      <alignment horizontal="right" vertical="center"/>
    </xf>
    <xf numFmtId="0" fontId="45" fillId="0" borderId="0" applyNumberFormat="0" applyFill="0" applyBorder="0" applyProtection="0">
      <alignment horizontal="left" vertical="center"/>
    </xf>
    <xf numFmtId="0" fontId="13" fillId="27" borderId="0" applyNumberFormat="0" applyFont="0" applyBorder="0" applyAlignment="0" applyProtection="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5" fillId="0" borderId="0"/>
    <xf numFmtId="0" fontId="15"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42" fillId="0" borderId="0"/>
    <xf numFmtId="0" fontId="12" fillId="28" borderId="9" applyNumberFormat="0" applyFont="0" applyAlignment="0" applyProtection="0"/>
    <xf numFmtId="0" fontId="13" fillId="28" borderId="9" applyNumberFormat="0" applyFont="0" applyAlignment="0" applyProtection="0"/>
    <xf numFmtId="0" fontId="40" fillId="28" borderId="9" applyNumberFormat="0" applyFont="0" applyAlignment="0" applyProtection="0"/>
    <xf numFmtId="0" fontId="41" fillId="28" borderId="9" applyNumberFormat="0" applyFont="0" applyAlignment="0" applyProtection="0"/>
    <xf numFmtId="0" fontId="13" fillId="28" borderId="9" applyNumberFormat="0" applyFont="0" applyAlignment="0" applyProtection="0"/>
    <xf numFmtId="0" fontId="40" fillId="28" borderId="9" applyNumberFormat="0" applyFont="0" applyAlignment="0" applyProtection="0"/>
    <xf numFmtId="0" fontId="13" fillId="28" borderId="9" applyNumberFormat="0" applyFont="0" applyAlignment="0" applyProtection="0"/>
    <xf numFmtId="0" fontId="41" fillId="28" borderId="9" applyNumberFormat="0" applyFont="0" applyAlignment="0" applyProtection="0"/>
    <xf numFmtId="167" fontId="12"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0" fontId="23" fillId="23" borderId="10" applyNumberFormat="0" applyAlignment="0" applyProtection="0"/>
    <xf numFmtId="0" fontId="23" fillId="23" borderId="10" applyNumberFormat="0" applyAlignment="0" applyProtection="0"/>
    <xf numFmtId="0" fontId="79" fillId="40" borderId="80" applyNumberFormat="0" applyAlignment="0" applyProtection="0"/>
    <xf numFmtId="0" fontId="80" fillId="44" borderId="0" applyNumberFormat="0" applyAlignment="0" applyProtection="0"/>
    <xf numFmtId="0" fontId="81" fillId="45" borderId="0" applyNumberFormat="0" applyAlignment="0" applyProtection="0"/>
    <xf numFmtId="0" fontId="82" fillId="46" borderId="0" applyNumberFormat="0" applyAlignment="0" applyProtection="0"/>
    <xf numFmtId="178" fontId="63" fillId="2" borderId="0" applyNumberFormat="0" applyFill="0" applyBorder="0" applyAlignment="0">
      <alignment horizontal="center"/>
    </xf>
    <xf numFmtId="0" fontId="38" fillId="0" borderId="0"/>
    <xf numFmtId="9" fontId="12"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9" fillId="0" borderId="0" applyFont="0" applyFill="0" applyBorder="0" applyAlignment="0" applyProtection="0"/>
    <xf numFmtId="9" fontId="15" fillId="0" borderId="0" applyFont="0" applyFill="0" applyBorder="0" applyAlignment="0" applyProtection="0"/>
    <xf numFmtId="9" fontId="66" fillId="0" borderId="0" applyFont="0" applyFill="0" applyBorder="0" applyAlignment="0" applyProtection="0"/>
    <xf numFmtId="0" fontId="13" fillId="0" borderId="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11" applyNumberFormat="0" applyFill="0" applyAlignment="0" applyProtection="0"/>
    <xf numFmtId="0" fontId="84" fillId="40" borderId="77" applyNumberFormat="0" applyFill="0" applyBorder="0" applyAlignment="0" applyProtection="0"/>
    <xf numFmtId="0" fontId="31" fillId="4" borderId="0" applyNumberFormat="0" applyBorder="0" applyAlignment="0" applyProtection="0"/>
    <xf numFmtId="0" fontId="32" fillId="5" borderId="0" applyNumberFormat="0" applyBorder="0" applyAlignment="0" applyProtection="0"/>
    <xf numFmtId="0" fontId="62" fillId="40" borderId="77" applyFill="0" applyBorder="0" applyAlignment="0" applyProtection="0"/>
    <xf numFmtId="4" fontId="44" fillId="0" borderId="0"/>
    <xf numFmtId="0" fontId="11" fillId="0" borderId="0"/>
    <xf numFmtId="164" fontId="11" fillId="0" borderId="0" applyFont="0" applyFill="0" applyBorder="0" applyAlignment="0" applyProtection="0"/>
    <xf numFmtId="0" fontId="12" fillId="0" borderId="0"/>
    <xf numFmtId="0" fontId="67" fillId="38" borderId="0" applyNumberFormat="0" applyBorder="0" applyAlignment="0" applyProtection="0"/>
    <xf numFmtId="0" fontId="69" fillId="40" borderId="77" applyNumberFormat="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78" fillId="0" borderId="0"/>
    <xf numFmtId="0" fontId="78" fillId="0" borderId="0"/>
    <xf numFmtId="0" fontId="78" fillId="0" borderId="0"/>
    <xf numFmtId="177" fontId="12" fillId="0" borderId="0"/>
    <xf numFmtId="3" fontId="12" fillId="37" borderId="77" applyFont="0" applyFill="0" applyBorder="0" applyAlignment="0" applyProtection="0"/>
    <xf numFmtId="0" fontId="12" fillId="0" borderId="0" applyNumberFormat="0" applyFont="0" applyFill="0" applyBorder="0" applyProtection="0">
      <alignment horizontal="left" vertical="center" indent="5"/>
    </xf>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0" fillId="0" borderId="0" applyFont="0" applyFill="0" applyBorder="0" applyAlignment="0" applyProtection="0"/>
    <xf numFmtId="164" fontId="12" fillId="0" borderId="0" applyFont="0" applyFill="0" applyBorder="0" applyAlignment="0" applyProtection="0"/>
    <xf numFmtId="164" fontId="1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72"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0"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77"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4" fontId="10" fillId="0" borderId="0" applyFont="0" applyFill="0" applyBorder="0" applyAlignment="0" applyProtection="0"/>
    <xf numFmtId="16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0" fillId="0" borderId="0"/>
    <xf numFmtId="0" fontId="12" fillId="0" borderId="0"/>
    <xf numFmtId="0" fontId="10" fillId="0" borderId="0"/>
    <xf numFmtId="0" fontId="12" fillId="0" borderId="0"/>
    <xf numFmtId="0" fontId="10" fillId="0" borderId="0"/>
    <xf numFmtId="0" fontId="12" fillId="0" borderId="0"/>
    <xf numFmtId="0" fontId="10" fillId="0" borderId="0"/>
    <xf numFmtId="0" fontId="12" fillId="27" borderId="0" applyNumberFormat="0" applyFon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28" borderId="9" applyNumberFormat="0" applyFont="0" applyAlignment="0" applyProtection="0"/>
    <xf numFmtId="0" fontId="12" fillId="28" borderId="9" applyNumberFormat="0" applyFont="0" applyAlignment="0" applyProtection="0"/>
    <xf numFmtId="0" fontId="12" fillId="28" borderId="9" applyNumberFormat="0" applyFont="0" applyAlignment="0" applyProtection="0"/>
    <xf numFmtId="0" fontId="12" fillId="28" borderId="9" applyNumberFormat="0" applyFont="0" applyAlignment="0" applyProtection="0"/>
    <xf numFmtId="0" fontId="12" fillId="28" borderId="9" applyNumberFormat="0" applyFont="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0" fontId="10" fillId="0" borderId="0"/>
    <xf numFmtId="164" fontId="10"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41" fillId="0" borderId="0" applyFont="0" applyFill="0" applyBorder="0" applyAlignment="0" applyProtection="0"/>
    <xf numFmtId="164" fontId="12" fillId="0" borderId="0" applyFont="0" applyFill="0" applyBorder="0" applyAlignment="0" applyProtection="0"/>
    <xf numFmtId="164" fontId="41" fillId="0" borderId="0" applyFont="0" applyFill="0" applyBorder="0" applyAlignment="0" applyProtection="0"/>
    <xf numFmtId="164" fontId="96" fillId="0" borderId="0" applyFont="0" applyFill="0" applyBorder="0" applyAlignment="0" applyProtection="0"/>
    <xf numFmtId="164" fontId="12"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164" fontId="9"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0" fontId="78" fillId="0" borderId="0"/>
    <xf numFmtId="0" fontId="67" fillId="38" borderId="0" applyNumberFormat="0" applyBorder="0" applyAlignment="0" applyProtection="0"/>
    <xf numFmtId="0" fontId="9" fillId="0" borderId="0"/>
    <xf numFmtId="0" fontId="9" fillId="0" borderId="0"/>
    <xf numFmtId="0" fontId="9" fillId="0" borderId="0"/>
    <xf numFmtId="0" fontId="9" fillId="0" borderId="0"/>
    <xf numFmtId="0" fontId="78" fillId="0" borderId="0"/>
    <xf numFmtId="0" fontId="12" fillId="0" borderId="0"/>
    <xf numFmtId="0" fontId="78" fillId="0" borderId="0"/>
    <xf numFmtId="0" fontId="9" fillId="0" borderId="0"/>
    <xf numFmtId="0" fontId="9" fillId="0" borderId="0"/>
    <xf numFmtId="0" fontId="9" fillId="0" borderId="0"/>
    <xf numFmtId="0" fontId="9" fillId="0" borderId="0"/>
    <xf numFmtId="0" fontId="98" fillId="0" borderId="0" applyNumberFormat="0" applyFill="0" applyBorder="0" applyAlignment="0" applyProtection="0"/>
    <xf numFmtId="0" fontId="99" fillId="38" borderId="0" applyNumberFormat="0" applyBorder="0" applyAlignment="0" applyProtection="0"/>
    <xf numFmtId="0" fontId="100" fillId="56" borderId="0" applyNumberFormat="0" applyBorder="0" applyAlignment="0" applyProtection="0"/>
    <xf numFmtId="0" fontId="101" fillId="0" borderId="84" applyNumberFormat="0" applyFill="0" applyAlignment="0" applyProtection="0"/>
    <xf numFmtId="0" fontId="102" fillId="57" borderId="85" applyNumberFormat="0" applyAlignment="0" applyProtection="0"/>
    <xf numFmtId="0" fontId="103" fillId="0" borderId="0" applyNumberFormat="0" applyFill="0" applyBorder="0" applyAlignment="0" applyProtection="0"/>
    <xf numFmtId="0" fontId="104" fillId="0" borderId="0" applyNumberFormat="0" applyFill="0" applyBorder="0" applyAlignment="0" applyProtection="0"/>
    <xf numFmtId="0" fontId="83" fillId="0" borderId="87" applyNumberFormat="0" applyFill="0" applyAlignment="0" applyProtection="0"/>
    <xf numFmtId="0" fontId="105" fillId="59" borderId="0" applyNumberFormat="0" applyBorder="0" applyAlignment="0" applyProtection="0"/>
    <xf numFmtId="0" fontId="8" fillId="60" borderId="0" applyNumberFormat="0" applyBorder="0" applyAlignment="0" applyProtection="0"/>
    <xf numFmtId="0" fontId="8" fillId="61" borderId="0" applyNumberFormat="0" applyBorder="0" applyAlignment="0" applyProtection="0"/>
    <xf numFmtId="0" fontId="105" fillId="62" borderId="0" applyNumberFormat="0" applyBorder="0" applyAlignment="0" applyProtection="0"/>
    <xf numFmtId="0" fontId="105" fillId="63" borderId="0" applyNumberFormat="0" applyBorder="0" applyAlignment="0" applyProtection="0"/>
    <xf numFmtId="0" fontId="8" fillId="64" borderId="0" applyNumberFormat="0" applyBorder="0" applyAlignment="0" applyProtection="0"/>
    <xf numFmtId="0" fontId="8" fillId="65" borderId="0" applyNumberFormat="0" applyBorder="0" applyAlignment="0" applyProtection="0"/>
    <xf numFmtId="0" fontId="105" fillId="66" borderId="0" applyNumberFormat="0" applyBorder="0" applyAlignment="0" applyProtection="0"/>
    <xf numFmtId="0" fontId="105" fillId="67" borderId="0" applyNumberFormat="0" applyBorder="0" applyAlignment="0" applyProtection="0"/>
    <xf numFmtId="0" fontId="8" fillId="68" borderId="0" applyNumberFormat="0" applyBorder="0" applyAlignment="0" applyProtection="0"/>
    <xf numFmtId="0" fontId="8" fillId="69" borderId="0" applyNumberFormat="0" applyBorder="0" applyAlignment="0" applyProtection="0"/>
    <xf numFmtId="0" fontId="105" fillId="70" borderId="0" applyNumberFormat="0" applyBorder="0" applyAlignment="0" applyProtection="0"/>
    <xf numFmtId="0" fontId="105" fillId="71" borderId="0" applyNumberFormat="0" applyBorder="0" applyAlignment="0" applyProtection="0"/>
    <xf numFmtId="0" fontId="8" fillId="72" borderId="0" applyNumberFormat="0" applyBorder="0" applyAlignment="0" applyProtection="0"/>
    <xf numFmtId="0" fontId="8" fillId="73" borderId="0" applyNumberFormat="0" applyBorder="0" applyAlignment="0" applyProtection="0"/>
    <xf numFmtId="0" fontId="105" fillId="74" borderId="0" applyNumberFormat="0" applyBorder="0" applyAlignment="0" applyProtection="0"/>
    <xf numFmtId="0" fontId="105" fillId="75" borderId="0" applyNumberFormat="0" applyBorder="0" applyAlignment="0" applyProtection="0"/>
    <xf numFmtId="0" fontId="8" fillId="76" borderId="0" applyNumberFormat="0" applyBorder="0" applyAlignment="0" applyProtection="0"/>
    <xf numFmtId="0" fontId="8" fillId="77" borderId="0" applyNumberFormat="0" applyBorder="0" applyAlignment="0" applyProtection="0"/>
    <xf numFmtId="0" fontId="105" fillId="78" borderId="0" applyNumberFormat="0" applyBorder="0" applyAlignment="0" applyProtection="0"/>
    <xf numFmtId="0" fontId="105" fillId="79" borderId="0" applyNumberFormat="0" applyBorder="0" applyAlignment="0" applyProtection="0"/>
    <xf numFmtId="0" fontId="8" fillId="80" borderId="0" applyNumberFormat="0" applyBorder="0" applyAlignment="0" applyProtection="0"/>
    <xf numFmtId="0" fontId="8" fillId="81" borderId="0" applyNumberFormat="0" applyBorder="0" applyAlignment="0" applyProtection="0"/>
    <xf numFmtId="0" fontId="105" fillId="82" borderId="0" applyNumberFormat="0" applyBorder="0" applyAlignment="0" applyProtection="0"/>
    <xf numFmtId="0" fontId="8" fillId="0" borderId="0"/>
    <xf numFmtId="164" fontId="8" fillId="0" borderId="0" applyFont="0" applyFill="0" applyBorder="0" applyAlignment="0" applyProtection="0"/>
    <xf numFmtId="9" fontId="8" fillId="0" borderId="0" applyFont="0" applyFill="0" applyBorder="0" applyAlignment="0" applyProtection="0"/>
    <xf numFmtId="164" fontId="96"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78" fontId="34" fillId="37" borderId="0" applyNumberFormat="0" applyBorder="0" applyAlignment="0"/>
    <xf numFmtId="178" fontId="12" fillId="0" borderId="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77" fontId="12" fillId="0" borderId="0"/>
    <xf numFmtId="177" fontId="12" fillId="0" borderId="0"/>
    <xf numFmtId="177" fontId="12" fillId="0" borderId="0"/>
    <xf numFmtId="177" fontId="108" fillId="0" borderId="0"/>
    <xf numFmtId="9" fontId="12" fillId="0" borderId="0" applyFont="0" applyFill="0" applyBorder="0" applyAlignment="0" applyProtection="0"/>
    <xf numFmtId="9" fontId="12" fillId="0" borderId="0" applyFont="0" applyFill="0" applyBorder="0" applyAlignment="0" applyProtection="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12" fillId="0" borderId="0" applyFont="0" applyFill="0" applyBorder="0" applyAlignment="0" applyProtection="0"/>
    <xf numFmtId="0" fontId="12"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9" borderId="0" applyNumberFormat="0" applyBorder="0" applyAlignment="0" applyProtection="0"/>
    <xf numFmtId="0" fontId="15" fillId="12" borderId="0" applyNumberFormat="0" applyBorder="0" applyAlignment="0" applyProtection="0"/>
    <xf numFmtId="0" fontId="16" fillId="13"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20" borderId="0" applyNumberFormat="0" applyBorder="0" applyAlignment="0" applyProtection="0"/>
    <xf numFmtId="0" fontId="31" fillId="4" borderId="0" applyNumberFormat="0" applyBorder="0" applyAlignment="0" applyProtection="0"/>
    <xf numFmtId="0" fontId="109" fillId="0" borderId="0"/>
    <xf numFmtId="0" fontId="110" fillId="0" borderId="0">
      <alignment horizontal="right"/>
    </xf>
    <xf numFmtId="0" fontId="111" fillId="0" borderId="0"/>
    <xf numFmtId="0" fontId="107" fillId="0" borderId="0"/>
    <xf numFmtId="0" fontId="112" fillId="0" borderId="0"/>
    <xf numFmtId="0" fontId="113" fillId="0" borderId="88" applyNumberFormat="0" applyAlignment="0"/>
    <xf numFmtId="0" fontId="114" fillId="0" borderId="0" applyAlignment="0">
      <alignment horizontal="left"/>
    </xf>
    <xf numFmtId="0" fontId="114" fillId="0" borderId="0">
      <alignment horizontal="right"/>
    </xf>
    <xf numFmtId="176" fontId="114" fillId="0" borderId="0">
      <alignment horizontal="right"/>
    </xf>
    <xf numFmtId="170" fontId="115" fillId="0" borderId="0">
      <alignment horizontal="right"/>
    </xf>
    <xf numFmtId="0" fontId="116" fillId="0" borderId="0"/>
    <xf numFmtId="0" fontId="17" fillId="23" borderId="1" applyNumberFormat="0" applyAlignment="0" applyProtection="0"/>
    <xf numFmtId="0" fontId="19" fillId="24" borderId="4" applyNumberFormat="0" applyAlignment="0" applyProtection="0"/>
    <xf numFmtId="164" fontId="12" fillId="0" borderId="0" applyFont="0" applyFill="0" applyBorder="0" applyAlignment="0" applyProtection="0"/>
    <xf numFmtId="164" fontId="96" fillId="0" borderId="0" applyFont="0" applyFill="0" applyBorder="0" applyAlignment="0" applyProtection="0"/>
    <xf numFmtId="164" fontId="96" fillId="0" borderId="0" applyFont="0" applyFill="0" applyBorder="0" applyAlignment="0" applyProtection="0"/>
    <xf numFmtId="164" fontId="96" fillId="0" borderId="0" applyFont="0" applyFill="0" applyBorder="0" applyAlignment="0" applyProtection="0"/>
    <xf numFmtId="43" fontId="15" fillId="0" borderId="0" applyFont="0" applyFill="0" applyBorder="0" applyAlignment="0" applyProtection="0"/>
    <xf numFmtId="164" fontId="96" fillId="0" borderId="0" applyFont="0" applyFill="0" applyBorder="0" applyAlignment="0" applyProtection="0"/>
    <xf numFmtId="164" fontId="96" fillId="0" borderId="0" applyFont="0" applyFill="0" applyBorder="0" applyAlignment="0" applyProtection="0"/>
    <xf numFmtId="164" fontId="96" fillId="0" borderId="0" applyFont="0" applyFill="0" applyBorder="0" applyAlignment="0" applyProtection="0"/>
    <xf numFmtId="164" fontId="8" fillId="0" borderId="0" applyFont="0" applyFill="0" applyBorder="0" applyAlignment="0" applyProtection="0"/>
    <xf numFmtId="0" fontId="25" fillId="0" borderId="0" applyNumberFormat="0" applyFill="0" applyBorder="0" applyAlignment="0" applyProtection="0"/>
    <xf numFmtId="0" fontId="32" fillId="5" borderId="0" applyNumberFormat="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64" fillId="0" borderId="0" applyNumberFormat="0" applyFill="0" applyBorder="0" applyAlignment="0" applyProtection="0">
      <alignment vertical="top"/>
      <protection locked="0"/>
    </xf>
    <xf numFmtId="0" fontId="117" fillId="0" borderId="0" applyNumberFormat="0" applyFill="0" applyBorder="0" applyAlignment="0" applyProtection="0">
      <alignment vertical="top"/>
      <protection locked="0"/>
    </xf>
    <xf numFmtId="0" fontId="18" fillId="0" borderId="3" applyNumberFormat="0" applyFill="0" applyAlignment="0" applyProtection="0"/>
    <xf numFmtId="0" fontId="22" fillId="26" borderId="0" applyNumberFormat="0" applyBorder="0" applyAlignment="0" applyProtection="0"/>
    <xf numFmtId="0" fontId="8" fillId="0" borderId="0"/>
    <xf numFmtId="0" fontId="33" fillId="0" borderId="0" applyFill="0" applyBorder="0"/>
    <xf numFmtId="0" fontId="12" fillId="0" borderId="0"/>
    <xf numFmtId="0" fontId="12" fillId="28" borderId="9" applyNumberFormat="0" applyFont="0" applyAlignment="0" applyProtection="0"/>
    <xf numFmtId="176" fontId="96" fillId="0" borderId="0" applyFont="0" applyFill="0" applyBorder="0" applyAlignment="0" applyProtection="0"/>
    <xf numFmtId="9" fontId="8" fillId="0" borderId="0" applyFont="0" applyFill="0" applyBorder="0" applyAlignment="0" applyProtection="0"/>
    <xf numFmtId="0" fontId="118" fillId="0" borderId="0" applyNumberFormat="0" applyFill="0" applyBorder="0" applyAlignment="0" applyProtection="0"/>
    <xf numFmtId="0" fontId="26" fillId="0" borderId="0" applyNumberFormat="0" applyFill="0" applyBorder="0" applyAlignment="0" applyProtection="0"/>
    <xf numFmtId="0" fontId="30" fillId="0" borderId="11" applyNumberFormat="0" applyFill="0" applyAlignment="0" applyProtection="0"/>
    <xf numFmtId="0" fontId="24" fillId="0" borderId="0" applyNumberFormat="0" applyFill="0" applyBorder="0" applyAlignment="0" applyProtection="0"/>
    <xf numFmtId="0" fontId="119" fillId="0" borderId="89" applyNumberFormat="0">
      <alignment vertical="center"/>
    </xf>
    <xf numFmtId="185" fontId="120" fillId="0" borderId="89">
      <alignment horizontal="right" vertical="center"/>
    </xf>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38" fillId="0" borderId="0"/>
    <xf numFmtId="164" fontId="8" fillId="0" borderId="0" applyFont="0" applyFill="0" applyBorder="0" applyAlignment="0" applyProtection="0"/>
    <xf numFmtId="178" fontId="34" fillId="37" borderId="0" applyNumberFormat="0" applyBorder="0" applyAlignment="0"/>
    <xf numFmtId="0" fontId="64" fillId="0" borderId="0" applyNumberFormat="0" applyFill="0" applyBorder="0" applyAlignment="0" applyProtection="0">
      <alignment vertical="top"/>
      <protection locked="0"/>
    </xf>
    <xf numFmtId="164" fontId="12" fillId="0" borderId="0" applyFont="0" applyFill="0" applyBorder="0" applyAlignment="0" applyProtection="0"/>
    <xf numFmtId="177" fontId="108" fillId="0" borderId="0"/>
    <xf numFmtId="178" fontId="12" fillId="0" borderId="0"/>
    <xf numFmtId="164" fontId="12" fillId="0" borderId="0" applyFont="0" applyFill="0" applyBorder="0" applyAlignment="0" applyProtection="0"/>
    <xf numFmtId="9" fontId="12" fillId="0" borderId="0" applyFont="0" applyFill="0" applyBorder="0" applyAlignment="0" applyProtection="0"/>
    <xf numFmtId="0" fontId="75" fillId="0" borderId="0" applyNumberFormat="0" applyFill="0" applyBorder="0" applyAlignment="0" applyProtection="0"/>
    <xf numFmtId="0" fontId="12" fillId="0" borderId="0"/>
    <xf numFmtId="9" fontId="8" fillId="0" borderId="0" applyFont="0" applyFill="0" applyBorder="0" applyAlignment="0" applyProtection="0"/>
    <xf numFmtId="0" fontId="8" fillId="0" borderId="0"/>
    <xf numFmtId="164" fontId="8" fillId="0" borderId="0" applyFont="0" applyFill="0" applyBorder="0" applyAlignment="0" applyProtection="0"/>
    <xf numFmtId="9"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33" fillId="0" borderId="0" applyFill="0" applyBorder="0"/>
    <xf numFmtId="0" fontId="12" fillId="0" borderId="0"/>
    <xf numFmtId="0" fontId="17" fillId="23" borderId="1" applyNumberFormat="0" applyAlignment="0" applyProtection="0"/>
    <xf numFmtId="0" fontId="20" fillId="8" borderId="1" applyNumberFormat="0" applyAlignment="0" applyProtection="0"/>
    <xf numFmtId="0" fontId="12" fillId="28" borderId="9" applyNumberFormat="0" applyFont="0" applyAlignment="0" applyProtection="0"/>
    <xf numFmtId="0" fontId="23" fillId="23" borderId="10" applyNumberFormat="0" applyAlignment="0" applyProtection="0"/>
    <xf numFmtId="0" fontId="30" fillId="0" borderId="11" applyNumberFormat="0" applyFill="0" applyAlignment="0" applyProtection="0"/>
    <xf numFmtId="0" fontId="71" fillId="0" borderId="78" applyNumberFormat="0" applyFill="0" applyAlignment="0" applyProtection="0"/>
    <xf numFmtId="0" fontId="72" fillId="0" borderId="79" applyNumberFormat="0" applyFill="0" applyAlignment="0" applyProtection="0"/>
    <xf numFmtId="0" fontId="73" fillId="0" borderId="83" applyNumberFormat="0" applyFill="0" applyAlignment="0" applyProtection="0"/>
    <xf numFmtId="0" fontId="73" fillId="0" borderId="0" applyNumberFormat="0" applyFill="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12" fillId="58" borderId="86" applyNumberFormat="0" applyFont="0" applyAlignment="0" applyProtection="0"/>
    <xf numFmtId="0" fontId="8" fillId="58" borderId="86" applyNumberFormat="0" applyFont="0" applyAlignment="0" applyProtection="0"/>
    <xf numFmtId="0" fontId="12" fillId="58" borderId="86" applyNumberFormat="0" applyFont="0" applyAlignment="0" applyProtection="0"/>
    <xf numFmtId="0" fontId="12" fillId="58" borderId="86" applyNumberFormat="0" applyFont="0" applyAlignment="0" applyProtection="0"/>
    <xf numFmtId="0" fontId="8" fillId="58" borderId="86" applyNumberFormat="0" applyFont="0" applyAlignment="0" applyProtection="0"/>
    <xf numFmtId="0" fontId="12" fillId="58" borderId="86" applyNumberFormat="0" applyFont="0" applyAlignment="0" applyProtection="0"/>
    <xf numFmtId="0" fontId="8" fillId="58" borderId="86" applyNumberFormat="0" applyFont="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121" fillId="0" borderId="0" applyNumberFormat="0" applyFill="0" applyBorder="0" applyAlignment="0" applyProtection="0"/>
    <xf numFmtId="0" fontId="75" fillId="0" borderId="0" applyNumberFormat="0" applyFill="0" applyBorder="0" applyAlignment="0" applyProtection="0"/>
    <xf numFmtId="0" fontId="121" fillId="0" borderId="0" applyNumberFormat="0" applyFill="0" applyBorder="0" applyAlignment="0" applyProtection="0"/>
    <xf numFmtId="0" fontId="75" fillId="0" borderId="0" applyNumberFormat="0" applyFill="0" applyBorder="0" applyAlignment="0" applyProtection="0"/>
    <xf numFmtId="0" fontId="121"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4" fontId="8" fillId="0" borderId="0" applyFont="0" applyFill="0" applyBorder="0" applyAlignment="0" applyProtection="0"/>
    <xf numFmtId="9" fontId="8" fillId="0" borderId="0" applyFont="0" applyFill="0" applyBorder="0" applyAlignment="0" applyProtection="0"/>
    <xf numFmtId="0" fontId="8" fillId="0" borderId="0"/>
    <xf numFmtId="164" fontId="8" fillId="0" borderId="0" applyFont="0" applyFill="0" applyBorder="0" applyAlignment="0" applyProtection="0"/>
    <xf numFmtId="9"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60" borderId="0" applyNumberFormat="0" applyBorder="0" applyAlignment="0" applyProtection="0"/>
    <xf numFmtId="0" fontId="8" fillId="61" borderId="0" applyNumberFormat="0" applyBorder="0" applyAlignment="0" applyProtection="0"/>
    <xf numFmtId="0" fontId="8" fillId="64" borderId="0" applyNumberFormat="0" applyBorder="0" applyAlignment="0" applyProtection="0"/>
    <xf numFmtId="0" fontId="8" fillId="65" borderId="0" applyNumberFormat="0" applyBorder="0" applyAlignment="0" applyProtection="0"/>
    <xf numFmtId="0" fontId="8" fillId="68" borderId="0" applyNumberFormat="0" applyBorder="0" applyAlignment="0" applyProtection="0"/>
    <xf numFmtId="0" fontId="8" fillId="69" borderId="0" applyNumberFormat="0" applyBorder="0" applyAlignment="0" applyProtection="0"/>
    <xf numFmtId="0" fontId="8" fillId="72" borderId="0" applyNumberFormat="0" applyBorder="0" applyAlignment="0" applyProtection="0"/>
    <xf numFmtId="0" fontId="8" fillId="73" borderId="0" applyNumberFormat="0" applyBorder="0" applyAlignment="0" applyProtection="0"/>
    <xf numFmtId="0" fontId="8" fillId="76" borderId="0" applyNumberFormat="0" applyBorder="0" applyAlignment="0" applyProtection="0"/>
    <xf numFmtId="0" fontId="8" fillId="77" borderId="0" applyNumberFormat="0" applyBorder="0" applyAlignment="0" applyProtection="0"/>
    <xf numFmtId="0" fontId="8" fillId="80" borderId="0" applyNumberFormat="0" applyBorder="0" applyAlignment="0" applyProtection="0"/>
    <xf numFmtId="0" fontId="8" fillId="81" borderId="0" applyNumberFormat="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06" fillId="0" borderId="0"/>
    <xf numFmtId="0" fontId="121" fillId="0" borderId="0" applyNumberFormat="0" applyFill="0" applyBorder="0" applyAlignment="0" applyProtection="0">
      <alignment vertical="top"/>
      <protection locked="0"/>
    </xf>
    <xf numFmtId="9" fontId="106" fillId="0" borderId="0" applyFont="0" applyFill="0" applyBorder="0" applyAlignment="0" applyProtection="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6" fillId="0" borderId="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3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164" fontId="41" fillId="0" borderId="0" applyFont="0" applyFill="0" applyBorder="0" applyAlignment="0" applyProtection="0"/>
    <xf numFmtId="164" fontId="123"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4"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72" fontId="12" fillId="0" borderId="0" applyFont="0" applyFill="0" applyBorder="0" applyAlignment="0" applyProtection="0"/>
    <xf numFmtId="164"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4" fontId="6"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0" fontId="38" fillId="0" borderId="0"/>
    <xf numFmtId="0" fontId="6" fillId="0" borderId="0"/>
    <xf numFmtId="0" fontId="6" fillId="0" borderId="0"/>
    <xf numFmtId="0" fontId="77" fillId="0" borderId="0"/>
    <xf numFmtId="0" fontId="6" fillId="0" borderId="0"/>
    <xf numFmtId="0" fontId="6" fillId="0" borderId="0"/>
    <xf numFmtId="9" fontId="41" fillId="0" borderId="0" applyFont="0" applyFill="0" applyBorder="0" applyAlignment="0" applyProtection="0"/>
    <xf numFmtId="9" fontId="41" fillId="0" borderId="0" applyFont="0" applyFill="0" applyBorder="0" applyAlignment="0" applyProtection="0"/>
    <xf numFmtId="9" fontId="6" fillId="0" borderId="0" applyFont="0" applyFill="0" applyBorder="0" applyAlignment="0" applyProtection="0"/>
    <xf numFmtId="0" fontId="6" fillId="0" borderId="0"/>
    <xf numFmtId="164" fontId="6"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4" fontId="5"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164" fontId="6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60" borderId="0" applyNumberFormat="0" applyBorder="0" applyAlignment="0" applyProtection="0"/>
    <xf numFmtId="0" fontId="5" fillId="61" borderId="0" applyNumberFormat="0" applyBorder="0" applyAlignment="0" applyProtection="0"/>
    <xf numFmtId="0" fontId="5" fillId="64" borderId="0" applyNumberFormat="0" applyBorder="0" applyAlignment="0" applyProtection="0"/>
    <xf numFmtId="0" fontId="5" fillId="65" borderId="0" applyNumberFormat="0" applyBorder="0" applyAlignment="0" applyProtection="0"/>
    <xf numFmtId="0" fontId="5" fillId="68" borderId="0" applyNumberFormat="0" applyBorder="0" applyAlignment="0" applyProtection="0"/>
    <xf numFmtId="0" fontId="5" fillId="69" borderId="0" applyNumberFormat="0" applyBorder="0" applyAlignment="0" applyProtection="0"/>
    <xf numFmtId="0" fontId="5" fillId="72" borderId="0" applyNumberFormat="0" applyBorder="0" applyAlignment="0" applyProtection="0"/>
    <xf numFmtId="0" fontId="5" fillId="73" borderId="0" applyNumberFormat="0" applyBorder="0" applyAlignment="0" applyProtection="0"/>
    <xf numFmtId="0" fontId="5" fillId="76" borderId="0" applyNumberFormat="0" applyBorder="0" applyAlignment="0" applyProtection="0"/>
    <xf numFmtId="0" fontId="5" fillId="77" borderId="0" applyNumberFormat="0" applyBorder="0" applyAlignment="0" applyProtection="0"/>
    <xf numFmtId="0" fontId="5" fillId="80" borderId="0" applyNumberFormat="0" applyBorder="0" applyAlignment="0" applyProtection="0"/>
    <xf numFmtId="0" fontId="5" fillId="81" borderId="0" applyNumberFormat="0" applyBorder="0" applyAlignment="0" applyProtection="0"/>
    <xf numFmtId="0" fontId="5" fillId="0" borderId="0"/>
    <xf numFmtId="164" fontId="5" fillId="0" borderId="0" applyFont="0" applyFill="0" applyBorder="0" applyAlignment="0" applyProtection="0"/>
    <xf numFmtId="9" fontId="5" fillId="0" borderId="0" applyFont="0" applyFill="0" applyBorder="0" applyAlignment="0" applyProtection="0"/>
    <xf numFmtId="164" fontId="6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60" fillId="0" borderId="0" applyFont="0" applyFill="0" applyBorder="0" applyAlignment="0" applyProtection="0"/>
    <xf numFmtId="164" fontId="60" fillId="0" borderId="0" applyFont="0" applyFill="0" applyBorder="0" applyAlignment="0" applyProtection="0"/>
    <xf numFmtId="164" fontId="60" fillId="0" borderId="0" applyFont="0" applyFill="0" applyBorder="0" applyAlignment="0" applyProtection="0"/>
    <xf numFmtId="43" fontId="15" fillId="0" borderId="0" applyFont="0" applyFill="0" applyBorder="0" applyAlignment="0" applyProtection="0"/>
    <xf numFmtId="164" fontId="60" fillId="0" borderId="0" applyFont="0" applyFill="0" applyBorder="0" applyAlignment="0" applyProtection="0"/>
    <xf numFmtId="164" fontId="60" fillId="0" borderId="0" applyFont="0" applyFill="0" applyBorder="0" applyAlignment="0" applyProtection="0"/>
    <xf numFmtId="164" fontId="60" fillId="0" borderId="0" applyFont="0" applyFill="0" applyBorder="0" applyAlignment="0" applyProtection="0"/>
    <xf numFmtId="164" fontId="5" fillId="0" borderId="0" applyFont="0" applyFill="0" applyBorder="0" applyAlignment="0" applyProtection="0"/>
    <xf numFmtId="0" fontId="5" fillId="0" borderId="0"/>
    <xf numFmtId="176" fontId="60"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9" fontId="5" fillId="0" borderId="0" applyFont="0" applyFill="0" applyBorder="0" applyAlignment="0" applyProtection="0"/>
    <xf numFmtId="0" fontId="5" fillId="0" borderId="0"/>
    <xf numFmtId="164" fontId="5" fillId="0" borderId="0" applyFont="0" applyFill="0" applyBorder="0" applyAlignment="0" applyProtection="0"/>
    <xf numFmtId="9"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60"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9" fontId="5" fillId="0" borderId="0" applyFont="0" applyFill="0" applyBorder="0" applyAlignment="0" applyProtection="0"/>
    <xf numFmtId="0" fontId="5" fillId="0" borderId="0"/>
    <xf numFmtId="164" fontId="5" fillId="0" borderId="0" applyFont="0" applyFill="0" applyBorder="0" applyAlignment="0" applyProtection="0"/>
    <xf numFmtId="9"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60" borderId="0" applyNumberFormat="0" applyBorder="0" applyAlignment="0" applyProtection="0"/>
    <xf numFmtId="0" fontId="5" fillId="61" borderId="0" applyNumberFormat="0" applyBorder="0" applyAlignment="0" applyProtection="0"/>
    <xf numFmtId="0" fontId="5" fillId="64" borderId="0" applyNumberFormat="0" applyBorder="0" applyAlignment="0" applyProtection="0"/>
    <xf numFmtId="0" fontId="5" fillId="65" borderId="0" applyNumberFormat="0" applyBorder="0" applyAlignment="0" applyProtection="0"/>
    <xf numFmtId="0" fontId="5" fillId="68" borderId="0" applyNumberFormat="0" applyBorder="0" applyAlignment="0" applyProtection="0"/>
    <xf numFmtId="0" fontId="5" fillId="69" borderId="0" applyNumberFormat="0" applyBorder="0" applyAlignment="0" applyProtection="0"/>
    <xf numFmtId="0" fontId="5" fillId="72" borderId="0" applyNumberFormat="0" applyBorder="0" applyAlignment="0" applyProtection="0"/>
    <xf numFmtId="0" fontId="5" fillId="73" borderId="0" applyNumberFormat="0" applyBorder="0" applyAlignment="0" applyProtection="0"/>
    <xf numFmtId="0" fontId="5" fillId="76" borderId="0" applyNumberFormat="0" applyBorder="0" applyAlignment="0" applyProtection="0"/>
    <xf numFmtId="0" fontId="5" fillId="77" borderId="0" applyNumberFormat="0" applyBorder="0" applyAlignment="0" applyProtection="0"/>
    <xf numFmtId="0" fontId="5" fillId="80" borderId="0" applyNumberFormat="0" applyBorder="0" applyAlignment="0" applyProtection="0"/>
    <xf numFmtId="0" fontId="5" fillId="81" borderId="0" applyNumberFormat="0" applyBorder="0" applyAlignment="0" applyProtection="0"/>
    <xf numFmtId="0" fontId="5" fillId="60"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7" fillId="23" borderId="99" applyNumberFormat="0" applyAlignment="0" applyProtection="0"/>
    <xf numFmtId="164" fontId="4" fillId="0" borderId="0" applyFont="0" applyFill="0" applyBorder="0" applyAlignment="0" applyProtection="0"/>
    <xf numFmtId="164" fontId="4" fillId="0" borderId="0" applyFont="0" applyFill="0" applyBorder="0" applyAlignment="0" applyProtection="0"/>
    <xf numFmtId="0" fontId="44" fillId="0" borderId="100">
      <alignment horizontal="left" vertical="center" wrapText="1" indent="2"/>
    </xf>
    <xf numFmtId="0" fontId="12" fillId="28" borderId="121" applyNumberFormat="0" applyFont="0" applyAlignment="0" applyProtection="0"/>
    <xf numFmtId="0" fontId="12" fillId="28" borderId="126" applyNumberFormat="0" applyFont="0" applyAlignment="0" applyProtection="0"/>
    <xf numFmtId="0" fontId="12" fillId="28" borderId="115" applyNumberFormat="0" applyFont="0" applyAlignment="0" applyProtection="0"/>
    <xf numFmtId="0" fontId="12" fillId="28" borderId="126" applyNumberFormat="0" applyFont="0" applyAlignment="0" applyProtection="0"/>
    <xf numFmtId="0" fontId="23" fillId="23" borderId="122" applyNumberFormat="0" applyAlignment="0" applyProtection="0"/>
    <xf numFmtId="0" fontId="20" fillId="8" borderId="99" applyNumberFormat="0" applyAlignment="0" applyProtection="0"/>
    <xf numFmtId="0" fontId="20" fillId="8" borderId="99" applyNumberFormat="0" applyAlignment="0" applyProtection="0"/>
    <xf numFmtId="164" fontId="4" fillId="0" borderId="0" applyFont="0" applyFill="0" applyBorder="0" applyAlignment="0" applyProtection="0"/>
    <xf numFmtId="0" fontId="17" fillId="23" borderId="113" applyNumberFormat="0" applyAlignment="0" applyProtection="0"/>
    <xf numFmtId="0" fontId="20" fillId="8" borderId="113" applyNumberFormat="0" applyAlignment="0" applyProtection="0"/>
    <xf numFmtId="0" fontId="12" fillId="28" borderId="126" applyNumberFormat="0" applyFont="0" applyAlignment="0" applyProtection="0"/>
    <xf numFmtId="0" fontId="12" fillId="28" borderId="109" applyNumberFormat="0" applyFont="0" applyAlignment="0" applyProtection="0"/>
    <xf numFmtId="0" fontId="17" fillId="23" borderId="107" applyNumberFormat="0" applyAlignment="0" applyProtection="0"/>
    <xf numFmtId="0" fontId="30" fillId="0" borderId="128" applyNumberFormat="0" applyFill="0" applyAlignment="0" applyProtection="0"/>
    <xf numFmtId="0" fontId="20" fillId="8" borderId="125" applyNumberFormat="0" applyAlignment="0" applyProtection="0"/>
    <xf numFmtId="0" fontId="4" fillId="0" borderId="0"/>
    <xf numFmtId="0" fontId="4" fillId="0" borderId="0"/>
    <xf numFmtId="0" fontId="4" fillId="0" borderId="0"/>
    <xf numFmtId="0" fontId="4" fillId="0" borderId="0"/>
    <xf numFmtId="4" fontId="44" fillId="0" borderId="98" applyFill="0" applyBorder="0" applyProtection="0">
      <alignment horizontal="right" vertical="center"/>
    </xf>
    <xf numFmtId="0" fontId="30" fillId="0" borderId="123" applyNumberFormat="0" applyFill="0" applyAlignment="0" applyProtection="0"/>
    <xf numFmtId="0" fontId="12" fillId="28" borderId="115" applyNumberFormat="0" applyFont="0" applyAlignment="0" applyProtection="0"/>
    <xf numFmtId="0" fontId="41" fillId="28" borderId="115" applyNumberFormat="0" applyFont="0" applyAlignment="0" applyProtection="0"/>
    <xf numFmtId="0" fontId="12" fillId="28" borderId="126" applyNumberFormat="0" applyFont="0" applyAlignment="0" applyProtection="0"/>
    <xf numFmtId="0" fontId="41" fillId="28" borderId="126"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41"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41" fillId="28" borderId="102" applyNumberFormat="0" applyFont="0" applyAlignment="0" applyProtection="0"/>
    <xf numFmtId="0" fontId="41" fillId="28" borderId="121" applyNumberFormat="0" applyFont="0" applyAlignment="0" applyProtection="0"/>
    <xf numFmtId="0" fontId="30" fillId="0" borderId="128" applyNumberFormat="0" applyFill="0" applyAlignment="0" applyProtection="0"/>
    <xf numFmtId="0" fontId="12" fillId="28" borderId="109" applyNumberFormat="0" applyFont="0" applyAlignment="0" applyProtection="0"/>
    <xf numFmtId="0" fontId="12" fillId="28" borderId="109" applyNumberFormat="0" applyFont="0" applyAlignment="0" applyProtection="0"/>
    <xf numFmtId="0" fontId="41" fillId="28" borderId="109" applyNumberFormat="0" applyFont="0" applyAlignment="0" applyProtection="0"/>
    <xf numFmtId="0" fontId="12" fillId="28" borderId="109" applyNumberFormat="0" applyFont="0" applyAlignment="0" applyProtection="0"/>
    <xf numFmtId="0" fontId="12" fillId="28" borderId="109" applyNumberFormat="0" applyFont="0" applyAlignment="0" applyProtection="0"/>
    <xf numFmtId="0" fontId="30" fillId="0" borderId="117" applyNumberFormat="0" applyFill="0" applyAlignment="0" applyProtection="0"/>
    <xf numFmtId="4" fontId="44" fillId="0" borderId="106" applyFill="0" applyBorder="0" applyProtection="0">
      <alignment horizontal="right" vertical="center"/>
    </xf>
    <xf numFmtId="0" fontId="23" fillId="23" borderId="103" applyNumberFormat="0" applyAlignment="0" applyProtection="0"/>
    <xf numFmtId="0" fontId="23" fillId="23" borderId="103" applyNumberFormat="0" applyAlignment="0" applyProtection="0"/>
    <xf numFmtId="0" fontId="12" fillId="28" borderId="121" applyNumberFormat="0" applyFont="0" applyAlignment="0" applyProtection="0"/>
    <xf numFmtId="0" fontId="20" fillId="8" borderId="119" applyNumberFormat="0" applyAlignment="0" applyProtection="0"/>
    <xf numFmtId="0" fontId="20" fillId="8" borderId="107" applyNumberFormat="0" applyAlignment="0" applyProtection="0"/>
    <xf numFmtId="0" fontId="20" fillId="8" borderId="107" applyNumberFormat="0" applyAlignment="0" applyProtection="0"/>
    <xf numFmtId="0" fontId="12" fillId="28" borderId="126" applyNumberFormat="0" applyFont="0" applyAlignment="0" applyProtection="0"/>
    <xf numFmtId="0" fontId="12" fillId="28" borderId="121" applyNumberFormat="0" applyFont="0" applyAlignment="0" applyProtection="0"/>
    <xf numFmtId="0" fontId="44" fillId="0" borderId="108">
      <alignment horizontal="left" vertical="center" wrapText="1" indent="2"/>
    </xf>
    <xf numFmtId="9" fontId="4" fillId="0" borderId="0" applyFont="0" applyFill="0" applyBorder="0" applyAlignment="0" applyProtection="0"/>
    <xf numFmtId="0" fontId="29" fillId="0" borderId="101" applyNumberFormat="0" applyFill="0" applyAlignment="0" applyProtection="0"/>
    <xf numFmtId="0" fontId="30" fillId="0" borderId="104" applyNumberFormat="0" applyFill="0" applyAlignment="0" applyProtection="0"/>
    <xf numFmtId="0" fontId="4" fillId="0" borderId="0"/>
    <xf numFmtId="164" fontId="4" fillId="0" borderId="0" applyFont="0" applyFill="0" applyBorder="0" applyAlignment="0" applyProtection="0"/>
    <xf numFmtId="0" fontId="30" fillId="0" borderId="123" applyNumberFormat="0" applyFill="0" applyAlignment="0" applyProtection="0"/>
    <xf numFmtId="164" fontId="4" fillId="0" borderId="0" applyFont="0" applyFill="0" applyBorder="0" applyAlignment="0" applyProtection="0"/>
    <xf numFmtId="164" fontId="4" fillId="0" borderId="0" applyFont="0" applyFill="0" applyBorder="0" applyAlignment="0" applyProtection="0"/>
    <xf numFmtId="0" fontId="17" fillId="23" borderId="125" applyNumberFormat="0" applyAlignment="0" applyProtection="0"/>
    <xf numFmtId="0" fontId="12" fillId="28" borderId="126" applyNumberFormat="0" applyFont="0" applyAlignment="0" applyProtection="0"/>
    <xf numFmtId="0" fontId="20" fillId="8" borderId="113" applyNumberFormat="0" applyAlignment="0" applyProtection="0"/>
    <xf numFmtId="164" fontId="4" fillId="0" borderId="0" applyFont="0" applyFill="0" applyBorder="0" applyAlignment="0" applyProtection="0"/>
    <xf numFmtId="0" fontId="12" fillId="28" borderId="115" applyNumberFormat="0" applyFont="0" applyAlignment="0" applyProtection="0"/>
    <xf numFmtId="0" fontId="12" fillId="28" borderId="109" applyNumberFormat="0" applyFont="0" applyAlignment="0" applyProtection="0"/>
    <xf numFmtId="0" fontId="12" fillId="28" borderId="121" applyNumberFormat="0" applyFont="0" applyAlignment="0" applyProtection="0"/>
    <xf numFmtId="0" fontId="12" fillId="28" borderId="115" applyNumberFormat="0" applyFont="0" applyAlignment="0" applyProtection="0"/>
    <xf numFmtId="0" fontId="12" fillId="28" borderId="121" applyNumberFormat="0" applyFont="0" applyAlignment="0" applyProtection="0"/>
    <xf numFmtId="0" fontId="12" fillId="28" borderId="109" applyNumberFormat="0" applyFont="0" applyAlignment="0" applyProtection="0"/>
    <xf numFmtId="0" fontId="4" fillId="0" borderId="0"/>
    <xf numFmtId="0" fontId="4" fillId="0" borderId="0"/>
    <xf numFmtId="0" fontId="4" fillId="0" borderId="0"/>
    <xf numFmtId="0" fontId="4" fillId="0" borderId="0"/>
    <xf numFmtId="0" fontId="12" fillId="28" borderId="115" applyNumberFormat="0" applyFont="0" applyAlignment="0" applyProtection="0"/>
    <xf numFmtId="0" fontId="41" fillId="28" borderId="115" applyNumberFormat="0" applyFont="0" applyAlignment="0" applyProtection="0"/>
    <xf numFmtId="0" fontId="41" fillId="28" borderId="126" applyNumberFormat="0" applyFont="0" applyAlignment="0" applyProtection="0"/>
    <xf numFmtId="0" fontId="23" fillId="23" borderId="110" applyNumberFormat="0" applyAlignment="0" applyProtection="0"/>
    <xf numFmtId="0" fontId="23" fillId="23" borderId="110" applyNumberForma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21" applyNumberFormat="0" applyFont="0" applyAlignment="0" applyProtection="0"/>
    <xf numFmtId="0" fontId="41" fillId="28" borderId="121" applyNumberFormat="0" applyFont="0" applyAlignment="0" applyProtection="0"/>
    <xf numFmtId="0" fontId="12" fillId="28" borderId="109" applyNumberFormat="0" applyFont="0" applyAlignment="0" applyProtection="0"/>
    <xf numFmtId="0" fontId="41" fillId="28" borderId="109" applyNumberFormat="0" applyFont="0" applyAlignment="0" applyProtection="0"/>
    <xf numFmtId="0" fontId="12" fillId="28" borderId="109" applyNumberFormat="0" applyFont="0" applyAlignment="0" applyProtection="0"/>
    <xf numFmtId="0" fontId="20" fillId="8" borderId="119" applyNumberFormat="0" applyAlignment="0" applyProtection="0"/>
    <xf numFmtId="0" fontId="12" fillId="28" borderId="121" applyNumberFormat="0" applyFont="0" applyAlignment="0" applyProtection="0"/>
    <xf numFmtId="0" fontId="17" fillId="23" borderId="107" applyNumberFormat="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17" fillId="23" borderId="99" applyNumberFormat="0" applyAlignment="0" applyProtection="0"/>
    <xf numFmtId="164" fontId="4" fillId="0" borderId="0" applyFont="0" applyFill="0" applyBorder="0" applyAlignment="0" applyProtection="0"/>
    <xf numFmtId="0" fontId="29" fillId="0" borderId="101" applyNumberFormat="0" applyFill="0" applyAlignment="0" applyProtection="0"/>
    <xf numFmtId="0" fontId="4" fillId="0" borderId="0"/>
    <xf numFmtId="0" fontId="12" fillId="28" borderId="102" applyNumberFormat="0" applyFont="0" applyAlignment="0" applyProtection="0"/>
    <xf numFmtId="9" fontId="4" fillId="0" borderId="0" applyFont="0" applyFill="0" applyBorder="0" applyAlignment="0" applyProtection="0"/>
    <xf numFmtId="0" fontId="30" fillId="0" borderId="104" applyNumberFormat="0" applyFill="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17" fillId="23" borderId="99" applyNumberFormat="0" applyAlignment="0" applyProtection="0"/>
    <xf numFmtId="0" fontId="20" fillId="8" borderId="99" applyNumberFormat="0" applyAlignment="0" applyProtection="0"/>
    <xf numFmtId="0" fontId="12" fillId="28" borderId="102" applyNumberFormat="0" applyFont="0" applyAlignment="0" applyProtection="0"/>
    <xf numFmtId="0" fontId="23" fillId="23" borderId="103" applyNumberFormat="0" applyAlignment="0" applyProtection="0"/>
    <xf numFmtId="0" fontId="30" fillId="0" borderId="104" applyNumberFormat="0" applyFill="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 fontId="44" fillId="0" borderId="112" applyFill="0" applyBorder="0" applyProtection="0">
      <alignment horizontal="right" vertical="center"/>
    </xf>
    <xf numFmtId="0" fontId="4" fillId="0" borderId="0"/>
    <xf numFmtId="0" fontId="23" fillId="23" borderId="122" applyNumberFormat="0" applyAlignment="0" applyProtection="0"/>
    <xf numFmtId="0" fontId="17" fillId="23" borderId="113" applyNumberFormat="0" applyAlignment="0" applyProtection="0"/>
    <xf numFmtId="9"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12" fillId="28" borderId="121" applyNumberFormat="0" applyFont="0" applyAlignment="0" applyProtection="0"/>
    <xf numFmtId="164" fontId="4" fillId="0" borderId="0" applyFont="0" applyFill="0" applyBorder="0" applyAlignment="0" applyProtection="0"/>
    <xf numFmtId="0" fontId="30" fillId="0" borderId="111" applyNumberFormat="0" applyFill="0" applyAlignment="0" applyProtection="0"/>
    <xf numFmtId="0" fontId="12" fillId="28" borderId="115" applyNumberFormat="0" applyFont="0" applyAlignment="0" applyProtection="0"/>
    <xf numFmtId="0" fontId="23" fillId="23" borderId="116" applyNumberFormat="0" applyAlignment="0" applyProtection="0"/>
    <xf numFmtId="0" fontId="12" fillId="28" borderId="109" applyNumberFormat="0" applyFont="0" applyAlignment="0" applyProtection="0"/>
    <xf numFmtId="0" fontId="20" fillId="8" borderId="119" applyNumberFormat="0" applyAlignment="0" applyProtection="0"/>
    <xf numFmtId="0" fontId="12" fillId="28" borderId="126" applyNumberFormat="0" applyFont="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0" fillId="8" borderId="107" applyNumberFormat="0" applyAlignment="0" applyProtection="0"/>
    <xf numFmtId="0" fontId="30" fillId="0" borderId="111" applyNumberFormat="0" applyFill="0" applyAlignment="0" applyProtection="0"/>
    <xf numFmtId="0" fontId="12" fillId="28" borderId="115" applyNumberFormat="0" applyFont="0" applyAlignment="0" applyProtection="0"/>
    <xf numFmtId="0" fontId="12" fillId="28" borderId="109" applyNumberFormat="0" applyFont="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0" fillId="8" borderId="113" applyNumberFormat="0" applyAlignment="0" applyProtection="0"/>
    <xf numFmtId="0" fontId="12" fillId="28" borderId="115" applyNumberFormat="0" applyFont="0" applyAlignment="0" applyProtection="0"/>
    <xf numFmtId="0" fontId="17" fillId="23" borderId="119" applyNumberFormat="0" applyAlignment="0" applyProtection="0"/>
    <xf numFmtId="0" fontId="23" fillId="23" borderId="110" applyNumberFormat="0" applyAlignment="0" applyProtection="0"/>
    <xf numFmtId="0" fontId="20" fillId="8" borderId="125" applyNumberFormat="0" applyAlignment="0" applyProtection="0"/>
    <xf numFmtId="4" fontId="44" fillId="0" borderId="118" applyFill="0" applyBorder="0" applyProtection="0">
      <alignment horizontal="right" vertical="center"/>
    </xf>
    <xf numFmtId="0" fontId="12" fillId="28" borderId="109" applyNumberFormat="0" applyFont="0" applyAlignment="0" applyProtection="0"/>
    <xf numFmtId="0" fontId="12" fillId="28" borderId="126" applyNumberFormat="0" applyFont="0" applyAlignment="0" applyProtection="0"/>
    <xf numFmtId="0" fontId="12" fillId="28" borderId="121" applyNumberFormat="0" applyFont="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0" fontId="30" fillId="0" borderId="117" applyNumberFormat="0" applyFill="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17" fillId="23" borderId="107" applyNumberFormat="0" applyAlignment="0" applyProtection="0"/>
    <xf numFmtId="0" fontId="12" fillId="28" borderId="115" applyNumberFormat="0" applyFont="0" applyAlignment="0" applyProtection="0"/>
    <xf numFmtId="0" fontId="23" fillId="23" borderId="116" applyNumberFormat="0" applyAlignment="0" applyProtection="0"/>
    <xf numFmtId="0" fontId="12" fillId="28" borderId="109" applyNumberFormat="0" applyFont="0" applyAlignment="0" applyProtection="0"/>
    <xf numFmtId="0" fontId="12" fillId="28" borderId="126" applyNumberFormat="0" applyFont="0" applyAlignment="0" applyProtection="0"/>
    <xf numFmtId="0" fontId="30" fillId="0" borderId="111" applyNumberFormat="0" applyFill="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0" fontId="12" fillId="28" borderId="126"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141" fillId="0" borderId="0"/>
    <xf numFmtId="9" fontId="15" fillId="0" borderId="0" applyFont="0" applyFill="0" applyBorder="0" applyAlignment="0" applyProtection="0"/>
    <xf numFmtId="0" fontId="4" fillId="0" borderId="0"/>
    <xf numFmtId="165" fontId="12" fillId="0" borderId="0" applyFont="0" applyFill="0" applyBorder="0" applyAlignment="0" applyProtection="0"/>
    <xf numFmtId="3" fontId="142" fillId="0" borderId="0"/>
    <xf numFmtId="0" fontId="143" fillId="0" borderId="0" applyNumberFormat="0" applyBorder="0" applyAlignment="0"/>
    <xf numFmtId="0" fontId="12" fillId="28" borderId="121" applyNumberFormat="0" applyFont="0" applyAlignment="0" applyProtection="0"/>
    <xf numFmtId="0" fontId="12" fillId="28" borderId="126" applyNumberFormat="0" applyFont="0" applyAlignment="0" applyProtection="0"/>
    <xf numFmtId="0" fontId="30" fillId="0" borderId="128" applyNumberFormat="0" applyFill="0" applyAlignment="0" applyProtection="0"/>
    <xf numFmtId="0" fontId="23" fillId="23" borderId="127" applyNumberFormat="0" applyAlignment="0" applyProtection="0"/>
    <xf numFmtId="0" fontId="17" fillId="23" borderId="119" applyNumberFormat="0" applyAlignment="0" applyProtection="0"/>
    <xf numFmtId="0" fontId="23" fillId="23" borderId="127" applyNumberFormat="0" applyAlignment="0" applyProtection="0"/>
    <xf numFmtId="0" fontId="17" fillId="23" borderId="119" applyNumberFormat="0" applyAlignment="0" applyProtection="0"/>
    <xf numFmtId="0" fontId="17" fillId="23" borderId="125" applyNumberFormat="0" applyAlignment="0" applyProtection="0"/>
    <xf numFmtId="0" fontId="44" fillId="0" borderId="120">
      <alignment horizontal="left" vertical="center" wrapText="1" indent="2"/>
    </xf>
    <xf numFmtId="0" fontId="12" fillId="28" borderId="121" applyNumberFormat="0" applyFont="0" applyAlignment="0" applyProtection="0"/>
    <xf numFmtId="0" fontId="12" fillId="28" borderId="121" applyNumberFormat="0" applyFont="0" applyAlignment="0" applyProtection="0"/>
    <xf numFmtId="0" fontId="12" fillId="28" borderId="126" applyNumberFormat="0" applyFont="0" applyAlignment="0" applyProtection="0"/>
    <xf numFmtId="0" fontId="23" fillId="23" borderId="127" applyNumberFormat="0" applyAlignment="0" applyProtection="0"/>
    <xf numFmtId="0" fontId="17" fillId="23" borderId="125" applyNumberFormat="0" applyAlignment="0" applyProtection="0"/>
    <xf numFmtId="0" fontId="12" fillId="28" borderId="115" applyNumberFormat="0" applyFont="0" applyAlignment="0" applyProtection="0"/>
    <xf numFmtId="0" fontId="12" fillId="28" borderId="115" applyNumberFormat="0" applyFont="0" applyAlignment="0" applyProtection="0"/>
    <xf numFmtId="0" fontId="12" fillId="28" borderId="115" applyNumberFormat="0" applyFont="0" applyAlignment="0" applyProtection="0"/>
    <xf numFmtId="0" fontId="20" fillId="8" borderId="125" applyNumberFormat="0" applyAlignment="0" applyProtection="0"/>
    <xf numFmtId="0" fontId="44" fillId="0" borderId="114">
      <alignment horizontal="left" vertical="center" wrapText="1" indent="2"/>
    </xf>
    <xf numFmtId="0" fontId="30" fillId="0" borderId="123" applyNumberFormat="0" applyFill="0" applyAlignment="0" applyProtection="0"/>
    <xf numFmtId="0" fontId="17" fillId="23" borderId="113" applyNumberFormat="0" applyAlignment="0" applyProtection="0"/>
    <xf numFmtId="0" fontId="23" fillId="23" borderId="116" applyNumberFormat="0" applyAlignment="0" applyProtection="0"/>
    <xf numFmtId="0" fontId="30" fillId="0" borderId="117" applyNumberFormat="0" applyFill="0" applyAlignment="0" applyProtection="0"/>
    <xf numFmtId="0" fontId="12" fillId="28" borderId="121" applyNumberFormat="0" applyFont="0" applyAlignment="0" applyProtection="0"/>
    <xf numFmtId="0" fontId="23" fillId="23" borderId="122" applyNumberFormat="0" applyAlignment="0" applyProtection="0"/>
    <xf numFmtId="4" fontId="44" fillId="0" borderId="124" applyFill="0" applyBorder="0" applyProtection="0">
      <alignment horizontal="right" vertical="center"/>
    </xf>
    <xf numFmtId="0" fontId="12" fillId="28" borderId="115" applyNumberFormat="0" applyFont="0" applyAlignment="0" applyProtection="0"/>
    <xf numFmtId="0" fontId="12" fillId="28" borderId="126" applyNumberFormat="0" applyFont="0" applyAlignment="0" applyProtection="0"/>
    <xf numFmtId="0" fontId="3" fillId="76" borderId="0" applyNumberFormat="0" applyBorder="0" applyAlignment="0" applyProtection="0"/>
    <xf numFmtId="0" fontId="3" fillId="0" borderId="0"/>
    <xf numFmtId="0" fontId="3" fillId="0" borderId="0"/>
    <xf numFmtId="0" fontId="141" fillId="0" borderId="0"/>
    <xf numFmtId="0" fontId="12" fillId="0" borderId="0"/>
    <xf numFmtId="0" fontId="41" fillId="0" borderId="0"/>
    <xf numFmtId="0" fontId="185" fillId="0" borderId="0"/>
    <xf numFmtId="197" fontId="185" fillId="0" borderId="0" applyBorder="0" applyProtection="0"/>
    <xf numFmtId="0" fontId="1" fillId="0" borderId="0"/>
    <xf numFmtId="0" fontId="197" fillId="0" borderId="0"/>
  </cellStyleXfs>
  <cellXfs count="1382">
    <xf numFmtId="0" fontId="0" fillId="0" borderId="0" xfId="0"/>
    <xf numFmtId="0" fontId="0" fillId="0" borderId="0" xfId="0" applyBorder="1"/>
    <xf numFmtId="0" fontId="14" fillId="0" borderId="0" xfId="0" applyFont="1"/>
    <xf numFmtId="0" fontId="0" fillId="0" borderId="0" xfId="0" applyFill="1" applyBorder="1"/>
    <xf numFmtId="0" fontId="0" fillId="0" borderId="0" xfId="0" applyBorder="1" applyAlignment="1">
      <alignment horizontal="center"/>
    </xf>
    <xf numFmtId="0" fontId="14" fillId="0" borderId="0" xfId="0" applyFont="1" applyAlignment="1">
      <alignment horizontal="left"/>
    </xf>
    <xf numFmtId="0" fontId="0" fillId="0" borderId="0" xfId="0" applyBorder="1" applyAlignment="1">
      <alignment horizontal="left"/>
    </xf>
    <xf numFmtId="0" fontId="0" fillId="0" borderId="0" xfId="0" applyFill="1"/>
    <xf numFmtId="0" fontId="13" fillId="0" borderId="0" xfId="0" applyFont="1" applyFill="1" applyBorder="1" applyAlignment="1">
      <alignment horizontal="left"/>
    </xf>
    <xf numFmtId="0" fontId="0" fillId="0" borderId="0" xfId="0" applyFont="1"/>
    <xf numFmtId="0" fontId="0" fillId="30" borderId="0" xfId="0" applyFill="1"/>
    <xf numFmtId="0" fontId="34" fillId="31" borderId="12" xfId="0" applyFont="1" applyFill="1" applyBorder="1" applyAlignment="1">
      <alignment horizontal="left" vertical="center" wrapText="1"/>
    </xf>
    <xf numFmtId="0" fontId="35" fillId="29" borderId="13" xfId="0" applyFont="1" applyFill="1" applyBorder="1" applyAlignment="1">
      <alignment horizontal="left" vertical="center" wrapText="1"/>
    </xf>
    <xf numFmtId="171" fontId="0" fillId="30" borderId="0" xfId="0" applyNumberFormat="1" applyFill="1"/>
    <xf numFmtId="171" fontId="14" fillId="0" borderId="0" xfId="0" applyNumberFormat="1" applyFont="1"/>
    <xf numFmtId="171" fontId="0" fillId="0" borderId="0" xfId="0" applyNumberFormat="1"/>
    <xf numFmtId="171" fontId="34" fillId="31" borderId="12" xfId="0" applyNumberFormat="1" applyFont="1" applyFill="1" applyBorder="1" applyAlignment="1">
      <alignment horizontal="left" vertical="center" wrapText="1"/>
    </xf>
    <xf numFmtId="171" fontId="35" fillId="29" borderId="13" xfId="0" quotePrefix="1" applyNumberFormat="1" applyFont="1" applyFill="1" applyBorder="1" applyAlignment="1">
      <alignment horizontal="left" vertical="center" wrapText="1"/>
    </xf>
    <xf numFmtId="171" fontId="13" fillId="0" borderId="0" xfId="0" applyNumberFormat="1" applyFont="1" applyFill="1" applyBorder="1"/>
    <xf numFmtId="171" fontId="0" fillId="0" borderId="0" xfId="0" applyNumberFormat="1" applyBorder="1"/>
    <xf numFmtId="171" fontId="0" fillId="0" borderId="0" xfId="0" applyNumberFormat="1" applyFill="1" applyBorder="1"/>
    <xf numFmtId="171" fontId="0" fillId="0" borderId="0" xfId="0" applyNumberFormat="1" applyFont="1" applyFill="1" applyBorder="1"/>
    <xf numFmtId="171" fontId="0" fillId="0" borderId="0" xfId="0" applyNumberFormat="1" applyFill="1" applyBorder="1" applyAlignment="1">
      <alignment wrapText="1"/>
    </xf>
    <xf numFmtId="0" fontId="13" fillId="0" borderId="0" xfId="0" applyFont="1"/>
    <xf numFmtId="0" fontId="51" fillId="32" borderId="15" xfId="0" applyFont="1" applyFill="1" applyBorder="1"/>
    <xf numFmtId="0" fontId="52" fillId="32" borderId="16" xfId="0" applyFont="1" applyFill="1" applyBorder="1" applyAlignment="1" applyProtection="1">
      <alignment horizontal="center" vertical="center"/>
    </xf>
    <xf numFmtId="0" fontId="52" fillId="32" borderId="14" xfId="0" applyFont="1" applyFill="1" applyBorder="1" applyAlignment="1" applyProtection="1">
      <alignment horizontal="center" vertical="center"/>
    </xf>
    <xf numFmtId="0" fontId="53" fillId="32" borderId="0" xfId="0" applyFont="1" applyFill="1" applyAlignment="1" applyProtection="1">
      <alignment horizontal="right"/>
    </xf>
    <xf numFmtId="0" fontId="52" fillId="32" borderId="17" xfId="0" applyFont="1" applyFill="1" applyBorder="1" applyAlignment="1" applyProtection="1">
      <alignment horizontal="center" vertical="center"/>
    </xf>
    <xf numFmtId="0" fontId="52" fillId="32" borderId="18" xfId="0" applyFont="1" applyFill="1" applyBorder="1" applyAlignment="1" applyProtection="1">
      <alignment horizontal="center" vertical="center"/>
    </xf>
    <xf numFmtId="0" fontId="52" fillId="32" borderId="0" xfId="0" applyFont="1" applyFill="1" applyBorder="1" applyAlignment="1" applyProtection="1">
      <alignment horizontal="center" vertical="center"/>
    </xf>
    <xf numFmtId="0" fontId="52" fillId="32" borderId="19" xfId="0" applyFont="1" applyFill="1" applyBorder="1" applyAlignment="1" applyProtection="1">
      <alignment horizontal="center" vertical="center"/>
    </xf>
    <xf numFmtId="0" fontId="52" fillId="32" borderId="20" xfId="0" applyFont="1" applyFill="1" applyBorder="1" applyAlignment="1" applyProtection="1">
      <alignment horizontal="center" vertical="center"/>
    </xf>
    <xf numFmtId="0" fontId="52" fillId="32" borderId="21" xfId="0" applyFont="1" applyFill="1" applyBorder="1" applyAlignment="1" applyProtection="1">
      <alignment horizontal="center" vertical="center"/>
    </xf>
    <xf numFmtId="0" fontId="54" fillId="32" borderId="0" xfId="0" applyFont="1" applyFill="1" applyAlignment="1" applyProtection="1">
      <alignment horizontal="right" vertical="center"/>
    </xf>
    <xf numFmtId="0" fontId="52" fillId="32" borderId="22" xfId="0" applyFont="1" applyFill="1" applyBorder="1" applyAlignment="1" applyProtection="1">
      <alignment horizontal="center" vertical="center"/>
    </xf>
    <xf numFmtId="0" fontId="52" fillId="32" borderId="23" xfId="0" applyFont="1" applyFill="1" applyBorder="1" applyAlignment="1" applyProtection="1">
      <alignment vertical="center" wrapText="1"/>
    </xf>
    <xf numFmtId="0" fontId="52" fillId="32" borderId="13" xfId="0" applyFont="1" applyFill="1" applyBorder="1" applyAlignment="1" applyProtection="1">
      <alignment horizontal="center" vertical="center"/>
    </xf>
    <xf numFmtId="0" fontId="52" fillId="32" borderId="24" xfId="0" applyFont="1" applyFill="1" applyBorder="1" applyAlignment="1" applyProtection="1">
      <alignment horizontal="center" vertical="center"/>
    </xf>
    <xf numFmtId="0" fontId="52" fillId="32" borderId="25" xfId="0" applyFont="1" applyFill="1" applyBorder="1" applyAlignment="1" applyProtection="1">
      <alignment horizontal="center" vertical="center"/>
    </xf>
    <xf numFmtId="0" fontId="52" fillId="32" borderId="26" xfId="0" applyFont="1" applyFill="1" applyBorder="1" applyAlignment="1" applyProtection="1">
      <alignment horizontal="center" vertical="center"/>
    </xf>
    <xf numFmtId="0" fontId="55" fillId="32" borderId="27" xfId="0" applyFont="1" applyFill="1" applyBorder="1" applyAlignment="1">
      <alignment vertical="center" wrapText="1"/>
    </xf>
    <xf numFmtId="0" fontId="55" fillId="32" borderId="28" xfId="0" applyFont="1" applyFill="1" applyBorder="1" applyAlignment="1">
      <alignment vertical="center" wrapText="1"/>
    </xf>
    <xf numFmtId="0" fontId="55" fillId="32" borderId="29" xfId="0" applyFont="1" applyFill="1" applyBorder="1" applyAlignment="1">
      <alignment horizontal="center" vertical="center"/>
    </xf>
    <xf numFmtId="0" fontId="55" fillId="32" borderId="30" xfId="0" applyFont="1" applyFill="1" applyBorder="1" applyAlignment="1">
      <alignment horizontal="center" vertical="center"/>
    </xf>
    <xf numFmtId="0" fontId="55" fillId="32" borderId="31" xfId="0" applyFont="1" applyFill="1" applyBorder="1" applyAlignment="1">
      <alignment horizontal="center" vertical="center"/>
    </xf>
    <xf numFmtId="0" fontId="51" fillId="32" borderId="32" xfId="0" applyFont="1" applyFill="1" applyBorder="1"/>
    <xf numFmtId="3" fontId="51" fillId="32" borderId="20" xfId="0" applyNumberFormat="1" applyFont="1" applyFill="1" applyBorder="1"/>
    <xf numFmtId="3" fontId="51" fillId="32" borderId="18" xfId="0" applyNumberFormat="1" applyFont="1" applyFill="1" applyBorder="1"/>
    <xf numFmtId="3" fontId="51" fillId="32" borderId="33" xfId="0" applyNumberFormat="1" applyFont="1" applyFill="1" applyBorder="1"/>
    <xf numFmtId="3" fontId="0" fillId="0" borderId="0" xfId="0" applyNumberFormat="1"/>
    <xf numFmtId="0" fontId="70" fillId="41" borderId="0" xfId="417"/>
    <xf numFmtId="171" fontId="13" fillId="0" borderId="0" xfId="0" applyNumberFormat="1" applyFont="1"/>
    <xf numFmtId="0" fontId="15" fillId="6" borderId="30" xfId="6" applyBorder="1" applyAlignment="1">
      <alignment horizontal="center" vertical="center"/>
    </xf>
    <xf numFmtId="0" fontId="34" fillId="31" borderId="12" xfId="0" applyFont="1" applyFill="1" applyBorder="1" applyAlignment="1">
      <alignment horizontal="center" vertical="center" wrapText="1"/>
    </xf>
    <xf numFmtId="0" fontId="56" fillId="33" borderId="0" xfId="0" applyFont="1" applyFill="1"/>
    <xf numFmtId="0" fontId="52" fillId="32" borderId="34" xfId="0" applyFont="1" applyFill="1" applyBorder="1" applyAlignment="1" applyProtection="1">
      <alignment horizontal="center" vertical="center"/>
    </xf>
    <xf numFmtId="0" fontId="52" fillId="32" borderId="0" xfId="0" applyFont="1" applyFill="1" applyAlignment="1" applyProtection="1">
      <alignment horizontal="right" vertical="center"/>
    </xf>
    <xf numFmtId="0" fontId="51" fillId="32" borderId="35" xfId="0" applyFont="1" applyFill="1" applyBorder="1"/>
    <xf numFmtId="0" fontId="51" fillId="32" borderId="36" xfId="0" applyFont="1" applyFill="1" applyBorder="1"/>
    <xf numFmtId="3" fontId="51" fillId="32" borderId="37" xfId="0" applyNumberFormat="1" applyFont="1" applyFill="1" applyBorder="1"/>
    <xf numFmtId="3" fontId="51" fillId="32" borderId="38" xfId="0" applyNumberFormat="1" applyFont="1" applyFill="1" applyBorder="1"/>
    <xf numFmtId="3" fontId="51" fillId="32" borderId="39" xfId="0" applyNumberFormat="1" applyFont="1" applyFill="1" applyBorder="1"/>
    <xf numFmtId="0" fontId="51" fillId="32" borderId="40" xfId="0" applyFont="1" applyFill="1" applyBorder="1"/>
    <xf numFmtId="0" fontId="51" fillId="32" borderId="41" xfId="0" applyFont="1" applyFill="1" applyBorder="1"/>
    <xf numFmtId="3" fontId="51" fillId="32" borderId="16" xfId="0" applyNumberFormat="1" applyFont="1" applyFill="1" applyBorder="1"/>
    <xf numFmtId="3" fontId="51" fillId="32" borderId="42" xfId="0" applyNumberFormat="1" applyFont="1" applyFill="1" applyBorder="1"/>
    <xf numFmtId="3" fontId="51" fillId="32" borderId="43" xfId="0" applyNumberFormat="1" applyFont="1" applyFill="1" applyBorder="1"/>
    <xf numFmtId="0" fontId="57" fillId="0" borderId="2" xfId="0" applyFont="1" applyBorder="1" applyAlignment="1">
      <alignment vertical="center"/>
    </xf>
    <xf numFmtId="0" fontId="51" fillId="0" borderId="2" xfId="0" applyFont="1" applyBorder="1" applyAlignment="1" applyProtection="1">
      <alignment vertical="center"/>
    </xf>
    <xf numFmtId="0" fontId="51" fillId="0" borderId="2" xfId="0" applyFont="1" applyBorder="1" applyProtection="1"/>
    <xf numFmtId="0" fontId="51" fillId="0" borderId="2" xfId="0" applyFont="1" applyFill="1" applyBorder="1" applyProtection="1"/>
    <xf numFmtId="0" fontId="58" fillId="22" borderId="2" xfId="0" applyFont="1" applyFill="1" applyBorder="1" applyProtection="1"/>
    <xf numFmtId="0" fontId="51" fillId="32" borderId="2" xfId="0" applyFont="1" applyFill="1" applyBorder="1" applyProtection="1"/>
    <xf numFmtId="0" fontId="51" fillId="32" borderId="44" xfId="0" applyFont="1" applyFill="1" applyBorder="1"/>
    <xf numFmtId="0" fontId="51" fillId="32" borderId="45" xfId="0" applyFont="1" applyFill="1" applyBorder="1"/>
    <xf numFmtId="3" fontId="51" fillId="32" borderId="46" xfId="0" applyNumberFormat="1" applyFont="1" applyFill="1" applyBorder="1"/>
    <xf numFmtId="3" fontId="51" fillId="32" borderId="47" xfId="0" applyNumberFormat="1" applyFont="1" applyFill="1" applyBorder="1"/>
    <xf numFmtId="3" fontId="51" fillId="32" borderId="48" xfId="0" applyNumberFormat="1" applyFont="1" applyFill="1" applyBorder="1"/>
    <xf numFmtId="0" fontId="34" fillId="34" borderId="12" xfId="0" applyFont="1" applyFill="1" applyBorder="1" applyAlignment="1">
      <alignment horizontal="left" vertical="center" wrapText="1"/>
    </xf>
    <xf numFmtId="0" fontId="51" fillId="29" borderId="15" xfId="0" applyFont="1" applyFill="1" applyBorder="1"/>
    <xf numFmtId="0" fontId="51" fillId="34" borderId="15" xfId="0" applyFont="1" applyFill="1" applyBorder="1"/>
    <xf numFmtId="0" fontId="51" fillId="25" borderId="15" xfId="0" applyFont="1" applyFill="1" applyBorder="1"/>
    <xf numFmtId="3" fontId="51" fillId="25" borderId="20" xfId="0" applyNumberFormat="1" applyFont="1" applyFill="1" applyBorder="1"/>
    <xf numFmtId="3" fontId="51" fillId="25" borderId="18" xfId="0" applyNumberFormat="1" applyFont="1" applyFill="1" applyBorder="1"/>
    <xf numFmtId="3" fontId="51" fillId="25" borderId="33" xfId="0" applyNumberFormat="1" applyFont="1" applyFill="1" applyBorder="1"/>
    <xf numFmtId="3" fontId="51" fillId="34" borderId="20" xfId="0" applyNumberFormat="1" applyFont="1" applyFill="1" applyBorder="1"/>
    <xf numFmtId="3" fontId="51" fillId="34" borderId="18" xfId="0" applyNumberFormat="1" applyFont="1" applyFill="1" applyBorder="1"/>
    <xf numFmtId="3" fontId="51" fillId="34" borderId="33" xfId="0" applyNumberFormat="1" applyFont="1" applyFill="1" applyBorder="1"/>
    <xf numFmtId="0" fontId="46" fillId="0" borderId="0" xfId="993" applyFont="1"/>
    <xf numFmtId="171" fontId="46" fillId="0" borderId="0" xfId="993" applyNumberFormat="1" applyFont="1" applyFill="1" applyBorder="1"/>
    <xf numFmtId="0" fontId="41" fillId="0" borderId="0" xfId="993"/>
    <xf numFmtId="14" fontId="41" fillId="0" borderId="0" xfId="993" applyNumberFormat="1" applyFont="1" applyAlignment="1">
      <alignment horizontal="left"/>
    </xf>
    <xf numFmtId="171" fontId="41" fillId="0" borderId="0" xfId="993" applyNumberFormat="1" applyFont="1" applyFill="1" applyBorder="1" applyAlignment="1">
      <alignment horizontal="left"/>
    </xf>
    <xf numFmtId="0" fontId="41" fillId="0" borderId="0" xfId="993" applyFont="1" applyAlignment="1">
      <alignment horizontal="left"/>
    </xf>
    <xf numFmtId="171" fontId="41" fillId="0" borderId="0" xfId="993" applyNumberFormat="1" applyFill="1" applyBorder="1" applyAlignment="1">
      <alignment horizontal="left"/>
    </xf>
    <xf numFmtId="0" fontId="13" fillId="0" borderId="0" xfId="993" applyFont="1" applyFill="1" applyBorder="1" applyAlignment="1">
      <alignment horizontal="left"/>
    </xf>
    <xf numFmtId="14" fontId="41" fillId="0" borderId="0" xfId="993" applyNumberFormat="1" applyFill="1" applyAlignment="1">
      <alignment horizontal="left"/>
    </xf>
    <xf numFmtId="0" fontId="13" fillId="0" borderId="0" xfId="993" applyFont="1"/>
    <xf numFmtId="0" fontId="56" fillId="0" borderId="0" xfId="0" applyFont="1" applyFill="1"/>
    <xf numFmtId="0" fontId="13" fillId="0" borderId="0" xfId="0" applyFont="1" applyFill="1" applyBorder="1" applyAlignment="1"/>
    <xf numFmtId="0" fontId="13" fillId="30" borderId="0" xfId="0" applyFont="1" applyFill="1"/>
    <xf numFmtId="0" fontId="34" fillId="0" borderId="0" xfId="0" applyFont="1" applyFill="1"/>
    <xf numFmtId="0" fontId="34" fillId="31" borderId="49" xfId="0" applyFont="1" applyFill="1" applyBorder="1" applyAlignment="1">
      <alignment horizontal="left" vertical="center" wrapText="1"/>
    </xf>
    <xf numFmtId="0" fontId="47" fillId="29" borderId="13" xfId="0" applyFont="1" applyFill="1" applyBorder="1" applyAlignment="1">
      <alignment horizontal="left" vertical="center" wrapText="1"/>
    </xf>
    <xf numFmtId="0" fontId="47" fillId="29" borderId="13" xfId="0" applyFont="1" applyFill="1" applyBorder="1" applyAlignment="1">
      <alignment horizontal="right" vertical="center" wrapText="1"/>
    </xf>
    <xf numFmtId="0" fontId="47" fillId="29" borderId="25" xfId="0" applyFont="1" applyFill="1" applyBorder="1" applyAlignment="1">
      <alignment horizontal="right" vertical="center" wrapText="1"/>
    </xf>
    <xf numFmtId="0" fontId="47" fillId="29" borderId="13" xfId="0" applyFont="1" applyFill="1" applyBorder="1" applyAlignment="1">
      <alignment horizontal="center" vertical="center" wrapText="1"/>
    </xf>
    <xf numFmtId="0" fontId="47" fillId="32" borderId="13" xfId="0" applyFont="1" applyFill="1" applyBorder="1" applyAlignment="1">
      <alignment horizontal="left"/>
    </xf>
    <xf numFmtId="0" fontId="47" fillId="32" borderId="13" xfId="0" applyFont="1" applyFill="1" applyBorder="1" applyAlignment="1">
      <alignment horizontal="right"/>
    </xf>
    <xf numFmtId="0" fontId="47" fillId="32" borderId="50" xfId="0" applyFont="1" applyFill="1" applyBorder="1" applyAlignment="1">
      <alignment horizontal="right"/>
    </xf>
    <xf numFmtId="0" fontId="0" fillId="0" borderId="51" xfId="0" applyBorder="1"/>
    <xf numFmtId="0" fontId="0" fillId="0" borderId="19" xfId="0" applyBorder="1"/>
    <xf numFmtId="0" fontId="13" fillId="0" borderId="0" xfId="975" applyFill="1" applyBorder="1"/>
    <xf numFmtId="0" fontId="57" fillId="0" borderId="0" xfId="975" applyFont="1" applyFill="1" applyBorder="1" applyAlignment="1">
      <alignment vertical="center"/>
    </xf>
    <xf numFmtId="0" fontId="51" fillId="0" borderId="0" xfId="975" applyFont="1" applyFill="1" applyBorder="1" applyAlignment="1" applyProtection="1">
      <alignment vertical="center"/>
    </xf>
    <xf numFmtId="0" fontId="13" fillId="0" borderId="0" xfId="975"/>
    <xf numFmtId="0" fontId="52" fillId="0" borderId="0" xfId="975" applyFont="1" applyFill="1" applyBorder="1" applyAlignment="1" applyProtection="1">
      <alignment horizontal="center" vertical="center"/>
    </xf>
    <xf numFmtId="0" fontId="51" fillId="0" borderId="0" xfId="975" applyFont="1" applyFill="1" applyBorder="1" applyProtection="1"/>
    <xf numFmtId="0" fontId="13" fillId="0" borderId="0" xfId="975" applyFont="1"/>
    <xf numFmtId="0" fontId="50" fillId="0" borderId="0" xfId="975" applyFont="1"/>
    <xf numFmtId="0" fontId="58" fillId="22" borderId="52" xfId="975" applyFont="1" applyFill="1" applyBorder="1" applyProtection="1"/>
    <xf numFmtId="0" fontId="58" fillId="22" borderId="30" xfId="975" applyFont="1" applyFill="1" applyBorder="1" applyProtection="1"/>
    <xf numFmtId="0" fontId="58" fillId="22" borderId="31" xfId="975" applyFont="1" applyFill="1" applyBorder="1" applyProtection="1"/>
    <xf numFmtId="0" fontId="51" fillId="32" borderId="53" xfId="975" applyFont="1" applyFill="1" applyBorder="1" applyProtection="1"/>
    <xf numFmtId="0" fontId="51" fillId="32" borderId="18" xfId="975" applyFont="1" applyFill="1" applyBorder="1" applyProtection="1"/>
    <xf numFmtId="0" fontId="51" fillId="32" borderId="33" xfId="975" applyFont="1" applyFill="1" applyBorder="1" applyProtection="1"/>
    <xf numFmtId="0" fontId="51" fillId="32" borderId="54" xfId="975" applyFont="1" applyFill="1" applyBorder="1" applyProtection="1"/>
    <xf numFmtId="0" fontId="51" fillId="32" borderId="47" xfId="975" applyFont="1" applyFill="1" applyBorder="1" applyProtection="1"/>
    <xf numFmtId="0" fontId="51" fillId="32" borderId="48" xfId="975" applyFont="1" applyFill="1" applyBorder="1" applyProtection="1"/>
    <xf numFmtId="9" fontId="0" fillId="0" borderId="0" xfId="1474" applyFont="1"/>
    <xf numFmtId="0" fontId="13" fillId="33" borderId="0" xfId="975" applyFill="1"/>
    <xf numFmtId="9" fontId="13" fillId="33" borderId="0" xfId="1474" applyFont="1" applyFill="1"/>
    <xf numFmtId="0" fontId="55" fillId="32" borderId="27" xfId="975" applyFont="1" applyFill="1" applyBorder="1" applyAlignment="1">
      <alignment vertical="center" wrapText="1"/>
    </xf>
    <xf numFmtId="0" fontId="55" fillId="32" borderId="28" xfId="975" applyFont="1" applyFill="1" applyBorder="1" applyAlignment="1">
      <alignment vertical="center" wrapText="1"/>
    </xf>
    <xf numFmtId="0" fontId="55" fillId="32" borderId="29" xfId="975" applyFont="1" applyFill="1" applyBorder="1" applyAlignment="1">
      <alignment horizontal="center" vertical="center"/>
    </xf>
    <xf numFmtId="0" fontId="55" fillId="32" borderId="30" xfId="975" applyFont="1" applyFill="1" applyBorder="1" applyAlignment="1">
      <alignment horizontal="center" vertical="center"/>
    </xf>
    <xf numFmtId="0" fontId="55" fillId="32" borderId="31" xfId="975" applyFont="1" applyFill="1" applyBorder="1" applyAlignment="1">
      <alignment horizontal="center" vertical="center"/>
    </xf>
    <xf numFmtId="0" fontId="51" fillId="32" borderId="32" xfId="975" applyFont="1" applyFill="1" applyBorder="1"/>
    <xf numFmtId="0" fontId="51" fillId="32" borderId="15" xfId="975" applyFont="1" applyFill="1" applyBorder="1"/>
    <xf numFmtId="3" fontId="51" fillId="32" borderId="20" xfId="975" applyNumberFormat="1" applyFont="1" applyFill="1" applyBorder="1"/>
    <xf numFmtId="3" fontId="51" fillId="32" borderId="18" xfId="975" applyNumberFormat="1" applyFont="1" applyFill="1" applyBorder="1"/>
    <xf numFmtId="3" fontId="51" fillId="32" borderId="33" xfId="975" applyNumberFormat="1" applyFont="1" applyFill="1" applyBorder="1"/>
    <xf numFmtId="0" fontId="13" fillId="0" borderId="0" xfId="975" applyAlignment="1">
      <alignment vertical="center"/>
    </xf>
    <xf numFmtId="0" fontId="13" fillId="0" borderId="14" xfId="975" applyBorder="1" applyAlignment="1">
      <alignment vertical="center"/>
    </xf>
    <xf numFmtId="0" fontId="51" fillId="35" borderId="21" xfId="975" applyFont="1" applyFill="1" applyBorder="1"/>
    <xf numFmtId="0" fontId="51" fillId="35" borderId="15" xfId="975" applyFont="1" applyFill="1" applyBorder="1"/>
    <xf numFmtId="10" fontId="59" fillId="0" borderId="0" xfId="1474" applyNumberFormat="1" applyFont="1"/>
    <xf numFmtId="10" fontId="13" fillId="0" borderId="0" xfId="975" applyNumberFormat="1"/>
    <xf numFmtId="0" fontId="51" fillId="33" borderId="15" xfId="975" applyFont="1" applyFill="1" applyBorder="1"/>
    <xf numFmtId="3" fontId="59" fillId="33" borderId="0" xfId="1474" applyNumberFormat="1" applyFont="1" applyFill="1"/>
    <xf numFmtId="3" fontId="13" fillId="29" borderId="0" xfId="975" applyNumberFormat="1" applyFill="1"/>
    <xf numFmtId="0" fontId="13" fillId="29" borderId="0" xfId="975" applyFill="1"/>
    <xf numFmtId="0" fontId="51" fillId="33" borderId="41" xfId="975" applyFont="1" applyFill="1" applyBorder="1"/>
    <xf numFmtId="3" fontId="59" fillId="33" borderId="0" xfId="975" applyNumberFormat="1" applyFont="1" applyFill="1"/>
    <xf numFmtId="175" fontId="13" fillId="33" borderId="0" xfId="47" applyNumberFormat="1" applyFont="1" applyFill="1"/>
    <xf numFmtId="1" fontId="13" fillId="0" borderId="0" xfId="975" applyNumberFormat="1"/>
    <xf numFmtId="3" fontId="13" fillId="0" borderId="0" xfId="975" applyNumberFormat="1"/>
    <xf numFmtId="0" fontId="51" fillId="32" borderId="44" xfId="975" applyFont="1" applyFill="1" applyBorder="1"/>
    <xf numFmtId="0" fontId="51" fillId="32" borderId="45" xfId="975" applyFont="1" applyFill="1" applyBorder="1"/>
    <xf numFmtId="3" fontId="51" fillId="32" borderId="46" xfId="975" applyNumberFormat="1" applyFont="1" applyFill="1" applyBorder="1"/>
    <xf numFmtId="3" fontId="51" fillId="32" borderId="47" xfId="975" applyNumberFormat="1" applyFont="1" applyFill="1" applyBorder="1"/>
    <xf numFmtId="3" fontId="51" fillId="32" borderId="48" xfId="975" applyNumberFormat="1" applyFont="1" applyFill="1" applyBorder="1"/>
    <xf numFmtId="0" fontId="51" fillId="32" borderId="0" xfId="975" applyFont="1" applyFill="1" applyBorder="1"/>
    <xf numFmtId="1" fontId="59" fillId="0" borderId="0" xfId="1474" applyNumberFormat="1" applyFont="1"/>
    <xf numFmtId="9" fontId="13" fillId="0" borderId="0" xfId="975" applyNumberFormat="1"/>
    <xf numFmtId="0" fontId="59" fillId="0" borderId="0" xfId="975" applyFont="1"/>
    <xf numFmtId="9" fontId="59" fillId="0" borderId="0" xfId="1474" applyFont="1"/>
    <xf numFmtId="0" fontId="51" fillId="33" borderId="32" xfId="975" applyFont="1" applyFill="1" applyBorder="1"/>
    <xf numFmtId="3" fontId="51" fillId="33" borderId="20" xfId="975" applyNumberFormat="1" applyFont="1" applyFill="1" applyBorder="1"/>
    <xf numFmtId="3" fontId="51" fillId="33" borderId="18" xfId="975" applyNumberFormat="1" applyFont="1" applyFill="1" applyBorder="1"/>
    <xf numFmtId="3" fontId="51" fillId="33" borderId="33" xfId="975" applyNumberFormat="1" applyFont="1" applyFill="1" applyBorder="1"/>
    <xf numFmtId="0" fontId="59" fillId="0" borderId="0" xfId="975" applyFont="1" applyFill="1"/>
    <xf numFmtId="3" fontId="59" fillId="0" borderId="0" xfId="975" applyNumberFormat="1" applyFont="1"/>
    <xf numFmtId="10" fontId="0" fillId="0" borderId="0" xfId="1474" applyNumberFormat="1" applyFont="1"/>
    <xf numFmtId="0" fontId="13" fillId="0" borderId="0" xfId="975" applyFill="1"/>
    <xf numFmtId="0" fontId="13" fillId="0" borderId="0" xfId="975" applyAlignment="1">
      <alignment horizontal="center"/>
    </xf>
    <xf numFmtId="0" fontId="56" fillId="0" borderId="0" xfId="975" applyFont="1"/>
    <xf numFmtId="0" fontId="51" fillId="35" borderId="32" xfId="975" applyFont="1" applyFill="1" applyBorder="1"/>
    <xf numFmtId="3" fontId="51" fillId="35" borderId="20" xfId="975" applyNumberFormat="1" applyFont="1" applyFill="1" applyBorder="1"/>
    <xf numFmtId="3" fontId="51" fillId="32" borderId="55" xfId="975" applyNumberFormat="1" applyFont="1" applyFill="1" applyBorder="1"/>
    <xf numFmtId="3" fontId="51" fillId="32" borderId="56" xfId="975" applyNumberFormat="1" applyFont="1" applyFill="1" applyBorder="1"/>
    <xf numFmtId="3" fontId="51" fillId="32" borderId="57" xfId="975" applyNumberFormat="1" applyFont="1" applyFill="1" applyBorder="1"/>
    <xf numFmtId="0" fontId="51" fillId="36" borderId="32" xfId="975" applyFont="1" applyFill="1" applyBorder="1"/>
    <xf numFmtId="0" fontId="51" fillId="36" borderId="15" xfId="975" applyFont="1" applyFill="1" applyBorder="1"/>
    <xf numFmtId="3" fontId="51" fillId="36" borderId="20" xfId="975" applyNumberFormat="1" applyFont="1" applyFill="1" applyBorder="1"/>
    <xf numFmtId="3" fontId="51" fillId="36" borderId="18" xfId="975" applyNumberFormat="1" applyFont="1" applyFill="1" applyBorder="1"/>
    <xf numFmtId="3" fontId="51" fillId="36" borderId="33" xfId="975" applyNumberFormat="1" applyFont="1" applyFill="1" applyBorder="1"/>
    <xf numFmtId="0" fontId="13" fillId="0" borderId="0" xfId="975" applyFont="1" applyFill="1" applyBorder="1"/>
    <xf numFmtId="171" fontId="13" fillId="0" borderId="12" xfId="975" applyNumberFormat="1" applyFill="1" applyBorder="1"/>
    <xf numFmtId="171" fontId="13" fillId="33" borderId="0" xfId="975" applyNumberFormat="1" applyFont="1" applyFill="1" applyBorder="1"/>
    <xf numFmtId="171" fontId="13" fillId="30" borderId="14" xfId="975" applyNumberFormat="1" applyFont="1" applyFill="1" applyBorder="1"/>
    <xf numFmtId="171" fontId="13" fillId="33" borderId="14" xfId="975" applyNumberFormat="1" applyFont="1" applyFill="1" applyBorder="1"/>
    <xf numFmtId="0" fontId="51" fillId="33" borderId="44" xfId="975" applyFont="1" applyFill="1" applyBorder="1"/>
    <xf numFmtId="0" fontId="51" fillId="33" borderId="45" xfId="975" applyFont="1" applyFill="1" applyBorder="1"/>
    <xf numFmtId="3" fontId="51" fillId="33" borderId="46" xfId="975" applyNumberFormat="1" applyFont="1" applyFill="1" applyBorder="1"/>
    <xf numFmtId="0" fontId="13" fillId="0" borderId="14" xfId="975" applyFont="1" applyFill="1" applyBorder="1"/>
    <xf numFmtId="0" fontId="72" fillId="0" borderId="79" xfId="419"/>
    <xf numFmtId="0" fontId="73" fillId="0" borderId="0" xfId="420"/>
    <xf numFmtId="0" fontId="73" fillId="0" borderId="0" xfId="420" applyAlignment="1">
      <alignment horizontal="center"/>
    </xf>
    <xf numFmtId="0" fontId="71" fillId="0" borderId="78" xfId="418"/>
    <xf numFmtId="0" fontId="69" fillId="40" borderId="77" xfId="27" applyAlignment="1">
      <alignment horizontal="center"/>
    </xf>
    <xf numFmtId="170" fontId="79" fillId="40" borderId="80" xfId="1467" applyNumberFormat="1" applyAlignment="1">
      <alignment horizontal="center"/>
    </xf>
    <xf numFmtId="14" fontId="13" fillId="0" borderId="0" xfId="993" applyNumberFormat="1" applyFont="1" applyAlignment="1">
      <alignment horizontal="left"/>
    </xf>
    <xf numFmtId="171" fontId="13" fillId="0" borderId="0" xfId="993" applyNumberFormat="1" applyFont="1" applyFill="1" applyBorder="1" applyAlignment="1">
      <alignment horizontal="left"/>
    </xf>
    <xf numFmtId="0" fontId="13" fillId="0" borderId="0" xfId="993" applyFont="1" applyAlignment="1">
      <alignment horizontal="left"/>
    </xf>
    <xf numFmtId="0" fontId="66" fillId="37" borderId="14" xfId="983" applyFill="1" applyBorder="1"/>
    <xf numFmtId="0" fontId="83" fillId="37" borderId="14" xfId="983" applyFont="1" applyFill="1" applyBorder="1"/>
    <xf numFmtId="0" fontId="83" fillId="37" borderId="58" xfId="983" applyFont="1" applyFill="1" applyBorder="1"/>
    <xf numFmtId="0" fontId="66" fillId="37" borderId="58" xfId="983" applyFill="1" applyBorder="1"/>
    <xf numFmtId="0" fontId="0" fillId="0" borderId="21" xfId="0" applyBorder="1"/>
    <xf numFmtId="171" fontId="0" fillId="0" borderId="12" xfId="0" applyNumberFormat="1" applyBorder="1"/>
    <xf numFmtId="171" fontId="13" fillId="0" borderId="12" xfId="0" applyNumberFormat="1" applyFont="1" applyFill="1" applyBorder="1"/>
    <xf numFmtId="171" fontId="0" fillId="0" borderId="12" xfId="0" applyNumberFormat="1" applyFill="1" applyBorder="1"/>
    <xf numFmtId="0" fontId="35" fillId="29" borderId="12" xfId="0" applyFont="1" applyFill="1" applyBorder="1" applyAlignment="1">
      <alignment horizontal="left" vertical="center" wrapText="1"/>
    </xf>
    <xf numFmtId="0" fontId="48" fillId="29" borderId="12" xfId="0" applyFont="1" applyFill="1" applyBorder="1" applyAlignment="1">
      <alignment horizontal="left" vertical="center" wrapText="1"/>
    </xf>
    <xf numFmtId="0" fontId="13" fillId="0" borderId="0" xfId="0" applyFont="1" applyFill="1" applyBorder="1" applyAlignment="1">
      <alignment horizontal="center" vertical="center"/>
    </xf>
    <xf numFmtId="171" fontId="13" fillId="0" borderId="12" xfId="0" applyNumberFormat="1" applyFont="1" applyFill="1" applyBorder="1" applyAlignment="1">
      <alignment horizontal="left"/>
    </xf>
    <xf numFmtId="171" fontId="14" fillId="0" borderId="12" xfId="0" applyNumberFormat="1" applyFont="1" applyFill="1" applyBorder="1" applyAlignment="1">
      <alignment horizontal="left" wrapText="1"/>
    </xf>
    <xf numFmtId="0" fontId="0" fillId="0" borderId="17" xfId="0" applyBorder="1"/>
    <xf numFmtId="0" fontId="14" fillId="0" borderId="63" xfId="0" applyFont="1" applyBorder="1" applyAlignment="1">
      <alignment horizontal="left"/>
    </xf>
    <xf numFmtId="0" fontId="14" fillId="0" borderId="64" xfId="0" applyFont="1" applyBorder="1" applyAlignment="1">
      <alignment horizontal="left"/>
    </xf>
    <xf numFmtId="0" fontId="14" fillId="0" borderId="65" xfId="0" applyFont="1" applyBorder="1" applyAlignment="1">
      <alignment horizontal="left"/>
    </xf>
    <xf numFmtId="9" fontId="0" fillId="0" borderId="0" xfId="1473" applyFont="1" applyBorder="1"/>
    <xf numFmtId="0" fontId="13" fillId="51" borderId="66" xfId="0" applyFont="1" applyFill="1" applyBorder="1"/>
    <xf numFmtId="180" fontId="0" fillId="37" borderId="64" xfId="0" applyNumberFormat="1" applyFill="1" applyBorder="1"/>
    <xf numFmtId="0" fontId="0" fillId="37" borderId="64" xfId="0" applyFill="1" applyBorder="1"/>
    <xf numFmtId="0" fontId="0" fillId="37" borderId="63" xfId="0" applyFill="1" applyBorder="1"/>
    <xf numFmtId="0" fontId="0" fillId="37" borderId="61" xfId="0" applyFill="1" applyBorder="1"/>
    <xf numFmtId="179" fontId="0" fillId="37" borderId="60" xfId="0" applyNumberFormat="1" applyFill="1" applyBorder="1"/>
    <xf numFmtId="9" fontId="65" fillId="50" borderId="60" xfId="1987" applyFont="1" applyFill="1" applyBorder="1"/>
    <xf numFmtId="180" fontId="0" fillId="37" borderId="60" xfId="0" applyNumberFormat="1" applyFill="1" applyBorder="1"/>
    <xf numFmtId="178" fontId="0" fillId="37" borderId="60" xfId="0" applyNumberFormat="1" applyFill="1" applyBorder="1"/>
    <xf numFmtId="0" fontId="0" fillId="37" borderId="60" xfId="0" applyFill="1" applyBorder="1"/>
    <xf numFmtId="0" fontId="0" fillId="37" borderId="59" xfId="0" applyFill="1" applyBorder="1"/>
    <xf numFmtId="178" fontId="0" fillId="37" borderId="0" xfId="0" applyNumberFormat="1" applyFill="1" applyBorder="1"/>
    <xf numFmtId="0" fontId="0" fillId="37" borderId="21" xfId="0" applyFill="1" applyBorder="1"/>
    <xf numFmtId="0" fontId="85" fillId="37" borderId="0" xfId="0" applyFont="1" applyFill="1" applyBorder="1"/>
    <xf numFmtId="0" fontId="0" fillId="50" borderId="17" xfId="0" applyFill="1" applyBorder="1"/>
    <xf numFmtId="0" fontId="0" fillId="50" borderId="0" xfId="0" applyFill="1" applyBorder="1"/>
    <xf numFmtId="173" fontId="0" fillId="50" borderId="0" xfId="0" applyNumberFormat="1" applyFill="1" applyBorder="1"/>
    <xf numFmtId="179" fontId="0" fillId="37" borderId="0" xfId="0" applyNumberFormat="1" applyFill="1" applyBorder="1"/>
    <xf numFmtId="9" fontId="65" fillId="50" borderId="0" xfId="1987" applyFont="1" applyFill="1" applyBorder="1"/>
    <xf numFmtId="180" fontId="0" fillId="37" borderId="0" xfId="0" applyNumberFormat="1" applyFill="1" applyBorder="1"/>
    <xf numFmtId="0" fontId="0" fillId="37" borderId="0" xfId="0" applyFill="1" applyBorder="1"/>
    <xf numFmtId="0" fontId="0" fillId="37" borderId="17" xfId="0" applyFill="1" applyBorder="1"/>
    <xf numFmtId="0" fontId="0" fillId="51" borderId="67" xfId="0" applyFill="1" applyBorder="1"/>
    <xf numFmtId="0" fontId="0" fillId="51" borderId="66" xfId="0" applyFill="1" applyBorder="1"/>
    <xf numFmtId="0" fontId="0" fillId="51" borderId="68" xfId="0" applyFill="1" applyBorder="1"/>
    <xf numFmtId="0" fontId="0" fillId="37" borderId="0" xfId="0" applyFill="1"/>
    <xf numFmtId="0" fontId="62" fillId="52" borderId="0" xfId="0" applyFont="1" applyFill="1"/>
    <xf numFmtId="0" fontId="86" fillId="52" borderId="0" xfId="0" applyFont="1" applyFill="1"/>
    <xf numFmtId="178" fontId="34" fillId="37" borderId="0" xfId="995" applyFill="1"/>
    <xf numFmtId="178" fontId="82" fillId="46" borderId="0" xfId="1470" applyNumberFormat="1"/>
    <xf numFmtId="178" fontId="85" fillId="37" borderId="0" xfId="995" applyFont="1" applyFill="1"/>
    <xf numFmtId="178" fontId="87" fillId="37" borderId="0" xfId="995" applyFont="1" applyFill="1"/>
    <xf numFmtId="178" fontId="85" fillId="37" borderId="0" xfId="995" applyFont="1" applyFill="1" applyBorder="1"/>
    <xf numFmtId="178" fontId="85" fillId="2" borderId="0" xfId="995" applyFont="1" applyFill="1"/>
    <xf numFmtId="178" fontId="85" fillId="2" borderId="14" xfId="995" applyFont="1" applyFill="1" applyBorder="1" applyAlignment="1">
      <alignment horizontal="center"/>
    </xf>
    <xf numFmtId="178" fontId="87" fillId="37" borderId="2" xfId="995" applyFont="1" applyFill="1" applyBorder="1"/>
    <xf numFmtId="178" fontId="85" fillId="37" borderId="2" xfId="995" applyFont="1" applyFill="1" applyBorder="1"/>
    <xf numFmtId="180" fontId="85" fillId="37" borderId="0" xfId="995" applyNumberFormat="1" applyFont="1" applyFill="1"/>
    <xf numFmtId="178" fontId="88" fillId="2" borderId="0" xfId="995" applyFont="1" applyFill="1"/>
    <xf numFmtId="178" fontId="88" fillId="2" borderId="0" xfId="995" applyFont="1" applyFill="1" applyAlignment="1">
      <alignment horizontal="center"/>
    </xf>
    <xf numFmtId="178" fontId="85" fillId="2" borderId="12" xfId="995" applyFont="1" applyFill="1" applyBorder="1"/>
    <xf numFmtId="178" fontId="85" fillId="2" borderId="14" xfId="995" applyFont="1" applyFill="1" applyBorder="1"/>
    <xf numFmtId="180" fontId="76" fillId="37" borderId="0" xfId="433" applyNumberFormat="1" applyFill="1" applyBorder="1" applyAlignment="1"/>
    <xf numFmtId="180" fontId="76" fillId="37" borderId="60" xfId="433" applyNumberFormat="1" applyFill="1" applyBorder="1" applyAlignment="1"/>
    <xf numFmtId="180" fontId="76" fillId="37" borderId="64" xfId="433" applyNumberFormat="1" applyFill="1" applyBorder="1" applyAlignment="1"/>
    <xf numFmtId="179" fontId="76" fillId="43" borderId="0" xfId="433" applyNumberFormat="1" applyBorder="1" applyAlignment="1"/>
    <xf numFmtId="178" fontId="88" fillId="2" borderId="0" xfId="995" applyFont="1" applyFill="1" applyBorder="1"/>
    <xf numFmtId="178" fontId="85" fillId="2" borderId="69" xfId="995" applyFont="1" applyFill="1" applyBorder="1"/>
    <xf numFmtId="178" fontId="85" fillId="2" borderId="34" xfId="995" applyFont="1" applyFill="1" applyBorder="1"/>
    <xf numFmtId="178" fontId="85" fillId="2" borderId="19" xfId="995" applyFont="1" applyFill="1" applyBorder="1"/>
    <xf numFmtId="178" fontId="89" fillId="2" borderId="0" xfId="1471" applyFont="1" applyFill="1" applyAlignment="1"/>
    <xf numFmtId="173" fontId="68" fillId="39" borderId="0" xfId="25" applyNumberFormat="1" applyBorder="1"/>
    <xf numFmtId="173" fontId="68" fillId="39" borderId="0" xfId="25" applyNumberFormat="1" applyBorder="1" applyAlignment="1"/>
    <xf numFmtId="173" fontId="68" fillId="39" borderId="60" xfId="25" applyNumberFormat="1" applyBorder="1"/>
    <xf numFmtId="179" fontId="76" fillId="43" borderId="60" xfId="433" applyNumberFormat="1" applyBorder="1" applyAlignment="1"/>
    <xf numFmtId="9" fontId="68" fillId="39" borderId="0" xfId="25" applyNumberFormat="1" applyBorder="1" applyAlignment="1"/>
    <xf numFmtId="173" fontId="34" fillId="37" borderId="0" xfId="28" applyNumberFormat="1" applyBorder="1"/>
    <xf numFmtId="178" fontId="87" fillId="53" borderId="2" xfId="995" applyFont="1" applyFill="1" applyBorder="1"/>
    <xf numFmtId="178" fontId="85" fillId="37" borderId="42" xfId="995" applyFont="1" applyFill="1" applyBorder="1"/>
    <xf numFmtId="178" fontId="90" fillId="39" borderId="2" xfId="25" applyNumberFormat="1" applyFont="1" applyBorder="1"/>
    <xf numFmtId="181" fontId="90" fillId="39" borderId="2" xfId="25" applyNumberFormat="1" applyFont="1" applyBorder="1"/>
    <xf numFmtId="181" fontId="90" fillId="39" borderId="2" xfId="25" applyNumberFormat="1" applyFont="1" applyBorder="1" applyProtection="1">
      <protection locked="0"/>
    </xf>
    <xf numFmtId="178" fontId="91" fillId="37" borderId="2" xfId="995" applyFont="1" applyFill="1" applyBorder="1" applyAlignment="1">
      <alignment horizontal="left"/>
    </xf>
    <xf numFmtId="181" fontId="85" fillId="37" borderId="2" xfId="995" applyNumberFormat="1" applyFont="1" applyFill="1" applyBorder="1"/>
    <xf numFmtId="181" fontId="85" fillId="37" borderId="2" xfId="28" applyNumberFormat="1" applyFont="1" applyBorder="1"/>
    <xf numFmtId="178" fontId="92" fillId="43" borderId="2" xfId="433" applyFont="1" applyBorder="1" applyAlignment="1">
      <alignment horizontal="left"/>
    </xf>
    <xf numFmtId="178" fontId="92" fillId="43" borderId="2" xfId="433" applyFont="1" applyBorder="1" applyAlignment="1"/>
    <xf numFmtId="178" fontId="87" fillId="53" borderId="2" xfId="995" applyFont="1" applyFill="1" applyBorder="1" applyAlignment="1">
      <alignment horizontal="right"/>
    </xf>
    <xf numFmtId="178" fontId="85" fillId="37" borderId="70" xfId="995" applyFont="1" applyFill="1" applyBorder="1"/>
    <xf numFmtId="178" fontId="85" fillId="37" borderId="18" xfId="995" applyFont="1" applyFill="1" applyBorder="1"/>
    <xf numFmtId="178" fontId="93" fillId="38" borderId="2" xfId="995" applyNumberFormat="1" applyFont="1" applyFill="1" applyBorder="1"/>
    <xf numFmtId="183" fontId="85" fillId="37" borderId="0" xfId="995" applyNumberFormat="1" applyFont="1" applyFill="1"/>
    <xf numFmtId="178" fontId="85" fillId="52" borderId="2" xfId="995" applyFont="1" applyFill="1" applyBorder="1"/>
    <xf numFmtId="178" fontId="85" fillId="2" borderId="69" xfId="995" applyFont="1" applyFill="1" applyBorder="1" applyAlignment="1">
      <alignment horizontal="center" wrapText="1"/>
    </xf>
    <xf numFmtId="178" fontId="85" fillId="2" borderId="12" xfId="995" applyFont="1" applyFill="1" applyBorder="1" applyAlignment="1">
      <alignment horizontal="centerContinuous" wrapText="1"/>
    </xf>
    <xf numFmtId="178" fontId="85" fillId="2" borderId="12" xfId="995" applyFont="1" applyFill="1" applyBorder="1" applyAlignment="1">
      <alignment horizontal="center" wrapText="1"/>
    </xf>
    <xf numFmtId="178" fontId="85" fillId="2" borderId="12" xfId="995" applyFont="1" applyFill="1" applyBorder="1" applyAlignment="1">
      <alignment wrapText="1"/>
    </xf>
    <xf numFmtId="178" fontId="85" fillId="2" borderId="49" xfId="995" applyFont="1" applyFill="1" applyBorder="1" applyAlignment="1">
      <alignment horizontal="center" wrapText="1"/>
    </xf>
    <xf numFmtId="178" fontId="85" fillId="2" borderId="34" xfId="995" applyFont="1" applyFill="1" applyBorder="1" applyAlignment="1">
      <alignment horizontal="center"/>
    </xf>
    <xf numFmtId="178" fontId="85" fillId="2" borderId="14" xfId="995" applyFont="1" applyFill="1" applyBorder="1" applyAlignment="1">
      <alignment horizontal="right"/>
    </xf>
    <xf numFmtId="178" fontId="85" fillId="2" borderId="16" xfId="995" applyFont="1" applyFill="1" applyBorder="1" applyAlignment="1">
      <alignment horizontal="center"/>
    </xf>
    <xf numFmtId="178" fontId="85" fillId="2" borderId="49" xfId="995" applyFont="1" applyFill="1" applyBorder="1" applyAlignment="1">
      <alignment horizontal="left"/>
    </xf>
    <xf numFmtId="179" fontId="92" fillId="43" borderId="69" xfId="433" applyNumberFormat="1" applyFont="1" applyBorder="1" applyAlignment="1"/>
    <xf numFmtId="179" fontId="92" fillId="43" borderId="12" xfId="433" applyNumberFormat="1" applyFont="1" applyBorder="1" applyAlignment="1"/>
    <xf numFmtId="181" fontId="92" fillId="43" borderId="12" xfId="433" applyNumberFormat="1" applyFont="1" applyBorder="1" applyAlignment="1"/>
    <xf numFmtId="179" fontId="92" fillId="52" borderId="12" xfId="995" applyNumberFormat="1" applyFont="1" applyFill="1" applyBorder="1"/>
    <xf numFmtId="181" fontId="92" fillId="43" borderId="49" xfId="433" applyNumberFormat="1" applyFont="1" applyBorder="1" applyAlignment="1"/>
    <xf numFmtId="178" fontId="85" fillId="52" borderId="70" xfId="28" applyNumberFormat="1" applyFont="1" applyFill="1" applyBorder="1" applyAlignment="1">
      <alignment horizontal="center"/>
    </xf>
    <xf numFmtId="178" fontId="85" fillId="2" borderId="20" xfId="995" applyFont="1" applyFill="1" applyBorder="1" applyAlignment="1">
      <alignment horizontal="left"/>
    </xf>
    <xf numFmtId="179" fontId="92" fillId="43" borderId="0" xfId="433" applyNumberFormat="1" applyFont="1" applyBorder="1" applyAlignment="1"/>
    <xf numFmtId="181" fontId="92" fillId="43" borderId="0" xfId="433" applyNumberFormat="1" applyFont="1" applyBorder="1" applyAlignment="1"/>
    <xf numFmtId="179" fontId="92" fillId="52" borderId="0" xfId="995" applyNumberFormat="1" applyFont="1" applyFill="1" applyBorder="1"/>
    <xf numFmtId="181" fontId="92" fillId="43" borderId="20" xfId="433" applyNumberFormat="1" applyFont="1" applyBorder="1" applyAlignment="1"/>
    <xf numFmtId="178" fontId="85" fillId="52" borderId="18" xfId="28" applyNumberFormat="1" applyFont="1" applyFill="1" applyBorder="1" applyAlignment="1">
      <alignment horizontal="center"/>
    </xf>
    <xf numFmtId="178" fontId="92" fillId="52" borderId="0" xfId="995" applyNumberFormat="1" applyFont="1" applyFill="1" applyBorder="1"/>
    <xf numFmtId="178" fontId="85" fillId="37" borderId="19" xfId="28" applyNumberFormat="1" applyFont="1" applyBorder="1"/>
    <xf numFmtId="178" fontId="85" fillId="2" borderId="16" xfId="995" applyFont="1" applyFill="1" applyBorder="1" applyAlignment="1">
      <alignment horizontal="left"/>
    </xf>
    <xf numFmtId="179" fontId="92" fillId="43" borderId="14" xfId="433" applyNumberFormat="1" applyFont="1" applyBorder="1" applyAlignment="1"/>
    <xf numFmtId="181" fontId="92" fillId="43" borderId="14" xfId="433" applyNumberFormat="1" applyFont="1" applyBorder="1" applyAlignment="1"/>
    <xf numFmtId="178" fontId="92" fillId="52" borderId="14" xfId="995" applyNumberFormat="1" applyFont="1" applyFill="1" applyBorder="1"/>
    <xf numFmtId="181" fontId="92" fillId="43" borderId="16" xfId="433" applyNumberFormat="1" applyFont="1" applyBorder="1" applyAlignment="1"/>
    <xf numFmtId="178" fontId="85" fillId="52" borderId="42" xfId="28" applyNumberFormat="1" applyFont="1" applyFill="1" applyBorder="1" applyAlignment="1">
      <alignment horizontal="center"/>
    </xf>
    <xf numFmtId="178" fontId="89" fillId="37" borderId="0" xfId="1471" applyFont="1" applyFill="1" applyAlignment="1"/>
    <xf numFmtId="178" fontId="88" fillId="2" borderId="71" xfId="995" applyFont="1" applyFill="1" applyBorder="1" applyAlignment="1">
      <alignment horizontal="right"/>
    </xf>
    <xf numFmtId="178" fontId="88" fillId="2" borderId="72" xfId="995" applyFont="1" applyFill="1" applyBorder="1" applyAlignment="1">
      <alignment horizontal="right"/>
    </xf>
    <xf numFmtId="183" fontId="85" fillId="37" borderId="2" xfId="28" applyNumberFormat="1" applyFont="1" applyBorder="1"/>
    <xf numFmtId="181" fontId="92" fillId="43" borderId="69" xfId="433" applyNumberFormat="1" applyFont="1" applyBorder="1" applyAlignment="1"/>
    <xf numFmtId="181" fontId="92" fillId="43" borderId="19" xfId="433" applyNumberFormat="1" applyFont="1" applyBorder="1" applyAlignment="1"/>
    <xf numFmtId="181" fontId="92" fillId="43" borderId="34" xfId="433" applyNumberFormat="1" applyFont="1" applyBorder="1" applyAlignment="1"/>
    <xf numFmtId="181" fontId="85" fillId="38" borderId="2" xfId="995" applyNumberFormat="1" applyFont="1" applyFill="1" applyBorder="1"/>
    <xf numFmtId="0" fontId="85" fillId="38" borderId="2" xfId="995" applyNumberFormat="1" applyFont="1" applyFill="1" applyBorder="1"/>
    <xf numFmtId="0" fontId="85" fillId="38" borderId="2" xfId="995" applyNumberFormat="1" applyFont="1" applyFill="1" applyBorder="1" applyAlignment="1">
      <alignment horizontal="left"/>
    </xf>
    <xf numFmtId="181" fontId="94" fillId="37" borderId="2" xfId="2000" applyNumberFormat="1" applyFont="1" applyFill="1" applyBorder="1" applyProtection="1">
      <protection locked="0"/>
    </xf>
    <xf numFmtId="178" fontId="94" fillId="37" borderId="2" xfId="2000" applyNumberFormat="1" applyFont="1" applyFill="1" applyBorder="1"/>
    <xf numFmtId="0" fontId="85" fillId="37" borderId="2" xfId="28" applyFont="1" applyBorder="1"/>
    <xf numFmtId="181" fontId="85" fillId="37" borderId="2" xfId="28" applyNumberFormat="1" applyFont="1" applyBorder="1" applyProtection="1">
      <protection locked="0"/>
    </xf>
    <xf numFmtId="0" fontId="92" fillId="43" borderId="2" xfId="433" applyNumberFormat="1" applyFont="1" applyBorder="1" applyAlignment="1">
      <alignment horizontal="left"/>
    </xf>
    <xf numFmtId="178" fontId="91" fillId="52" borderId="2" xfId="995" applyFont="1" applyFill="1" applyBorder="1" applyAlignment="1">
      <alignment horizontal="left"/>
    </xf>
    <xf numFmtId="178" fontId="94" fillId="37" borderId="0" xfId="2000" applyNumberFormat="1" applyFont="1" applyFill="1" applyBorder="1"/>
    <xf numFmtId="178" fontId="85" fillId="2" borderId="2" xfId="995" applyFont="1" applyFill="1" applyBorder="1"/>
    <xf numFmtId="179" fontId="85" fillId="2" borderId="2" xfId="995" applyNumberFormat="1" applyFont="1" applyFill="1" applyBorder="1"/>
    <xf numFmtId="179" fontId="85" fillId="50" borderId="2" xfId="995" applyNumberFormat="1" applyFont="1" applyFill="1" applyBorder="1"/>
    <xf numFmtId="181" fontId="85" fillId="54" borderId="2" xfId="995" applyNumberFormat="1" applyFont="1" applyFill="1" applyBorder="1"/>
    <xf numFmtId="178" fontId="85" fillId="2" borderId="2" xfId="995" applyFont="1" applyFill="1" applyBorder="1" applyAlignment="1">
      <alignment horizontal="centerContinuous"/>
    </xf>
    <xf numFmtId="180" fontId="90" fillId="39" borderId="2" xfId="25" applyNumberFormat="1" applyFont="1" applyBorder="1"/>
    <xf numFmtId="178" fontId="85" fillId="50" borderId="2" xfId="995" applyNumberFormat="1" applyFont="1" applyFill="1" applyBorder="1"/>
    <xf numFmtId="180" fontId="85" fillId="50" borderId="2" xfId="995" applyNumberFormat="1" applyFont="1" applyFill="1" applyBorder="1"/>
    <xf numFmtId="9" fontId="92" fillId="43" borderId="49" xfId="1987" applyFont="1" applyFill="1" applyBorder="1" applyAlignment="1"/>
    <xf numFmtId="9" fontId="92" fillId="43" borderId="20" xfId="1987" applyFont="1" applyFill="1" applyBorder="1" applyAlignment="1"/>
    <xf numFmtId="9" fontId="92" fillId="43" borderId="16" xfId="1987" applyFont="1" applyFill="1" applyBorder="1" applyAlignment="1"/>
    <xf numFmtId="178" fontId="84" fillId="37" borderId="2" xfId="2000" applyNumberFormat="1" applyFill="1" applyBorder="1"/>
    <xf numFmtId="179" fontId="94" fillId="37" borderId="2" xfId="2000" applyNumberFormat="1" applyFont="1" applyFill="1" applyBorder="1"/>
    <xf numFmtId="176" fontId="88" fillId="2" borderId="0" xfId="1987" applyNumberFormat="1" applyFont="1" applyFill="1"/>
    <xf numFmtId="178" fontId="68" fillId="39" borderId="0" xfId="25" applyNumberFormat="1" applyBorder="1"/>
    <xf numFmtId="181" fontId="68" fillId="39" borderId="2" xfId="25" applyNumberFormat="1" applyBorder="1"/>
    <xf numFmtId="180" fontId="68" fillId="39" borderId="2" xfId="25" applyNumberFormat="1" applyBorder="1"/>
    <xf numFmtId="178" fontId="81" fillId="45" borderId="0" xfId="1469" applyNumberFormat="1"/>
    <xf numFmtId="178" fontId="89" fillId="37" borderId="0" xfId="1471" applyFont="1" applyFill="1" applyBorder="1" applyAlignment="1"/>
    <xf numFmtId="179" fontId="92" fillId="50" borderId="12" xfId="433" applyNumberFormat="1" applyFont="1" applyFill="1" applyBorder="1" applyAlignment="1"/>
    <xf numFmtId="179" fontId="92" fillId="50" borderId="0" xfId="433" applyNumberFormat="1" applyFont="1" applyFill="1" applyBorder="1" applyAlignment="1"/>
    <xf numFmtId="179" fontId="92" fillId="50" borderId="14" xfId="433" applyNumberFormat="1" applyFont="1" applyFill="1" applyBorder="1" applyAlignment="1"/>
    <xf numFmtId="176" fontId="85" fillId="50" borderId="12" xfId="28" applyNumberFormat="1" applyFont="1" applyFill="1" applyBorder="1" applyAlignment="1">
      <alignment horizontal="right"/>
    </xf>
    <xf numFmtId="176" fontId="85" fillId="50" borderId="0" xfId="28" applyNumberFormat="1" applyFont="1" applyFill="1" applyBorder="1" applyAlignment="1">
      <alignment horizontal="right"/>
    </xf>
    <xf numFmtId="176" fontId="85" fillId="50" borderId="14" xfId="28" applyNumberFormat="1" applyFont="1" applyFill="1" applyBorder="1" applyAlignment="1">
      <alignment horizontal="right"/>
    </xf>
    <xf numFmtId="9" fontId="92" fillId="50" borderId="49" xfId="1987" applyFont="1" applyFill="1" applyBorder="1"/>
    <xf numFmtId="9" fontId="92" fillId="50" borderId="20" xfId="1987" applyFont="1" applyFill="1" applyBorder="1"/>
    <xf numFmtId="9" fontId="92" fillId="50" borderId="20" xfId="433" applyNumberFormat="1" applyFont="1" applyFill="1" applyBorder="1" applyAlignment="1"/>
    <xf numFmtId="9" fontId="92" fillId="50" borderId="16" xfId="433" applyNumberFormat="1" applyFont="1" applyFill="1" applyBorder="1" applyAlignment="1"/>
    <xf numFmtId="181" fontId="85" fillId="50" borderId="49" xfId="28" applyNumberFormat="1" applyFont="1" applyFill="1" applyBorder="1"/>
    <xf numFmtId="181" fontId="85" fillId="50" borderId="20" xfId="28" applyNumberFormat="1" applyFont="1" applyFill="1" applyBorder="1"/>
    <xf numFmtId="181" fontId="85" fillId="50" borderId="18" xfId="28" applyNumberFormat="1" applyFont="1" applyFill="1" applyBorder="1"/>
    <xf numFmtId="181" fontId="85" fillId="50" borderId="16" xfId="28" applyNumberFormat="1" applyFont="1" applyFill="1" applyBorder="1"/>
    <xf numFmtId="184" fontId="92" fillId="50" borderId="49" xfId="433" applyNumberFormat="1" applyFont="1" applyFill="1" applyBorder="1" applyAlignment="1"/>
    <xf numFmtId="184" fontId="92" fillId="50" borderId="20" xfId="433" applyNumberFormat="1" applyFont="1" applyFill="1" applyBorder="1" applyAlignment="1"/>
    <xf numFmtId="184" fontId="92" fillId="50" borderId="16" xfId="433" applyNumberFormat="1" applyFont="1" applyFill="1" applyBorder="1" applyAlignment="1"/>
    <xf numFmtId="182" fontId="92" fillId="50" borderId="49" xfId="433" applyNumberFormat="1" applyFont="1" applyFill="1" applyBorder="1" applyAlignment="1"/>
    <xf numFmtId="182" fontId="92" fillId="50" borderId="20" xfId="433" applyNumberFormat="1" applyFont="1" applyFill="1" applyBorder="1" applyAlignment="1"/>
    <xf numFmtId="182" fontId="92" fillId="50" borderId="16" xfId="433" applyNumberFormat="1" applyFont="1" applyFill="1" applyBorder="1" applyAlignment="1"/>
    <xf numFmtId="173" fontId="34" fillId="37" borderId="0" xfId="433" applyNumberFormat="1" applyFont="1" applyFill="1" applyBorder="1" applyAlignment="1"/>
    <xf numFmtId="179" fontId="85" fillId="37" borderId="0" xfId="28" applyNumberFormat="1" applyFont="1" applyBorder="1"/>
    <xf numFmtId="179" fontId="90" fillId="39" borderId="0" xfId="25" applyNumberFormat="1" applyFont="1" applyBorder="1"/>
    <xf numFmtId="179" fontId="85" fillId="37" borderId="0" xfId="28" applyNumberFormat="1" applyFont="1" applyBorder="1" applyProtection="1">
      <protection locked="0"/>
    </xf>
    <xf numFmtId="179" fontId="76" fillId="43" borderId="0" xfId="433" applyNumberFormat="1" applyBorder="1" applyAlignment="1" applyProtection="1">
      <protection locked="0"/>
    </xf>
    <xf numFmtId="181" fontId="85" fillId="37" borderId="0" xfId="28" applyNumberFormat="1" applyFont="1" applyBorder="1" applyProtection="1">
      <protection locked="0"/>
    </xf>
    <xf numFmtId="178" fontId="92" fillId="43" borderId="21" xfId="433" applyFont="1" applyBorder="1" applyAlignment="1">
      <alignment horizontal="left"/>
    </xf>
    <xf numFmtId="178" fontId="92" fillId="43" borderId="21" xfId="433" applyNumberFormat="1" applyFont="1" applyBorder="1" applyAlignment="1"/>
    <xf numFmtId="178" fontId="92" fillId="43" borderId="21" xfId="433" applyFont="1" applyBorder="1" applyAlignment="1"/>
    <xf numFmtId="181" fontId="90" fillId="45" borderId="2" xfId="25" applyNumberFormat="1" applyFont="1" applyFill="1" applyBorder="1" applyProtection="1">
      <protection locked="0"/>
    </xf>
    <xf numFmtId="171" fontId="95" fillId="0" borderId="0" xfId="0" applyNumberFormat="1" applyFont="1" applyFill="1" applyBorder="1"/>
    <xf numFmtId="0" fontId="11" fillId="0" borderId="0" xfId="2005"/>
    <xf numFmtId="0" fontId="12" fillId="0" borderId="0" xfId="2007"/>
    <xf numFmtId="171" fontId="12" fillId="0" borderId="0" xfId="993" applyNumberFormat="1" applyFont="1" applyFill="1" applyBorder="1" applyAlignment="1">
      <alignment horizontal="left"/>
    </xf>
    <xf numFmtId="14" fontId="12" fillId="0" borderId="0" xfId="993" applyNumberFormat="1" applyFont="1" applyAlignment="1">
      <alignment horizontal="left"/>
    </xf>
    <xf numFmtId="0" fontId="12" fillId="0" borderId="0" xfId="0" applyFont="1" applyFill="1" applyBorder="1" applyAlignment="1">
      <alignment horizontal="left"/>
    </xf>
    <xf numFmtId="171" fontId="12" fillId="0" borderId="0" xfId="0" applyNumberFormat="1" applyFont="1" applyFill="1" applyBorder="1"/>
    <xf numFmtId="0" fontId="12" fillId="0" borderId="0" xfId="975" applyFont="1"/>
    <xf numFmtId="0" fontId="51" fillId="35" borderId="81" xfId="975" applyFont="1" applyFill="1" applyBorder="1"/>
    <xf numFmtId="0" fontId="51" fillId="33" borderId="82" xfId="975" applyFont="1" applyFill="1" applyBorder="1"/>
    <xf numFmtId="0" fontId="12" fillId="0" borderId="0" xfId="0" applyFont="1" applyBorder="1"/>
    <xf numFmtId="0" fontId="12" fillId="0" borderId="0" xfId="993" applyFont="1" applyAlignment="1">
      <alignment horizontal="left"/>
    </xf>
    <xf numFmtId="0" fontId="0" fillId="0" borderId="0" xfId="0"/>
    <xf numFmtId="14" fontId="12" fillId="0" borderId="0" xfId="993" applyNumberFormat="1" applyFont="1" applyAlignment="1">
      <alignment horizontal="left"/>
    </xf>
    <xf numFmtId="171" fontId="12" fillId="0" borderId="0" xfId="993" applyNumberFormat="1" applyFont="1" applyFill="1" applyBorder="1" applyAlignment="1">
      <alignment horizontal="left"/>
    </xf>
    <xf numFmtId="0" fontId="12" fillId="0" borderId="0" xfId="993" applyFont="1" applyAlignment="1">
      <alignment horizontal="left"/>
    </xf>
    <xf numFmtId="0" fontId="9" fillId="0" borderId="21" xfId="3291" applyBorder="1"/>
    <xf numFmtId="0" fontId="9" fillId="0" borderId="67" xfId="3291" applyBorder="1"/>
    <xf numFmtId="0" fontId="34" fillId="34" borderId="12" xfId="2007" applyFont="1" applyFill="1" applyBorder="1" applyAlignment="1">
      <alignment horizontal="left" vertical="center" wrapText="1"/>
    </xf>
    <xf numFmtId="0" fontId="34" fillId="31" borderId="12" xfId="2007" applyFont="1" applyFill="1" applyBorder="1" applyAlignment="1">
      <alignment horizontal="left" vertical="center" wrapText="1"/>
    </xf>
    <xf numFmtId="0" fontId="12" fillId="0" borderId="0" xfId="2007"/>
    <xf numFmtId="0" fontId="12" fillId="0" borderId="0" xfId="2007" applyAlignment="1">
      <alignment horizontal="center"/>
    </xf>
    <xf numFmtId="0" fontId="12" fillId="30" borderId="0" xfId="2007" applyFont="1" applyFill="1"/>
    <xf numFmtId="0" fontId="12" fillId="0" borderId="0" xfId="2007" applyAlignment="1">
      <alignment horizontal="left"/>
    </xf>
    <xf numFmtId="0" fontId="9" fillId="0" borderId="0" xfId="3310"/>
    <xf numFmtId="2" fontId="9" fillId="0" borderId="0" xfId="3310" applyNumberFormat="1"/>
    <xf numFmtId="0" fontId="12" fillId="0" borderId="0" xfId="3310" applyFont="1" applyFill="1" applyBorder="1" applyAlignment="1"/>
    <xf numFmtId="0" fontId="48" fillId="29" borderId="12" xfId="2007" applyFont="1" applyFill="1" applyBorder="1" applyAlignment="1">
      <alignment horizontal="left" vertical="center" wrapText="1"/>
    </xf>
    <xf numFmtId="0" fontId="35" fillId="29" borderId="12" xfId="2007" applyFont="1" applyFill="1" applyBorder="1" applyAlignment="1">
      <alignment horizontal="left" vertical="center" wrapText="1"/>
    </xf>
    <xf numFmtId="0" fontId="35" fillId="29" borderId="13" xfId="2007" applyFont="1" applyFill="1" applyBorder="1" applyAlignment="1">
      <alignment horizontal="left" vertical="center" wrapText="1"/>
    </xf>
    <xf numFmtId="0" fontId="9" fillId="0" borderId="0" xfId="3291" applyBorder="1"/>
    <xf numFmtId="0" fontId="83" fillId="0" borderId="66" xfId="3312" applyFont="1" applyBorder="1" applyAlignment="1"/>
    <xf numFmtId="1" fontId="83" fillId="0" borderId="21" xfId="3312" applyNumberFormat="1" applyFont="1" applyFill="1" applyBorder="1" applyAlignment="1">
      <alignment horizontal="center"/>
    </xf>
    <xf numFmtId="1" fontId="83" fillId="0" borderId="0" xfId="3312" applyNumberFormat="1" applyFont="1" applyFill="1" applyBorder="1" applyAlignment="1">
      <alignment horizontal="center"/>
    </xf>
    <xf numFmtId="170" fontId="97" fillId="0" borderId="0" xfId="3312" applyNumberFormat="1" applyFont="1" applyFill="1" applyBorder="1" applyAlignment="1">
      <alignment horizontal="center"/>
    </xf>
    <xf numFmtId="170" fontId="83" fillId="0" borderId="17" xfId="3312" applyNumberFormat="1" applyFont="1" applyFill="1" applyBorder="1" applyAlignment="1">
      <alignment horizontal="left"/>
    </xf>
    <xf numFmtId="170" fontId="9" fillId="0" borderId="60" xfId="3312" applyNumberFormat="1" applyFont="1" applyFill="1" applyBorder="1" applyAlignment="1">
      <alignment horizontal="center"/>
    </xf>
    <xf numFmtId="0" fontId="9" fillId="0" borderId="21" xfId="3312" applyFont="1" applyBorder="1"/>
    <xf numFmtId="14" fontId="83" fillId="0" borderId="0" xfId="3312" applyNumberFormat="1" applyFont="1" applyBorder="1" applyAlignment="1">
      <alignment horizontal="left"/>
    </xf>
    <xf numFmtId="0" fontId="9" fillId="0" borderId="0" xfId="3312" applyFont="1" applyBorder="1"/>
    <xf numFmtId="0" fontId="83" fillId="0" borderId="17" xfId="3312" applyFont="1" applyBorder="1"/>
    <xf numFmtId="0" fontId="9" fillId="0" borderId="66" xfId="3291" applyBorder="1"/>
    <xf numFmtId="0" fontId="9" fillId="0" borderId="66" xfId="3312" applyFont="1" applyBorder="1"/>
    <xf numFmtId="0" fontId="83" fillId="0" borderId="68" xfId="3312" applyFont="1" applyBorder="1"/>
    <xf numFmtId="0" fontId="83" fillId="0" borderId="60" xfId="3312" applyFont="1" applyFill="1" applyBorder="1" applyAlignment="1">
      <alignment horizontal="left"/>
    </xf>
    <xf numFmtId="0" fontId="83" fillId="0" borderId="59" xfId="3312" applyFont="1" applyFill="1" applyBorder="1" applyAlignment="1">
      <alignment horizontal="left"/>
    </xf>
    <xf numFmtId="0" fontId="83" fillId="0" borderId="0" xfId="3312" applyFont="1" applyBorder="1" applyAlignment="1">
      <alignment horizontal="left"/>
    </xf>
    <xf numFmtId="0" fontId="12" fillId="0" borderId="17" xfId="0" applyFont="1" applyBorder="1"/>
    <xf numFmtId="171" fontId="12" fillId="0" borderId="0" xfId="993" applyNumberFormat="1" applyFont="1" applyFill="1" applyBorder="1"/>
    <xf numFmtId="178" fontId="85" fillId="37" borderId="0" xfId="995" applyFont="1" applyFill="1"/>
    <xf numFmtId="178" fontId="85" fillId="37" borderId="0" xfId="995" applyFont="1" applyFill="1" applyBorder="1"/>
    <xf numFmtId="178" fontId="85" fillId="37" borderId="2" xfId="995" applyFont="1" applyFill="1" applyBorder="1"/>
    <xf numFmtId="180" fontId="85" fillId="37" borderId="0" xfId="995" applyNumberFormat="1" applyFont="1" applyFill="1"/>
    <xf numFmtId="178" fontId="88" fillId="2" borderId="0" xfId="995" applyFont="1" applyFill="1"/>
    <xf numFmtId="180" fontId="76" fillId="37" borderId="0" xfId="433" applyNumberFormat="1" applyFill="1" applyBorder="1" applyAlignment="1"/>
    <xf numFmtId="178" fontId="88" fillId="2" borderId="0" xfId="995" applyFont="1" applyFill="1" applyBorder="1"/>
    <xf numFmtId="178" fontId="85" fillId="2" borderId="19" xfId="995" applyFont="1" applyFill="1" applyBorder="1"/>
    <xf numFmtId="178" fontId="90" fillId="39" borderId="2" xfId="25" applyNumberFormat="1" applyFont="1" applyBorder="1"/>
    <xf numFmtId="181" fontId="90" fillId="39" borderId="2" xfId="25" applyNumberFormat="1" applyFont="1" applyBorder="1"/>
    <xf numFmtId="181" fontId="90" fillId="39" borderId="2" xfId="25" applyNumberFormat="1" applyFont="1" applyBorder="1" applyProtection="1">
      <protection locked="0"/>
    </xf>
    <xf numFmtId="181" fontId="85" fillId="37" borderId="2" xfId="28" applyNumberFormat="1" applyFont="1" applyBorder="1"/>
    <xf numFmtId="178" fontId="92" fillId="43" borderId="2" xfId="433" applyFont="1" applyBorder="1" applyAlignment="1">
      <alignment horizontal="left"/>
    </xf>
    <xf numFmtId="178" fontId="92" fillId="43" borderId="2" xfId="433" applyFont="1" applyBorder="1" applyAlignment="1"/>
    <xf numFmtId="183" fontId="85" fillId="37" borderId="0" xfId="995" applyNumberFormat="1" applyFont="1" applyFill="1"/>
    <xf numFmtId="178" fontId="85" fillId="2" borderId="20" xfId="995" applyFont="1" applyFill="1" applyBorder="1" applyAlignment="1">
      <alignment horizontal="left"/>
    </xf>
    <xf numFmtId="179" fontId="92" fillId="43" borderId="0" xfId="433" applyNumberFormat="1" applyFont="1" applyBorder="1" applyAlignment="1"/>
    <xf numFmtId="181" fontId="92" fillId="43" borderId="0" xfId="433" applyNumberFormat="1" applyFont="1" applyBorder="1" applyAlignment="1"/>
    <xf numFmtId="181" fontId="92" fillId="43" borderId="20" xfId="433" applyNumberFormat="1" applyFont="1" applyBorder="1" applyAlignment="1"/>
    <xf numFmtId="178" fontId="85" fillId="52" borderId="18" xfId="28" applyNumberFormat="1" applyFont="1" applyFill="1" applyBorder="1" applyAlignment="1">
      <alignment horizontal="center"/>
    </xf>
    <xf numFmtId="178" fontId="92" fillId="52" borderId="0" xfId="995" applyNumberFormat="1" applyFont="1" applyFill="1" applyBorder="1"/>
    <xf numFmtId="183" fontId="85" fillId="37" borderId="2" xfId="28" applyNumberFormat="1" applyFont="1" applyBorder="1"/>
    <xf numFmtId="178" fontId="68" fillId="39" borderId="0" xfId="25" applyNumberFormat="1" applyBorder="1"/>
    <xf numFmtId="179" fontId="92" fillId="50" borderId="0" xfId="433" applyNumberFormat="1" applyFont="1" applyFill="1" applyBorder="1" applyAlignment="1"/>
    <xf numFmtId="176" fontId="85" fillId="50" borderId="0" xfId="28" applyNumberFormat="1" applyFont="1" applyFill="1" applyBorder="1" applyAlignment="1">
      <alignment horizontal="right"/>
    </xf>
    <xf numFmtId="181" fontId="85" fillId="50" borderId="20" xfId="28" applyNumberFormat="1" applyFont="1" applyFill="1" applyBorder="1"/>
    <xf numFmtId="184" fontId="92" fillId="50" borderId="20" xfId="433" applyNumberFormat="1" applyFont="1" applyFill="1" applyBorder="1" applyAlignment="1"/>
    <xf numFmtId="182" fontId="92" fillId="50" borderId="20" xfId="433" applyNumberFormat="1" applyFont="1" applyFill="1" applyBorder="1" applyAlignment="1"/>
    <xf numFmtId="179" fontId="85" fillId="37" borderId="0" xfId="28" applyNumberFormat="1" applyFont="1" applyBorder="1" applyProtection="1">
      <protection locked="0"/>
    </xf>
    <xf numFmtId="178" fontId="92" fillId="43" borderId="21" xfId="433" applyFont="1" applyBorder="1" applyAlignment="1">
      <alignment horizontal="left"/>
    </xf>
    <xf numFmtId="178" fontId="34" fillId="37" borderId="0" xfId="3371" applyFill="1"/>
    <xf numFmtId="178" fontId="34" fillId="37" borderId="0" xfId="3371" applyFill="1" applyBorder="1" applyAlignment="1">
      <alignment horizontal="left"/>
    </xf>
    <xf numFmtId="0" fontId="122" fillId="0" borderId="0" xfId="3261" applyFont="1"/>
    <xf numFmtId="0" fontId="10" fillId="0" borderId="0" xfId="3261"/>
    <xf numFmtId="0" fontId="83" fillId="0" borderId="0" xfId="3261" applyFont="1"/>
    <xf numFmtId="0" fontId="83" fillId="0" borderId="14" xfId="3261" applyFont="1" applyBorder="1"/>
    <xf numFmtId="0" fontId="83" fillId="51" borderId="0" xfId="3261" applyFont="1" applyFill="1"/>
    <xf numFmtId="0" fontId="83" fillId="83" borderId="0" xfId="3261" applyFont="1" applyFill="1"/>
    <xf numFmtId="0" fontId="7" fillId="0" borderId="0" xfId="3261" applyFont="1"/>
    <xf numFmtId="171" fontId="0" fillId="0" borderId="0" xfId="0" applyNumberFormat="1"/>
    <xf numFmtId="171" fontId="0" fillId="0" borderId="0" xfId="0" applyNumberFormat="1" applyBorder="1"/>
    <xf numFmtId="0" fontId="0" fillId="0" borderId="0" xfId="0" applyAlignment="1">
      <alignment horizontal="left"/>
    </xf>
    <xf numFmtId="1" fontId="39" fillId="0" borderId="0" xfId="2002" applyNumberFormat="1" applyFont="1" applyFill="1" applyBorder="1" applyAlignment="1">
      <alignment horizontal="center"/>
    </xf>
    <xf numFmtId="0" fontId="0" fillId="0" borderId="0" xfId="0"/>
    <xf numFmtId="0" fontId="0" fillId="0" borderId="0" xfId="0" applyAlignment="1">
      <alignment horizontal="center"/>
    </xf>
    <xf numFmtId="0" fontId="12" fillId="0" borderId="0" xfId="0" applyFont="1" applyFill="1" applyBorder="1" applyAlignment="1">
      <alignment horizontal="center" vertical="center"/>
    </xf>
    <xf numFmtId="0" fontId="83" fillId="0" borderId="0" xfId="6229" applyFont="1"/>
    <xf numFmtId="0" fontId="5" fillId="0" borderId="0" xfId="6229"/>
    <xf numFmtId="0" fontId="5" fillId="0" borderId="0" xfId="6229" applyFont="1"/>
    <xf numFmtId="170" fontId="5" fillId="0" borderId="90" xfId="7504" applyNumberFormat="1" applyFont="1" applyFill="1" applyBorder="1" applyAlignment="1">
      <alignment horizontal="center"/>
    </xf>
    <xf numFmtId="170" fontId="5" fillId="50" borderId="90" xfId="7504" applyNumberFormat="1" applyFont="1" applyFill="1" applyBorder="1" applyAlignment="1">
      <alignment horizontal="center"/>
    </xf>
    <xf numFmtId="0" fontId="83" fillId="0" borderId="68" xfId="7490" applyFont="1" applyFill="1" applyBorder="1"/>
    <xf numFmtId="164" fontId="5" fillId="0" borderId="66" xfId="6610" applyFont="1" applyFill="1" applyBorder="1"/>
    <xf numFmtId="0" fontId="5" fillId="0" borderId="66" xfId="7490" applyFill="1" applyBorder="1"/>
    <xf numFmtId="0" fontId="83" fillId="0" borderId="66" xfId="7490" applyFont="1" applyFill="1" applyBorder="1"/>
    <xf numFmtId="0" fontId="83" fillId="0" borderId="67" xfId="7490" applyFont="1" applyFill="1" applyBorder="1"/>
    <xf numFmtId="0" fontId="83" fillId="0" borderId="17" xfId="7490" applyFont="1" applyFill="1" applyBorder="1"/>
    <xf numFmtId="2" fontId="5" fillId="0" borderId="0" xfId="7490" applyNumberFormat="1" applyFill="1" applyBorder="1"/>
    <xf numFmtId="2" fontId="5" fillId="50" borderId="0" xfId="7490" applyNumberFormat="1" applyFill="1" applyBorder="1"/>
    <xf numFmtId="0" fontId="5" fillId="50" borderId="17" xfId="7490" applyFont="1" applyFill="1" applyBorder="1"/>
    <xf numFmtId="0" fontId="5" fillId="0" borderId="0" xfId="7490" applyBorder="1"/>
    <xf numFmtId="0" fontId="5" fillId="0" borderId="17" xfId="7490" applyFont="1" applyBorder="1"/>
    <xf numFmtId="0" fontId="5" fillId="0" borderId="0" xfId="7490" applyFont="1" applyBorder="1"/>
    <xf numFmtId="0" fontId="5" fillId="0" borderId="21" xfId="7490" applyBorder="1"/>
    <xf numFmtId="0" fontId="5" fillId="0" borderId="91" xfId="7490" applyBorder="1"/>
    <xf numFmtId="0" fontId="5" fillId="0" borderId="90" xfId="7490" applyBorder="1"/>
    <xf numFmtId="0" fontId="5" fillId="0" borderId="92" xfId="7490" applyBorder="1"/>
    <xf numFmtId="0" fontId="85" fillId="0" borderId="0" xfId="0" applyFont="1"/>
    <xf numFmtId="0" fontId="124" fillId="0" borderId="0" xfId="991" applyFont="1"/>
    <xf numFmtId="0" fontId="125" fillId="84" borderId="0" xfId="991" applyFont="1" applyFill="1"/>
    <xf numFmtId="0" fontId="124" fillId="0" borderId="0" xfId="991" applyFont="1" applyAlignment="1">
      <alignment horizontal="right"/>
    </xf>
    <xf numFmtId="0" fontId="85" fillId="85" borderId="90" xfId="991" applyFont="1" applyFill="1" applyBorder="1" applyAlignment="1">
      <alignment horizontal="left" wrapText="1"/>
    </xf>
    <xf numFmtId="0" fontId="85" fillId="85" borderId="90" xfId="991" applyFont="1" applyFill="1" applyBorder="1" applyAlignment="1">
      <alignment horizontal="right" wrapText="1"/>
    </xf>
    <xf numFmtId="0" fontId="124" fillId="30" borderId="0" xfId="991" applyFont="1" applyFill="1"/>
    <xf numFmtId="0" fontId="94" fillId="0" borderId="0" xfId="991" applyFont="1" applyAlignment="1">
      <alignment horizontal="right"/>
    </xf>
    <xf numFmtId="0" fontId="94" fillId="85" borderId="90" xfId="991" applyFont="1" applyFill="1" applyBorder="1" applyAlignment="1">
      <alignment horizontal="right" wrapText="1"/>
    </xf>
    <xf numFmtId="0" fontId="94" fillId="0" borderId="0" xfId="0" applyFont="1"/>
    <xf numFmtId="0" fontId="0" fillId="0" borderId="0" xfId="0" applyNumberFormat="1" applyFont="1" applyFill="1" applyBorder="1" applyAlignment="1" applyProtection="1"/>
    <xf numFmtId="0" fontId="12" fillId="0" borderId="0" xfId="0" applyFont="1" applyFill="1"/>
    <xf numFmtId="171" fontId="0" fillId="0" borderId="96" xfId="0" applyNumberFormat="1" applyBorder="1"/>
    <xf numFmtId="171" fontId="12" fillId="0" borderId="96" xfId="0" applyNumberFormat="1" applyFont="1" applyFill="1" applyBorder="1"/>
    <xf numFmtId="171" fontId="0" fillId="0" borderId="96" xfId="0" applyNumberFormat="1" applyFill="1" applyBorder="1"/>
    <xf numFmtId="1" fontId="12" fillId="0" borderId="0" xfId="0" applyNumberFormat="1" applyFont="1" applyBorder="1"/>
    <xf numFmtId="171" fontId="12" fillId="0" borderId="0" xfId="0" applyNumberFormat="1" applyFont="1"/>
    <xf numFmtId="0" fontId="0" fillId="0" borderId="96" xfId="0" applyBorder="1"/>
    <xf numFmtId="0" fontId="0" fillId="0" borderId="96" xfId="0" applyFill="1" applyBorder="1"/>
    <xf numFmtId="0" fontId="85" fillId="31" borderId="93" xfId="991" applyFont="1" applyFill="1" applyBorder="1" applyAlignment="1">
      <alignment horizontal="left" vertical="center" wrapText="1"/>
    </xf>
    <xf numFmtId="0" fontId="85" fillId="31" borderId="93" xfId="991" applyFont="1" applyFill="1" applyBorder="1" applyAlignment="1">
      <alignment horizontal="left" vertical="top" wrapText="1"/>
    </xf>
    <xf numFmtId="0" fontId="85" fillId="31" borderId="93" xfId="991" applyFont="1" applyFill="1" applyBorder="1" applyAlignment="1">
      <alignment horizontal="right" vertical="center" wrapText="1"/>
    </xf>
    <xf numFmtId="0" fontId="94" fillId="31" borderId="93" xfId="991" applyFont="1" applyFill="1" applyBorder="1" applyAlignment="1">
      <alignment horizontal="right" vertical="center" wrapText="1"/>
    </xf>
    <xf numFmtId="0" fontId="85" fillId="31" borderId="0" xfId="991" applyFont="1" applyFill="1" applyAlignment="1">
      <alignment horizontal="right" vertical="center" wrapText="1"/>
    </xf>
    <xf numFmtId="186" fontId="34" fillId="88" borderId="0" xfId="0" applyNumberFormat="1" applyFont="1" applyFill="1"/>
    <xf numFmtId="0" fontId="34" fillId="88" borderId="0" xfId="991" applyFont="1" applyFill="1"/>
    <xf numFmtId="0" fontId="126" fillId="89" borderId="97" xfId="0" applyNumberFormat="1" applyFont="1" applyFill="1" applyBorder="1" applyAlignment="1" applyProtection="1">
      <alignment horizontal="right" wrapText="1"/>
    </xf>
    <xf numFmtId="0" fontId="34" fillId="90" borderId="0" xfId="0" applyNumberFormat="1" applyFont="1" applyFill="1" applyBorder="1" applyAlignment="1" applyProtection="1">
      <alignment horizontal="right" vertical="center" wrapText="1"/>
    </xf>
    <xf numFmtId="0" fontId="15" fillId="0" borderId="0" xfId="0" applyNumberFormat="1" applyFont="1" applyFill="1" applyBorder="1" applyAlignment="1" applyProtection="1"/>
    <xf numFmtId="0" fontId="34" fillId="0" borderId="0" xfId="0" applyNumberFormat="1" applyFont="1" applyFill="1" applyBorder="1" applyAlignment="1" applyProtection="1"/>
    <xf numFmtId="0" fontId="124" fillId="0" borderId="0" xfId="991" applyFont="1" applyFill="1" applyAlignment="1">
      <alignment horizontal="right"/>
    </xf>
    <xf numFmtId="0" fontId="34" fillId="50" borderId="12" xfId="0" applyFont="1" applyFill="1" applyBorder="1" applyAlignment="1">
      <alignment horizontal="left" vertical="center" wrapText="1"/>
    </xf>
    <xf numFmtId="0" fontId="12" fillId="50" borderId="0" xfId="0" applyFont="1" applyFill="1" applyBorder="1" applyAlignment="1"/>
    <xf numFmtId="0" fontId="48" fillId="29" borderId="95" xfId="0" applyFont="1" applyFill="1" applyBorder="1" applyAlignment="1">
      <alignment horizontal="left" vertical="center" wrapText="1"/>
    </xf>
    <xf numFmtId="171" fontId="0" fillId="0" borderId="0" xfId="0" applyNumberFormat="1" applyFill="1"/>
    <xf numFmtId="171" fontId="12" fillId="0" borderId="0" xfId="0" applyNumberFormat="1" applyFont="1" applyFill="1"/>
    <xf numFmtId="171" fontId="13" fillId="0" borderId="96" xfId="0" applyNumberFormat="1" applyFont="1" applyFill="1" applyBorder="1"/>
    <xf numFmtId="171" fontId="0" fillId="0" borderId="93" xfId="0" applyNumberFormat="1" applyBorder="1"/>
    <xf numFmtId="171" fontId="0" fillId="0" borderId="93" xfId="0" applyNumberFormat="1" applyFill="1" applyBorder="1"/>
    <xf numFmtId="171" fontId="13" fillId="0" borderId="93" xfId="0" applyNumberFormat="1" applyFont="1" applyFill="1" applyBorder="1"/>
    <xf numFmtId="171" fontId="6" fillId="0" borderId="96" xfId="5676" applyNumberFormat="1" applyFont="1" applyBorder="1"/>
    <xf numFmtId="0" fontId="56" fillId="0" borderId="0" xfId="0" applyFont="1"/>
    <xf numFmtId="171" fontId="12" fillId="0" borderId="96" xfId="0" applyNumberFormat="1" applyFont="1" applyBorder="1"/>
    <xf numFmtId="171" fontId="0" fillId="0" borderId="96" xfId="0" applyNumberFormat="1" applyFill="1" applyBorder="1" applyAlignment="1">
      <alignment wrapText="1"/>
    </xf>
    <xf numFmtId="0" fontId="0" fillId="0" borderId="93" xfId="0" applyBorder="1"/>
    <xf numFmtId="0" fontId="0" fillId="0" borderId="93" xfId="0" applyFill="1" applyBorder="1"/>
    <xf numFmtId="171" fontId="13" fillId="0" borderId="0" xfId="0" applyNumberFormat="1" applyFont="1" applyFill="1" applyBorder="1" applyAlignment="1">
      <alignment horizontal="left"/>
    </xf>
    <xf numFmtId="171" fontId="12" fillId="0" borderId="0" xfId="0" applyNumberFormat="1" applyFont="1" applyAlignment="1">
      <alignment horizontal="left"/>
    </xf>
    <xf numFmtId="171" fontId="14" fillId="0" borderId="0" xfId="0" applyNumberFormat="1" applyFont="1" applyAlignment="1">
      <alignment horizontal="left" wrapText="1"/>
    </xf>
    <xf numFmtId="0" fontId="127" fillId="0" borderId="0" xfId="0" applyFont="1"/>
    <xf numFmtId="171" fontId="35" fillId="29" borderId="96" xfId="0" applyNumberFormat="1" applyFont="1" applyFill="1" applyBorder="1" applyAlignment="1">
      <alignment horizontal="left" vertical="center" wrapText="1"/>
    </xf>
    <xf numFmtId="171" fontId="35" fillId="29" borderId="96" xfId="0" quotePrefix="1" applyNumberFormat="1" applyFont="1" applyFill="1" applyBorder="1" applyAlignment="1">
      <alignment horizontal="left" vertical="center" wrapText="1"/>
    </xf>
    <xf numFmtId="0" fontId="13" fillId="0" borderId="96" xfId="0" applyFont="1" applyFill="1" applyBorder="1" applyAlignment="1">
      <alignment horizontal="left"/>
    </xf>
    <xf numFmtId="0" fontId="13" fillId="0" borderId="96" xfId="0" applyFont="1" applyFill="1" applyBorder="1" applyAlignment="1">
      <alignment horizontal="center" vertical="center"/>
    </xf>
    <xf numFmtId="1" fontId="39" fillId="0" borderId="96" xfId="2002" applyNumberFormat="1" applyFont="1" applyFill="1" applyBorder="1" applyAlignment="1">
      <alignment horizontal="center"/>
    </xf>
    <xf numFmtId="0" fontId="129" fillId="0" borderId="0" xfId="420" applyFont="1" applyAlignment="1">
      <alignment horizontal="center"/>
    </xf>
    <xf numFmtId="170" fontId="0" fillId="0" borderId="0" xfId="0" applyNumberFormat="1" applyAlignment="1">
      <alignment horizontal="center"/>
    </xf>
    <xf numFmtId="170" fontId="0" fillId="0" borderId="0" xfId="0" applyNumberFormat="1"/>
    <xf numFmtId="0" fontId="130" fillId="91" borderId="0" xfId="0" applyFont="1" applyFill="1" applyAlignment="1">
      <alignment horizontal="left"/>
    </xf>
    <xf numFmtId="0" fontId="130" fillId="91" borderId="0" xfId="0" applyFont="1" applyFill="1" applyAlignment="1">
      <alignment horizontal="center"/>
    </xf>
    <xf numFmtId="0" fontId="132" fillId="0" borderId="98" xfId="0" applyFont="1" applyBorder="1" applyAlignment="1">
      <alignment horizontal="left"/>
    </xf>
    <xf numFmtId="0" fontId="124" fillId="0" borderId="0" xfId="0" applyFont="1" applyAlignment="1">
      <alignment horizontal="left"/>
    </xf>
    <xf numFmtId="174" fontId="133" fillId="37" borderId="0" xfId="430" applyNumberFormat="1" applyFont="1" applyFill="1" applyBorder="1"/>
    <xf numFmtId="174" fontId="133" fillId="37" borderId="14" xfId="430" applyNumberFormat="1" applyFont="1" applyFill="1" applyBorder="1"/>
    <xf numFmtId="174" fontId="133" fillId="37" borderId="58" xfId="430" applyNumberFormat="1" applyFont="1" applyFill="1" applyBorder="1"/>
    <xf numFmtId="0" fontId="134" fillId="0" borderId="0" xfId="0" applyFont="1"/>
    <xf numFmtId="170" fontId="135" fillId="40" borderId="80" xfId="1467" applyNumberFormat="1" applyFont="1" applyAlignment="1">
      <alignment horizontal="center"/>
    </xf>
    <xf numFmtId="174" fontId="136" fillId="37" borderId="58" xfId="430" applyNumberFormat="1" applyFont="1" applyFill="1" applyBorder="1"/>
    <xf numFmtId="174" fontId="136" fillId="37" borderId="0" xfId="430" applyNumberFormat="1" applyFont="1" applyFill="1" applyBorder="1"/>
    <xf numFmtId="174" fontId="136" fillId="37" borderId="14" xfId="430" applyNumberFormat="1" applyFont="1" applyFill="1" applyBorder="1"/>
    <xf numFmtId="9" fontId="12" fillId="55" borderId="0" xfId="1473" applyFont="1" applyFill="1" applyBorder="1"/>
    <xf numFmtId="0" fontId="131" fillId="88" borderId="98" xfId="0" applyFont="1" applyFill="1" applyBorder="1" applyAlignment="1">
      <alignment horizontal="left" wrapText="1"/>
    </xf>
    <xf numFmtId="0" fontId="131" fillId="88" borderId="98" xfId="0" applyFont="1" applyFill="1" applyBorder="1" applyAlignment="1">
      <alignment horizontal="center"/>
    </xf>
    <xf numFmtId="1" fontId="132" fillId="0" borderId="98" xfId="0" applyNumberFormat="1" applyFont="1" applyBorder="1" applyAlignment="1">
      <alignment horizontal="center"/>
    </xf>
    <xf numFmtId="0" fontId="124" fillId="0" borderId="0" xfId="0" applyFont="1" applyAlignment="1">
      <alignment vertical="center"/>
    </xf>
    <xf numFmtId="2" fontId="136" fillId="50" borderId="0" xfId="7490" applyNumberFormat="1" applyFont="1" applyFill="1" applyBorder="1"/>
    <xf numFmtId="2" fontId="133" fillId="50" borderId="0" xfId="7490" applyNumberFormat="1" applyFont="1" applyFill="1" applyBorder="1"/>
    <xf numFmtId="170" fontId="133" fillId="50" borderId="90" xfId="7504" applyNumberFormat="1" applyFont="1" applyFill="1" applyBorder="1" applyAlignment="1">
      <alignment horizontal="center"/>
    </xf>
    <xf numFmtId="170" fontId="136" fillId="50" borderId="90" xfId="7504" applyNumberFormat="1" applyFont="1" applyFill="1" applyBorder="1" applyAlignment="1">
      <alignment horizontal="center"/>
    </xf>
    <xf numFmtId="0" fontId="13" fillId="0" borderId="96" xfId="0" applyFont="1" applyBorder="1"/>
    <xf numFmtId="0" fontId="12" fillId="0" borderId="0" xfId="0" applyFont="1"/>
    <xf numFmtId="0" fontId="140" fillId="0" borderId="0" xfId="0" applyFont="1"/>
    <xf numFmtId="0" fontId="0" fillId="0" borderId="34" xfId="0" applyBorder="1"/>
    <xf numFmtId="9" fontId="12" fillId="0" borderId="0" xfId="1473"/>
    <xf numFmtId="2" fontId="12" fillId="0" borderId="0" xfId="0" applyNumberFormat="1" applyFont="1"/>
    <xf numFmtId="0" fontId="34" fillId="50" borderId="95" xfId="0" applyFont="1" applyFill="1" applyBorder="1" applyAlignment="1">
      <alignment horizontal="left" vertical="center" wrapText="1"/>
    </xf>
    <xf numFmtId="0" fontId="34" fillId="86" borderId="93" xfId="0" applyNumberFormat="1" applyFont="1" applyFill="1" applyBorder="1" applyAlignment="1" applyProtection="1">
      <alignment horizontal="left" vertical="center" wrapText="1"/>
    </xf>
    <xf numFmtId="0" fontId="48" fillId="87" borderId="105" xfId="0" applyNumberFormat="1" applyFont="1" applyFill="1" applyBorder="1" applyAlignment="1" applyProtection="1">
      <alignment horizontal="left" vertical="center" wrapText="1"/>
    </xf>
    <xf numFmtId="1" fontId="12" fillId="0" borderId="0" xfId="0" applyNumberFormat="1" applyFont="1" applyFill="1" applyBorder="1" applyAlignment="1" applyProtection="1">
      <alignment horizontal="center"/>
    </xf>
    <xf numFmtId="0" fontId="0" fillId="0" borderId="0" xfId="0"/>
    <xf numFmtId="1" fontId="12" fillId="0" borderId="0" xfId="0" applyNumberFormat="1" applyFont="1" applyFill="1" applyBorder="1" applyAlignment="1" applyProtection="1">
      <alignment horizontal="center"/>
    </xf>
    <xf numFmtId="0" fontId="0" fillId="0" borderId="0" xfId="0" applyNumberFormat="1" applyFont="1" applyFill="1" applyBorder="1" applyAlignment="1" applyProtection="1"/>
    <xf numFmtId="1" fontId="12" fillId="0" borderId="0" xfId="0" applyNumberFormat="1" applyFont="1" applyFill="1" applyBorder="1" applyAlignment="1" applyProtection="1">
      <alignment horizontal="center"/>
    </xf>
    <xf numFmtId="1" fontId="127" fillId="0" borderId="0" xfId="0" applyNumberFormat="1" applyFont="1" applyFill="1" applyBorder="1" applyAlignment="1" applyProtection="1">
      <alignment horizontal="center"/>
    </xf>
    <xf numFmtId="0" fontId="0" fillId="0" borderId="0" xfId="0"/>
    <xf numFmtId="0" fontId="0" fillId="0" borderId="0" xfId="0" applyNumberFormat="1" applyFont="1" applyFill="1" applyBorder="1" applyAlignment="1" applyProtection="1"/>
    <xf numFmtId="1" fontId="12" fillId="0" borderId="0" xfId="0" applyNumberFormat="1" applyFont="1" applyFill="1" applyBorder="1" applyAlignment="1" applyProtection="1">
      <alignment horizontal="center"/>
    </xf>
    <xf numFmtId="1" fontId="127" fillId="0" borderId="0" xfId="0" applyNumberFormat="1" applyFont="1" applyFill="1" applyBorder="1" applyAlignment="1" applyProtection="1">
      <alignment horizontal="center"/>
    </xf>
    <xf numFmtId="0" fontId="12" fillId="0" borderId="0" xfId="2611"/>
    <xf numFmtId="0" fontId="144" fillId="50" borderId="0" xfId="2611" applyFont="1" applyFill="1"/>
    <xf numFmtId="2" fontId="12" fillId="0" borderId="0" xfId="2611" applyNumberFormat="1"/>
    <xf numFmtId="0" fontId="12" fillId="30" borderId="0" xfId="2611" applyFill="1"/>
    <xf numFmtId="0" fontId="34" fillId="31" borderId="129" xfId="2611" applyFont="1" applyFill="1" applyBorder="1" applyAlignment="1">
      <alignment horizontal="left" vertical="center" wrapText="1"/>
    </xf>
    <xf numFmtId="0" fontId="34" fillId="48" borderId="129" xfId="2611" applyFont="1" applyFill="1" applyBorder="1" applyAlignment="1">
      <alignment horizontal="left" vertical="center" wrapText="1"/>
    </xf>
    <xf numFmtId="0" fontId="34" fillId="32" borderId="129" xfId="2611" applyFont="1" applyFill="1" applyBorder="1" applyAlignment="1">
      <alignment horizontal="left" vertical="center" wrapText="1"/>
    </xf>
    <xf numFmtId="0" fontId="34" fillId="49" borderId="129" xfId="2611" applyFont="1" applyFill="1" applyBorder="1" applyAlignment="1">
      <alignment horizontal="left" vertical="center" wrapText="1"/>
    </xf>
    <xf numFmtId="0" fontId="83" fillId="76" borderId="130" xfId="10686" applyFont="1" applyBorder="1" applyAlignment="1">
      <alignment horizontal="center" vertical="center" wrapText="1"/>
    </xf>
    <xf numFmtId="0" fontId="35" fillId="29" borderId="94" xfId="2611" applyFont="1" applyFill="1" applyBorder="1" applyAlignment="1">
      <alignment horizontal="left" vertical="center" wrapText="1"/>
    </xf>
    <xf numFmtId="0" fontId="35" fillId="29" borderId="96" xfId="2611" applyFont="1" applyFill="1" applyBorder="1" applyAlignment="1">
      <alignment horizontal="center" vertical="center" wrapText="1"/>
    </xf>
    <xf numFmtId="0" fontId="12" fillId="37" borderId="0" xfId="0" applyFont="1" applyFill="1"/>
    <xf numFmtId="0" fontId="12" fillId="0" borderId="0" xfId="2611" applyAlignment="1" applyProtection="1">
      <alignment horizontal="left"/>
      <protection locked="0"/>
    </xf>
    <xf numFmtId="2" fontId="12" fillId="0" borderId="0" xfId="2611" applyNumberFormat="1" applyAlignment="1">
      <alignment horizontal="center"/>
    </xf>
    <xf numFmtId="169" fontId="12" fillId="0" borderId="0" xfId="2611" applyNumberFormat="1" applyAlignment="1">
      <alignment horizontal="center"/>
    </xf>
    <xf numFmtId="170" fontId="12" fillId="0" borderId="0" xfId="2611" applyNumberFormat="1" applyAlignment="1">
      <alignment horizontal="center"/>
    </xf>
    <xf numFmtId="169" fontId="12" fillId="47" borderId="0" xfId="2611" applyNumberFormat="1" applyFill="1" applyAlignment="1">
      <alignment horizontal="center"/>
    </xf>
    <xf numFmtId="2" fontId="12" fillId="31" borderId="0" xfId="2611" applyNumberFormat="1" applyFill="1" applyAlignment="1">
      <alignment horizontal="center"/>
    </xf>
    <xf numFmtId="9" fontId="12" fillId="50" borderId="0" xfId="2611" applyNumberFormat="1" applyFill="1" applyAlignment="1">
      <alignment horizontal="center"/>
    </xf>
    <xf numFmtId="171" fontId="127" fillId="0" borderId="0" xfId="0" applyNumberFormat="1" applyFont="1"/>
    <xf numFmtId="0" fontId="12" fillId="0" borderId="0" xfId="2611" applyAlignment="1">
      <alignment horizontal="center"/>
    </xf>
    <xf numFmtId="170" fontId="12" fillId="50" borderId="0" xfId="2611" applyNumberFormat="1" applyFill="1" applyAlignment="1">
      <alignment horizontal="center"/>
    </xf>
    <xf numFmtId="169" fontId="12" fillId="0" borderId="0" xfId="2611" applyNumberFormat="1"/>
    <xf numFmtId="1" fontId="12" fillId="0" borderId="0" xfId="2611" applyNumberFormat="1" applyAlignment="1">
      <alignment horizontal="center"/>
    </xf>
    <xf numFmtId="169" fontId="12" fillId="55" borderId="0" xfId="2611" applyNumberFormat="1" applyFill="1" applyAlignment="1">
      <alignment horizontal="center"/>
    </xf>
    <xf numFmtId="0" fontId="12" fillId="0" borderId="96" xfId="2611" applyBorder="1" applyAlignment="1" applyProtection="1">
      <alignment horizontal="left"/>
      <protection locked="0"/>
    </xf>
    <xf numFmtId="0" fontId="12" fillId="0" borderId="96" xfId="2611" applyBorder="1"/>
    <xf numFmtId="2" fontId="12" fillId="0" borderId="96" xfId="2611" applyNumberFormat="1" applyBorder="1" applyAlignment="1">
      <alignment horizontal="center"/>
    </xf>
    <xf numFmtId="169" fontId="12" fillId="55" borderId="96" xfId="2611" applyNumberFormat="1" applyFill="1" applyBorder="1" applyAlignment="1">
      <alignment horizontal="center"/>
    </xf>
    <xf numFmtId="169" fontId="12" fillId="0" borderId="96" xfId="2611" applyNumberFormat="1" applyBorder="1"/>
    <xf numFmtId="169" fontId="70" fillId="41" borderId="0" xfId="417" applyNumberFormat="1"/>
    <xf numFmtId="0" fontId="12" fillId="0" borderId="68" xfId="2611" applyBorder="1"/>
    <xf numFmtId="0" fontId="46" fillId="0" borderId="66" xfId="2611" applyFont="1" applyBorder="1" applyAlignment="1">
      <alignment horizontal="center"/>
    </xf>
    <xf numFmtId="0" fontId="46" fillId="0" borderId="67" xfId="2611" applyFont="1" applyBorder="1" applyAlignment="1">
      <alignment horizontal="center"/>
    </xf>
    <xf numFmtId="0" fontId="12" fillId="0" borderId="17" xfId="2611" applyBorder="1"/>
    <xf numFmtId="0" fontId="12" fillId="0" borderId="21" xfId="2611" applyBorder="1"/>
    <xf numFmtId="0" fontId="46" fillId="0" borderId="17" xfId="2611" applyFont="1" applyBorder="1"/>
    <xf numFmtId="170" fontId="12" fillId="50" borderId="21" xfId="2611" applyNumberFormat="1" applyFill="1" applyBorder="1" applyAlignment="1">
      <alignment horizontal="center"/>
    </xf>
    <xf numFmtId="0" fontId="46" fillId="0" borderId="131" xfId="2611" applyFont="1" applyBorder="1"/>
    <xf numFmtId="170" fontId="12" fillId="0" borderId="132" xfId="2611" applyNumberFormat="1" applyBorder="1" applyAlignment="1">
      <alignment horizontal="center"/>
    </xf>
    <xf numFmtId="170" fontId="12" fillId="50" borderId="133" xfId="2611" applyNumberFormat="1" applyFill="1" applyBorder="1" applyAlignment="1">
      <alignment horizontal="center"/>
    </xf>
    <xf numFmtId="1" fontId="12" fillId="0" borderId="0" xfId="2611" applyNumberFormat="1"/>
    <xf numFmtId="0" fontId="143" fillId="0" borderId="0" xfId="10657"/>
    <xf numFmtId="0" fontId="145" fillId="0" borderId="0" xfId="10657" applyFont="1"/>
    <xf numFmtId="1" fontId="143" fillId="0" borderId="0" xfId="10657" applyNumberFormat="1"/>
    <xf numFmtId="0" fontId="143" fillId="0" borderId="0" xfId="10657" applyAlignment="1">
      <alignment wrapText="1"/>
    </xf>
    <xf numFmtId="0" fontId="143" fillId="92" borderId="0" xfId="10657" applyFill="1" applyAlignment="1">
      <alignment horizontal="right"/>
    </xf>
    <xf numFmtId="0" fontId="146" fillId="0" borderId="0" xfId="10657" applyFont="1"/>
    <xf numFmtId="0" fontId="107" fillId="2" borderId="0" xfId="3738" applyFont="1" applyFill="1"/>
    <xf numFmtId="0" fontId="147" fillId="2" borderId="0" xfId="3738" applyFont="1" applyFill="1" applyAlignment="1">
      <alignment horizontal="center"/>
    </xf>
    <xf numFmtId="0" fontId="107" fillId="2" borderId="96" xfId="3738" applyFont="1" applyFill="1" applyBorder="1"/>
    <xf numFmtId="3" fontId="107" fillId="2" borderId="96" xfId="3738" applyNumberFormat="1" applyFont="1" applyFill="1" applyBorder="1" applyAlignment="1">
      <alignment horizontal="right"/>
    </xf>
    <xf numFmtId="0" fontId="147" fillId="2" borderId="96" xfId="3738" applyFont="1" applyFill="1" applyBorder="1" applyAlignment="1">
      <alignment horizontal="center"/>
    </xf>
    <xf numFmtId="3" fontId="107" fillId="2" borderId="0" xfId="3738" applyNumberFormat="1" applyFont="1" applyFill="1" applyAlignment="1">
      <alignment horizontal="right"/>
    </xf>
    <xf numFmtId="187" fontId="148" fillId="93" borderId="134" xfId="3738" applyNumberFormat="1" applyFont="1" applyFill="1" applyBorder="1" applyAlignment="1">
      <alignment horizontal="right"/>
    </xf>
    <xf numFmtId="187" fontId="148" fillId="93" borderId="135" xfId="3738" applyNumberFormat="1" applyFont="1" applyFill="1" applyBorder="1" applyAlignment="1">
      <alignment horizontal="right"/>
    </xf>
    <xf numFmtId="187" fontId="148" fillId="2" borderId="136" xfId="3738" applyNumberFormat="1" applyFont="1" applyFill="1" applyBorder="1" applyAlignment="1">
      <alignment horizontal="right"/>
    </xf>
    <xf numFmtId="187" fontId="148" fillId="93" borderId="136" xfId="3738" applyNumberFormat="1" applyFont="1" applyFill="1" applyBorder="1" applyAlignment="1">
      <alignment horizontal="right"/>
    </xf>
    <xf numFmtId="0" fontId="147" fillId="2" borderId="136" xfId="3738" applyFont="1" applyFill="1" applyBorder="1" applyAlignment="1">
      <alignment horizontal="center"/>
    </xf>
    <xf numFmtId="0" fontId="148" fillId="2" borderId="136" xfId="3738" applyFont="1" applyFill="1" applyBorder="1" applyAlignment="1">
      <alignment horizontal="left"/>
    </xf>
    <xf numFmtId="187" fontId="107" fillId="93" borderId="137" xfId="3738" applyNumberFormat="1" applyFont="1" applyFill="1" applyBorder="1" applyAlignment="1">
      <alignment horizontal="right"/>
    </xf>
    <xf numFmtId="187" fontId="107" fillId="93" borderId="138" xfId="3738" applyNumberFormat="1" applyFont="1" applyFill="1" applyBorder="1" applyAlignment="1">
      <alignment horizontal="right"/>
    </xf>
    <xf numFmtId="187" fontId="107" fillId="2" borderId="139" xfId="3738" applyNumberFormat="1" applyFont="1" applyFill="1" applyBorder="1" applyAlignment="1">
      <alignment horizontal="right"/>
    </xf>
    <xf numFmtId="187" fontId="107" fillId="93" borderId="139" xfId="3738" applyNumberFormat="1" applyFont="1" applyFill="1" applyBorder="1" applyAlignment="1">
      <alignment horizontal="right"/>
    </xf>
    <xf numFmtId="0" fontId="147" fillId="2" borderId="139" xfId="3738" applyFont="1" applyFill="1" applyBorder="1" applyAlignment="1">
      <alignment horizontal="center"/>
    </xf>
    <xf numFmtId="0" fontId="107" fillId="2" borderId="139" xfId="3738" applyFont="1" applyFill="1" applyBorder="1" applyAlignment="1">
      <alignment horizontal="left"/>
    </xf>
    <xf numFmtId="0" fontId="148" fillId="2" borderId="139" xfId="3738" applyFont="1" applyFill="1" applyBorder="1" applyAlignment="1">
      <alignment horizontal="center"/>
    </xf>
    <xf numFmtId="0" fontId="107" fillId="2" borderId="139" xfId="3738" applyFont="1" applyFill="1" applyBorder="1"/>
    <xf numFmtId="187" fontId="107" fillId="93" borderId="140" xfId="3738" applyNumberFormat="1" applyFont="1" applyFill="1" applyBorder="1" applyAlignment="1">
      <alignment horizontal="right"/>
    </xf>
    <xf numFmtId="187" fontId="107" fillId="93" borderId="141" xfId="3738" applyNumberFormat="1" applyFont="1" applyFill="1" applyBorder="1" applyAlignment="1">
      <alignment horizontal="right"/>
    </xf>
    <xf numFmtId="187" fontId="107" fillId="2" borderId="142" xfId="3738" applyNumberFormat="1" applyFont="1" applyFill="1" applyBorder="1" applyAlignment="1">
      <alignment horizontal="right"/>
    </xf>
    <xf numFmtId="187" fontId="107" fillId="93" borderId="142" xfId="3738" applyNumberFormat="1" applyFont="1" applyFill="1" applyBorder="1" applyAlignment="1">
      <alignment horizontal="right"/>
    </xf>
    <xf numFmtId="0" fontId="147" fillId="2" borderId="142" xfId="3738" applyFont="1" applyFill="1" applyBorder="1" applyAlignment="1">
      <alignment horizontal="center"/>
    </xf>
    <xf numFmtId="0" fontId="107" fillId="2" borderId="142" xfId="3738" applyFont="1" applyFill="1" applyBorder="1" applyAlignment="1">
      <alignment horizontal="left"/>
    </xf>
    <xf numFmtId="0" fontId="148" fillId="2" borderId="142" xfId="3738" applyFont="1" applyFill="1" applyBorder="1" applyAlignment="1">
      <alignment horizontal="center"/>
    </xf>
    <xf numFmtId="0" fontId="107" fillId="2" borderId="142" xfId="3738" applyFont="1" applyFill="1" applyBorder="1"/>
    <xf numFmtId="187" fontId="107" fillId="93" borderId="143" xfId="3738" applyNumberFormat="1" applyFont="1" applyFill="1" applyBorder="1" applyAlignment="1">
      <alignment horizontal="right"/>
    </xf>
    <xf numFmtId="187" fontId="107" fillId="93" borderId="144" xfId="3738" applyNumberFormat="1" applyFont="1" applyFill="1" applyBorder="1" applyAlignment="1">
      <alignment horizontal="right"/>
    </xf>
    <xf numFmtId="187" fontId="107" fillId="2" borderId="145" xfId="3738" applyNumberFormat="1" applyFont="1" applyFill="1" applyBorder="1" applyAlignment="1">
      <alignment horizontal="right"/>
    </xf>
    <xf numFmtId="187" fontId="107" fillId="93" borderId="145" xfId="3738" applyNumberFormat="1" applyFont="1" applyFill="1" applyBorder="1" applyAlignment="1">
      <alignment horizontal="right"/>
    </xf>
    <xf numFmtId="0" fontId="147" fillId="2" borderId="145" xfId="3738" applyFont="1" applyFill="1" applyBorder="1" applyAlignment="1">
      <alignment horizontal="center"/>
    </xf>
    <xf numFmtId="0" fontId="107" fillId="2" borderId="145" xfId="3738" applyFont="1" applyFill="1" applyBorder="1" applyAlignment="1">
      <alignment horizontal="left"/>
    </xf>
    <xf numFmtId="0" fontId="148" fillId="2" borderId="145" xfId="3738" applyFont="1" applyFill="1" applyBorder="1" applyAlignment="1">
      <alignment horizontal="center"/>
    </xf>
    <xf numFmtId="187" fontId="107" fillId="93" borderId="146" xfId="3738" applyNumberFormat="1" applyFont="1" applyFill="1" applyBorder="1" applyAlignment="1">
      <alignment horizontal="right"/>
    </xf>
    <xf numFmtId="187" fontId="107" fillId="93" borderId="147" xfId="3738" applyNumberFormat="1" applyFont="1" applyFill="1" applyBorder="1" applyAlignment="1">
      <alignment horizontal="right"/>
    </xf>
    <xf numFmtId="187" fontId="107" fillId="2" borderId="148" xfId="3738" applyNumberFormat="1" applyFont="1" applyFill="1" applyBorder="1" applyAlignment="1">
      <alignment horizontal="right"/>
    </xf>
    <xf numFmtId="187" fontId="107" fillId="93" borderId="148" xfId="3738" applyNumberFormat="1" applyFont="1" applyFill="1" applyBorder="1" applyAlignment="1">
      <alignment horizontal="right"/>
    </xf>
    <xf numFmtId="0" fontId="147" fillId="2" borderId="148" xfId="3738" applyFont="1" applyFill="1" applyBorder="1" applyAlignment="1">
      <alignment horizontal="center"/>
    </xf>
    <xf numFmtId="0" fontId="107" fillId="2" borderId="148" xfId="3738" applyFont="1" applyFill="1" applyBorder="1" applyAlignment="1">
      <alignment horizontal="left"/>
    </xf>
    <xf numFmtId="0" fontId="148" fillId="2" borderId="148" xfId="3738" applyFont="1" applyFill="1" applyBorder="1" applyAlignment="1">
      <alignment horizontal="center"/>
    </xf>
    <xf numFmtId="0" fontId="149" fillId="2" borderId="0" xfId="3738" applyFont="1" applyFill="1"/>
    <xf numFmtId="187" fontId="149" fillId="93" borderId="140" xfId="3738" applyNumberFormat="1" applyFont="1" applyFill="1" applyBorder="1" applyAlignment="1">
      <alignment horizontal="right"/>
    </xf>
    <xf numFmtId="187" fontId="149" fillId="93" borderId="141" xfId="3738" applyNumberFormat="1" applyFont="1" applyFill="1" applyBorder="1" applyAlignment="1">
      <alignment horizontal="right"/>
    </xf>
    <xf numFmtId="187" fontId="149" fillId="2" borderId="142" xfId="3738" applyNumberFormat="1" applyFont="1" applyFill="1" applyBorder="1" applyAlignment="1">
      <alignment horizontal="right"/>
    </xf>
    <xf numFmtId="187" fontId="149" fillId="93" borderId="142" xfId="3738" applyNumberFormat="1" applyFont="1" applyFill="1" applyBorder="1" applyAlignment="1">
      <alignment horizontal="right"/>
    </xf>
    <xf numFmtId="0" fontId="150" fillId="2" borderId="142" xfId="3738" applyFont="1" applyFill="1" applyBorder="1" applyAlignment="1">
      <alignment horizontal="center"/>
    </xf>
    <xf numFmtId="0" fontId="149" fillId="2" borderId="142" xfId="3738" applyFont="1" applyFill="1" applyBorder="1" applyAlignment="1">
      <alignment horizontal="left"/>
    </xf>
    <xf numFmtId="0" fontId="151" fillId="2" borderId="142" xfId="3738" applyFont="1" applyFill="1" applyBorder="1" applyAlignment="1">
      <alignment horizontal="center"/>
    </xf>
    <xf numFmtId="187" fontId="148" fillId="93" borderId="34" xfId="3738" applyNumberFormat="1" applyFont="1" applyFill="1" applyBorder="1" applyAlignment="1">
      <alignment horizontal="right"/>
    </xf>
    <xf numFmtId="187" fontId="148" fillId="93" borderId="42" xfId="3738" applyNumberFormat="1" applyFont="1" applyFill="1" applyBorder="1" applyAlignment="1">
      <alignment horizontal="right"/>
    </xf>
    <xf numFmtId="187" fontId="148" fillId="2" borderId="14" xfId="3738" applyNumberFormat="1" applyFont="1" applyFill="1" applyBorder="1" applyAlignment="1">
      <alignment horizontal="right"/>
    </xf>
    <xf numFmtId="187" fontId="148" fillId="93" borderId="14" xfId="3738" applyNumberFormat="1" applyFont="1" applyFill="1" applyBorder="1" applyAlignment="1">
      <alignment horizontal="right"/>
    </xf>
    <xf numFmtId="0" fontId="147" fillId="2" borderId="14" xfId="3738" applyFont="1" applyFill="1" applyBorder="1" applyAlignment="1">
      <alignment horizontal="center"/>
    </xf>
    <xf numFmtId="0" fontId="148" fillId="2" borderId="14" xfId="3738" applyFont="1" applyFill="1" applyBorder="1" applyAlignment="1">
      <alignment horizontal="left"/>
    </xf>
    <xf numFmtId="0" fontId="107" fillId="50" borderId="0" xfId="3738" applyFont="1" applyFill="1"/>
    <xf numFmtId="187" fontId="107" fillId="50" borderId="140" xfId="3738" applyNumberFormat="1" applyFont="1" applyFill="1" applyBorder="1" applyAlignment="1">
      <alignment horizontal="right"/>
    </xf>
    <xf numFmtId="187" fontId="107" fillId="50" borderId="141" xfId="3738" applyNumberFormat="1" applyFont="1" applyFill="1" applyBorder="1" applyAlignment="1">
      <alignment horizontal="right"/>
    </xf>
    <xf numFmtId="187" fontId="107" fillId="50" borderId="142" xfId="3738" applyNumberFormat="1" applyFont="1" applyFill="1" applyBorder="1" applyAlignment="1">
      <alignment horizontal="right"/>
    </xf>
    <xf numFmtId="0" fontId="147" fillId="50" borderId="142" xfId="3738" applyFont="1" applyFill="1" applyBorder="1" applyAlignment="1">
      <alignment horizontal="center"/>
    </xf>
    <xf numFmtId="0" fontId="107" fillId="50" borderId="142" xfId="3738" applyFont="1" applyFill="1" applyBorder="1" applyAlignment="1">
      <alignment horizontal="left"/>
    </xf>
    <xf numFmtId="0" fontId="148" fillId="50" borderId="142" xfId="3738" applyFont="1" applyFill="1" applyBorder="1" applyAlignment="1">
      <alignment horizontal="center"/>
    </xf>
    <xf numFmtId="187" fontId="148" fillId="93" borderId="149" xfId="3738" applyNumberFormat="1" applyFont="1" applyFill="1" applyBorder="1" applyAlignment="1">
      <alignment horizontal="right"/>
    </xf>
    <xf numFmtId="187" fontId="148" fillId="93" borderId="124" xfId="3738" applyNumberFormat="1" applyFont="1" applyFill="1" applyBorder="1" applyAlignment="1">
      <alignment horizontal="right"/>
    </xf>
    <xf numFmtId="187" fontId="148" fillId="2" borderId="130" xfId="3738" applyNumberFormat="1" applyFont="1" applyFill="1" applyBorder="1" applyAlignment="1">
      <alignment horizontal="right"/>
    </xf>
    <xf numFmtId="187" fontId="148" fillId="93" borderId="130" xfId="3738" applyNumberFormat="1" applyFont="1" applyFill="1" applyBorder="1" applyAlignment="1">
      <alignment horizontal="right"/>
    </xf>
    <xf numFmtId="0" fontId="147" fillId="2" borderId="130" xfId="3738" applyFont="1" applyFill="1" applyBorder="1" applyAlignment="1">
      <alignment horizontal="center"/>
    </xf>
    <xf numFmtId="0" fontId="148" fillId="2" borderId="130" xfId="3738" applyFont="1" applyFill="1" applyBorder="1" applyAlignment="1">
      <alignment horizontal="left"/>
    </xf>
    <xf numFmtId="187" fontId="107" fillId="93" borderId="150" xfId="3738" applyNumberFormat="1" applyFont="1" applyFill="1" applyBorder="1" applyAlignment="1">
      <alignment horizontal="right"/>
    </xf>
    <xf numFmtId="187" fontId="107" fillId="93" borderId="151" xfId="3738" applyNumberFormat="1" applyFont="1" applyFill="1" applyBorder="1" applyAlignment="1">
      <alignment horizontal="right"/>
    </xf>
    <xf numFmtId="187" fontId="107" fillId="2" borderId="152" xfId="3738" applyNumberFormat="1" applyFont="1" applyFill="1" applyBorder="1" applyAlignment="1">
      <alignment horizontal="right"/>
    </xf>
    <xf numFmtId="187" fontId="107" fillId="93" borderId="152" xfId="3738" applyNumberFormat="1" applyFont="1" applyFill="1" applyBorder="1" applyAlignment="1">
      <alignment horizontal="right"/>
    </xf>
    <xf numFmtId="0" fontId="147" fillId="2" borderId="152" xfId="3738" applyFont="1" applyFill="1" applyBorder="1" applyAlignment="1">
      <alignment horizontal="center"/>
    </xf>
    <xf numFmtId="0" fontId="107" fillId="2" borderId="152" xfId="3738" applyFont="1" applyFill="1" applyBorder="1" applyAlignment="1">
      <alignment horizontal="left"/>
    </xf>
    <xf numFmtId="0" fontId="148" fillId="2" borderId="152" xfId="3738" applyFont="1" applyFill="1" applyBorder="1" applyAlignment="1">
      <alignment horizontal="center"/>
    </xf>
    <xf numFmtId="0" fontId="107" fillId="93" borderId="153" xfId="3738" applyFont="1" applyFill="1" applyBorder="1" applyAlignment="1">
      <alignment horizontal="center"/>
    </xf>
    <xf numFmtId="0" fontId="107" fillId="93" borderId="154" xfId="3738" applyFont="1" applyFill="1" applyBorder="1" applyAlignment="1">
      <alignment horizontal="center"/>
    </xf>
    <xf numFmtId="0" fontId="107" fillId="2" borderId="129" xfId="3738" applyFont="1" applyFill="1" applyBorder="1" applyAlignment="1">
      <alignment horizontal="center"/>
    </xf>
    <xf numFmtId="3" fontId="107" fillId="2" borderId="129" xfId="3738" applyNumberFormat="1" applyFont="1" applyFill="1" applyBorder="1" applyAlignment="1">
      <alignment horizontal="center"/>
    </xf>
    <xf numFmtId="3" fontId="107" fillId="93" borderId="153" xfId="3738" applyNumberFormat="1" applyFont="1" applyFill="1" applyBorder="1" applyAlignment="1">
      <alignment horizontal="center"/>
    </xf>
    <xf numFmtId="0" fontId="107" fillId="93" borderId="129" xfId="3738" applyFont="1" applyFill="1" applyBorder="1" applyAlignment="1">
      <alignment horizontal="center"/>
    </xf>
    <xf numFmtId="0" fontId="147" fillId="2" borderId="129" xfId="3738" applyFont="1" applyFill="1" applyBorder="1" applyAlignment="1">
      <alignment horizontal="center"/>
    </xf>
    <xf numFmtId="0" fontId="107" fillId="2" borderId="129" xfId="3738" applyFont="1" applyFill="1" applyBorder="1"/>
    <xf numFmtId="0" fontId="148" fillId="93" borderId="149" xfId="3738" applyFont="1" applyFill="1" applyBorder="1" applyAlignment="1">
      <alignment horizontal="center" vertical="center" wrapText="1"/>
    </xf>
    <xf numFmtId="0" fontId="148" fillId="93" borderId="124" xfId="3738" applyFont="1" applyFill="1" applyBorder="1" applyAlignment="1">
      <alignment horizontal="center" vertical="center" wrapText="1"/>
    </xf>
    <xf numFmtId="0" fontId="148" fillId="2" borderId="130" xfId="3738" applyFont="1" applyFill="1" applyBorder="1" applyAlignment="1">
      <alignment horizontal="center" vertical="center" wrapText="1"/>
    </xf>
    <xf numFmtId="0" fontId="148" fillId="2" borderId="130" xfId="3738" applyFont="1" applyFill="1" applyBorder="1" applyAlignment="1">
      <alignment horizontal="center" vertical="center"/>
    </xf>
    <xf numFmtId="0" fontId="148" fillId="93" borderId="149" xfId="3738" applyFont="1" applyFill="1" applyBorder="1" applyAlignment="1">
      <alignment horizontal="center" vertical="center"/>
    </xf>
    <xf numFmtId="0" fontId="148" fillId="93" borderId="130" xfId="3738" applyFont="1" applyFill="1" applyBorder="1" applyAlignment="1">
      <alignment horizontal="center" vertical="center" wrapText="1"/>
    </xf>
    <xf numFmtId="0" fontId="152" fillId="2" borderId="130" xfId="3738" quotePrefix="1" applyFont="1" applyFill="1" applyBorder="1" applyAlignment="1">
      <alignment horizontal="center" vertical="center"/>
    </xf>
    <xf numFmtId="0" fontId="152" fillId="2" borderId="130" xfId="3738" applyFont="1" applyFill="1" applyBorder="1" applyAlignment="1">
      <alignment horizontal="center" vertical="center"/>
    </xf>
    <xf numFmtId="0" fontId="152" fillId="2" borderId="130" xfId="3738" applyFont="1" applyFill="1" applyBorder="1" applyAlignment="1">
      <alignment horizontal="centerContinuous" vertical="center"/>
    </xf>
    <xf numFmtId="0" fontId="107" fillId="2" borderId="0" xfId="3738" applyFont="1" applyFill="1" applyAlignment="1">
      <alignment horizontal="center"/>
    </xf>
    <xf numFmtId="0" fontId="107" fillId="2" borderId="14" xfId="3738" applyFont="1" applyFill="1" applyBorder="1" applyAlignment="1">
      <alignment horizontal="center"/>
    </xf>
    <xf numFmtId="0" fontId="107" fillId="2" borderId="34" xfId="3738" applyFont="1" applyFill="1" applyBorder="1" applyAlignment="1">
      <alignment horizontal="center"/>
    </xf>
    <xf numFmtId="0" fontId="148" fillId="2" borderId="14" xfId="3738" applyFont="1" applyFill="1" applyBorder="1" applyAlignment="1">
      <alignment horizontal="center"/>
    </xf>
    <xf numFmtId="0" fontId="107" fillId="2" borderId="14" xfId="3738" applyFont="1" applyFill="1" applyBorder="1"/>
    <xf numFmtId="3" fontId="107" fillId="2" borderId="14" xfId="3738" applyNumberFormat="1" applyFont="1" applyFill="1" applyBorder="1" applyAlignment="1">
      <alignment horizontal="right"/>
    </xf>
    <xf numFmtId="187" fontId="148" fillId="2" borderId="96" xfId="3738" applyNumberFormat="1" applyFont="1" applyFill="1" applyBorder="1" applyAlignment="1">
      <alignment horizontal="right"/>
    </xf>
    <xf numFmtId="187" fontId="148" fillId="93" borderId="96" xfId="3738" applyNumberFormat="1" applyFont="1" applyFill="1" applyBorder="1" applyAlignment="1">
      <alignment horizontal="right"/>
    </xf>
    <xf numFmtId="0" fontId="148" fillId="2" borderId="96" xfId="3738" applyFont="1" applyFill="1" applyBorder="1" applyAlignment="1">
      <alignment horizontal="left"/>
    </xf>
    <xf numFmtId="0" fontId="107" fillId="2" borderId="96" xfId="3738" applyFont="1" applyFill="1" applyBorder="1" applyAlignment="1">
      <alignment horizontal="center"/>
    </xf>
    <xf numFmtId="0" fontId="148" fillId="2" borderId="96" xfId="3738" applyFont="1" applyFill="1" applyBorder="1" applyAlignment="1">
      <alignment horizontal="center"/>
    </xf>
    <xf numFmtId="188" fontId="12" fillId="0" borderId="0" xfId="2611" applyNumberFormat="1"/>
    <xf numFmtId="2" fontId="143" fillId="0" borderId="0" xfId="2611" applyNumberFormat="1" applyFont="1"/>
    <xf numFmtId="0" fontId="145" fillId="0" borderId="0" xfId="2611" applyFont="1" applyAlignment="1">
      <alignment horizontal="left"/>
    </xf>
    <xf numFmtId="0" fontId="46" fillId="94" borderId="0" xfId="0" applyFont="1" applyFill="1"/>
    <xf numFmtId="0" fontId="143" fillId="0" borderId="0" xfId="2611" applyFont="1"/>
    <xf numFmtId="0" fontId="153" fillId="0" borderId="0" xfId="2611" applyFont="1"/>
    <xf numFmtId="0" fontId="145" fillId="0" borderId="0" xfId="2611" applyFont="1"/>
    <xf numFmtId="0" fontId="46" fillId="0" borderId="0" xfId="2611" applyFont="1"/>
    <xf numFmtId="0" fontId="143" fillId="0" borderId="92" xfId="2611" applyFont="1" applyBorder="1"/>
    <xf numFmtId="0" fontId="143" fillId="0" borderId="97" xfId="2611" applyFont="1" applyBorder="1"/>
    <xf numFmtId="169" fontId="12" fillId="0" borderId="97" xfId="2611" applyNumberFormat="1" applyBorder="1"/>
    <xf numFmtId="0" fontId="12" fillId="0" borderId="97" xfId="2611" applyBorder="1"/>
    <xf numFmtId="0" fontId="12" fillId="0" borderId="91" xfId="2611" applyBorder="1"/>
    <xf numFmtId="0" fontId="143" fillId="0" borderId="21" xfId="2611" applyFont="1" applyBorder="1"/>
    <xf numFmtId="0" fontId="3" fillId="0" borderId="0" xfId="10687" applyAlignment="1">
      <alignment horizontal="left"/>
    </xf>
    <xf numFmtId="0" fontId="3" fillId="0" borderId="17" xfId="10687" applyBorder="1" applyAlignment="1">
      <alignment horizontal="left"/>
    </xf>
    <xf numFmtId="0" fontId="12" fillId="0" borderId="67" xfId="2611" applyBorder="1"/>
    <xf numFmtId="0" fontId="12" fillId="0" borderId="66" xfId="2611" applyBorder="1"/>
    <xf numFmtId="0" fontId="3" fillId="0" borderId="0" xfId="10687"/>
    <xf numFmtId="10" fontId="3" fillId="0" borderId="0" xfId="10653" applyNumberFormat="1" applyFont="1"/>
    <xf numFmtId="2" fontId="3" fillId="0" borderId="0" xfId="10687" applyNumberFormat="1"/>
    <xf numFmtId="0" fontId="83" fillId="0" borderId="0" xfId="10687" applyFont="1"/>
    <xf numFmtId="2" fontId="3" fillId="0" borderId="0" xfId="10687" quotePrefix="1" applyNumberFormat="1"/>
    <xf numFmtId="189" fontId="154" fillId="0" borderId="0" xfId="10656" applyNumberFormat="1" applyFont="1"/>
    <xf numFmtId="0" fontId="3" fillId="0" borderId="0" xfId="10687" applyAlignment="1">
      <alignment horizontal="center"/>
    </xf>
    <xf numFmtId="170" fontId="132" fillId="0" borderId="0" xfId="10687" applyNumberFormat="1" applyFont="1" applyAlignment="1">
      <alignment horizontal="center"/>
    </xf>
    <xf numFmtId="1" fontId="3" fillId="0" borderId="0" xfId="10687" applyNumberFormat="1" applyAlignment="1">
      <alignment horizontal="center"/>
    </xf>
    <xf numFmtId="0" fontId="3" fillId="0" borderId="129" xfId="10687" applyBorder="1"/>
    <xf numFmtId="170" fontId="124" fillId="0" borderId="0" xfId="10687" applyNumberFormat="1" applyFont="1" applyAlignment="1">
      <alignment horizontal="right"/>
    </xf>
    <xf numFmtId="0" fontId="155" fillId="0" borderId="0" xfId="10687" applyFont="1"/>
    <xf numFmtId="1" fontId="132" fillId="0" borderId="0" xfId="10687" applyNumberFormat="1" applyFont="1" applyAlignment="1">
      <alignment horizontal="center"/>
    </xf>
    <xf numFmtId="0" fontId="155" fillId="0" borderId="0" xfId="10687" applyFont="1" applyAlignment="1">
      <alignment horizontal="left"/>
    </xf>
    <xf numFmtId="0" fontId="132" fillId="0" borderId="0" xfId="10687" applyFont="1" applyAlignment="1">
      <alignment horizontal="left"/>
    </xf>
    <xf numFmtId="2" fontId="155" fillId="0" borderId="155" xfId="49" applyNumberFormat="1" applyFont="1" applyBorder="1" applyAlignment="1">
      <alignment horizontal="center"/>
    </xf>
    <xf numFmtId="0" fontId="3" fillId="0" borderId="130" xfId="10687" applyBorder="1"/>
    <xf numFmtId="2" fontId="155" fillId="0" borderId="149" xfId="49" applyNumberFormat="1" applyFont="1" applyBorder="1" applyAlignment="1">
      <alignment horizontal="center"/>
    </xf>
    <xf numFmtId="0" fontId="3" fillId="31" borderId="0" xfId="10687" applyFill="1" applyAlignment="1">
      <alignment horizontal="left" wrapText="1"/>
    </xf>
    <xf numFmtId="0" fontId="30" fillId="31" borderId="0" xfId="10687" applyFont="1" applyFill="1" applyAlignment="1">
      <alignment horizontal="left" wrapText="1"/>
    </xf>
    <xf numFmtId="174" fontId="156" fillId="0" borderId="0" xfId="49" applyNumberFormat="1" applyFont="1"/>
    <xf numFmtId="0" fontId="24" fillId="0" borderId="0" xfId="10687" applyFont="1" applyAlignment="1">
      <alignment horizontal="left"/>
    </xf>
    <xf numFmtId="0" fontId="3" fillId="0" borderId="0" xfId="10687" applyAlignment="1">
      <alignment horizontal="right"/>
    </xf>
    <xf numFmtId="164" fontId="3" fillId="0" borderId="0" xfId="10687" applyNumberFormat="1" applyAlignment="1">
      <alignment horizontal="left"/>
    </xf>
    <xf numFmtId="169" fontId="3" fillId="0" borderId="0" xfId="10687" applyNumberFormat="1" applyAlignment="1">
      <alignment horizontal="left"/>
    </xf>
    <xf numFmtId="0" fontId="3" fillId="95" borderId="0" xfId="10687" applyFill="1" applyAlignment="1">
      <alignment horizontal="left"/>
    </xf>
    <xf numFmtId="2" fontId="3" fillId="0" borderId="0" xfId="10687" applyNumberFormat="1" applyAlignment="1">
      <alignment horizontal="left"/>
    </xf>
    <xf numFmtId="0" fontId="30" fillId="95" borderId="0" xfId="10687" applyFont="1" applyFill="1" applyAlignment="1">
      <alignment horizontal="left"/>
    </xf>
    <xf numFmtId="0" fontId="3" fillId="31" borderId="0" xfId="10687" applyFill="1" applyAlignment="1">
      <alignment horizontal="left"/>
    </xf>
    <xf numFmtId="0" fontId="30" fillId="31" borderId="0" xfId="10687" applyFont="1" applyFill="1" applyAlignment="1">
      <alignment horizontal="left"/>
    </xf>
    <xf numFmtId="190" fontId="12" fillId="0" borderId="0" xfId="10655" applyNumberFormat="1"/>
    <xf numFmtId="1" fontId="3" fillId="0" borderId="0" xfId="10687" applyNumberFormat="1" applyAlignment="1">
      <alignment horizontal="left"/>
    </xf>
    <xf numFmtId="170" fontId="12" fillId="0" borderId="0" xfId="2611" applyNumberFormat="1"/>
    <xf numFmtId="170" fontId="3" fillId="0" borderId="0" xfId="10687" applyNumberFormat="1" applyAlignment="1">
      <alignment horizontal="right"/>
    </xf>
    <xf numFmtId="191" fontId="3" fillId="0" borderId="0" xfId="10687" applyNumberFormat="1"/>
    <xf numFmtId="164" fontId="3" fillId="0" borderId="0" xfId="10687" applyNumberFormat="1"/>
    <xf numFmtId="191" fontId="157" fillId="0" borderId="0" xfId="10687" applyNumberFormat="1" applyFont="1" applyAlignment="1">
      <alignment horizontal="left"/>
    </xf>
    <xf numFmtId="191" fontId="15" fillId="0" borderId="0" xfId="10653" applyNumberFormat="1"/>
    <xf numFmtId="191" fontId="157" fillId="0" borderId="0" xfId="10653" applyNumberFormat="1" applyFont="1" applyAlignment="1">
      <alignment horizontal="left"/>
    </xf>
    <xf numFmtId="191" fontId="158" fillId="0" borderId="0" xfId="10653" applyNumberFormat="1" applyFont="1" applyAlignment="1">
      <alignment horizontal="left"/>
    </xf>
    <xf numFmtId="9" fontId="157" fillId="0" borderId="0" xfId="10653" applyFont="1" applyAlignment="1">
      <alignment horizontal="left"/>
    </xf>
    <xf numFmtId="0" fontId="157" fillId="0" borderId="0" xfId="10687" applyFont="1" applyAlignment="1">
      <alignment horizontal="left"/>
    </xf>
    <xf numFmtId="170" fontId="3" fillId="0" borderId="0" xfId="10687" applyNumberFormat="1" applyAlignment="1">
      <alignment horizontal="left"/>
    </xf>
    <xf numFmtId="0" fontId="158" fillId="0" borderId="0" xfId="10688" quotePrefix="1" applyFont="1"/>
    <xf numFmtId="0" fontId="159" fillId="0" borderId="0" xfId="10687" quotePrefix="1" applyFont="1" applyAlignment="1">
      <alignment horizontal="left"/>
    </xf>
    <xf numFmtId="0" fontId="159" fillId="0" borderId="0" xfId="10688" quotePrefix="1" applyFont="1"/>
    <xf numFmtId="0" fontId="32" fillId="0" borderId="0" xfId="10687" quotePrefix="1" applyFont="1"/>
    <xf numFmtId="191" fontId="160" fillId="0" borderId="0" xfId="10687" applyNumberFormat="1" applyFont="1" applyAlignment="1">
      <alignment horizontal="left"/>
    </xf>
    <xf numFmtId="191" fontId="32" fillId="0" borderId="0" xfId="10653" applyNumberFormat="1" applyFont="1" applyAlignment="1">
      <alignment horizontal="left"/>
    </xf>
    <xf numFmtId="191" fontId="161" fillId="0" borderId="0" xfId="10653" applyNumberFormat="1" applyFont="1" applyAlignment="1">
      <alignment horizontal="left"/>
    </xf>
    <xf numFmtId="191" fontId="15" fillId="0" borderId="0" xfId="10653" applyNumberFormat="1" applyAlignment="1">
      <alignment horizontal="left"/>
    </xf>
    <xf numFmtId="191" fontId="162" fillId="0" borderId="0" xfId="10653" applyNumberFormat="1" applyFont="1" applyAlignment="1">
      <alignment horizontal="left"/>
    </xf>
    <xf numFmtId="9" fontId="159" fillId="0" borderId="0" xfId="10653" applyFont="1" applyAlignment="1">
      <alignment horizontal="left"/>
    </xf>
    <xf numFmtId="0" fontId="39" fillId="0" borderId="0" xfId="10687" applyFont="1" applyAlignment="1">
      <alignment horizontal="left"/>
    </xf>
    <xf numFmtId="0" fontId="159" fillId="0" borderId="0" xfId="10687" applyFont="1" applyAlignment="1">
      <alignment horizontal="left"/>
    </xf>
    <xf numFmtId="0" fontId="163" fillId="0" borderId="0" xfId="10688" quotePrefix="1" applyFont="1"/>
    <xf numFmtId="0" fontId="77" fillId="0" borderId="0" xfId="10687" applyFont="1" applyAlignment="1">
      <alignment horizontal="left"/>
    </xf>
    <xf numFmtId="9" fontId="15" fillId="0" borderId="0" xfId="10653"/>
    <xf numFmtId="191" fontId="164" fillId="0" borderId="0" xfId="10653" applyNumberFormat="1" applyFont="1" applyAlignment="1">
      <alignment horizontal="left"/>
    </xf>
    <xf numFmtId="164" fontId="15" fillId="0" borderId="0" xfId="49" applyAlignment="1">
      <alignment horizontal="left"/>
    </xf>
    <xf numFmtId="164" fontId="165" fillId="0" borderId="0" xfId="49" applyFont="1"/>
    <xf numFmtId="0" fontId="166" fillId="0" borderId="0" xfId="10687" applyFont="1" applyAlignment="1">
      <alignment horizontal="right"/>
    </xf>
    <xf numFmtId="164" fontId="15" fillId="0" borderId="0" xfId="49"/>
    <xf numFmtId="164" fontId="160" fillId="0" borderId="0" xfId="49" applyFont="1"/>
    <xf numFmtId="164" fontId="161" fillId="0" borderId="0" xfId="49" applyFont="1"/>
    <xf numFmtId="164" fontId="22" fillId="0" borderId="0" xfId="49" applyFont="1"/>
    <xf numFmtId="164" fontId="24" fillId="0" borderId="0" xfId="49" applyFont="1"/>
    <xf numFmtId="164" fontId="162" fillId="0" borderId="0" xfId="49" applyFont="1"/>
    <xf numFmtId="164" fontId="24" fillId="0" borderId="0" xfId="49" applyFont="1" applyAlignment="1">
      <alignment horizontal="left"/>
    </xf>
    <xf numFmtId="164" fontId="161" fillId="0" borderId="0" xfId="49" applyFont="1" applyAlignment="1">
      <alignment horizontal="left"/>
    </xf>
    <xf numFmtId="174" fontId="167" fillId="0" borderId="0" xfId="49" applyNumberFormat="1" applyFont="1"/>
    <xf numFmtId="164" fontId="168" fillId="0" borderId="0" xfId="2618" applyNumberFormat="1" applyFont="1" applyAlignment="1">
      <alignment horizontal="right"/>
    </xf>
    <xf numFmtId="164" fontId="169" fillId="0" borderId="0" xfId="49" applyFont="1" applyAlignment="1">
      <alignment horizontal="left"/>
    </xf>
    <xf numFmtId="0" fontId="141" fillId="0" borderId="0" xfId="10652"/>
    <xf numFmtId="164" fontId="170" fillId="0" borderId="16" xfId="2618" applyNumberFormat="1" applyFont="1" applyBorder="1" applyAlignment="1">
      <alignment horizontal="left"/>
    </xf>
    <xf numFmtId="164" fontId="15" fillId="0" borderId="16" xfId="49" applyBorder="1" applyAlignment="1">
      <alignment horizontal="left"/>
    </xf>
    <xf numFmtId="164" fontId="160" fillId="0" borderId="96" xfId="49" applyFont="1" applyBorder="1"/>
    <xf numFmtId="164" fontId="161" fillId="0" borderId="96" xfId="49" applyFont="1" applyBorder="1"/>
    <xf numFmtId="164" fontId="22" fillId="0" borderId="96" xfId="49" applyFont="1" applyBorder="1"/>
    <xf numFmtId="164" fontId="15" fillId="0" borderId="96" xfId="49" applyBorder="1" applyAlignment="1">
      <alignment horizontal="left"/>
    </xf>
    <xf numFmtId="164" fontId="15" fillId="0" borderId="96" xfId="49" applyBorder="1"/>
    <xf numFmtId="164" fontId="24" fillId="0" borderId="96" xfId="49" applyFont="1" applyBorder="1"/>
    <xf numFmtId="164" fontId="162" fillId="0" borderId="96" xfId="49" applyFont="1" applyBorder="1"/>
    <xf numFmtId="164" fontId="24" fillId="0" borderId="96" xfId="49" applyFont="1" applyBorder="1" applyAlignment="1">
      <alignment horizontal="left"/>
    </xf>
    <xf numFmtId="164" fontId="161" fillId="0" borderId="96" xfId="49" applyFont="1" applyBorder="1" applyAlignment="1">
      <alignment horizontal="left"/>
    </xf>
    <xf numFmtId="164" fontId="170" fillId="0" borderId="34" xfId="2618" applyNumberFormat="1" applyFont="1" applyBorder="1" applyAlignment="1">
      <alignment horizontal="left"/>
    </xf>
    <xf numFmtId="0" fontId="3" fillId="0" borderId="42" xfId="10687" applyBorder="1" applyAlignment="1">
      <alignment horizontal="left"/>
    </xf>
    <xf numFmtId="164" fontId="170" fillId="0" borderId="20" xfId="2618" applyNumberFormat="1" applyFont="1" applyBorder="1" applyAlignment="1">
      <alignment horizontal="left"/>
    </xf>
    <xf numFmtId="164" fontId="15" fillId="0" borderId="20" xfId="49" applyBorder="1" applyAlignment="1">
      <alignment horizontal="left"/>
    </xf>
    <xf numFmtId="164" fontId="170" fillId="0" borderId="19" xfId="2618" applyNumberFormat="1" applyFont="1" applyBorder="1" applyAlignment="1">
      <alignment horizontal="left"/>
    </xf>
    <xf numFmtId="0" fontId="3" fillId="0" borderId="18" xfId="10687" applyBorder="1" applyAlignment="1">
      <alignment horizontal="left"/>
    </xf>
    <xf numFmtId="164" fontId="170" fillId="0" borderId="156" xfId="2618" applyNumberFormat="1" applyFont="1" applyBorder="1" applyAlignment="1">
      <alignment horizontal="left"/>
    </xf>
    <xf numFmtId="164" fontId="15" fillId="0" borderId="156" xfId="49" applyBorder="1" applyAlignment="1">
      <alignment horizontal="left"/>
    </xf>
    <xf numFmtId="164" fontId="160" fillId="0" borderId="129" xfId="49" applyFont="1" applyBorder="1"/>
    <xf numFmtId="164" fontId="161" fillId="0" borderId="129" xfId="49" applyFont="1" applyBorder="1"/>
    <xf numFmtId="164" fontId="22" fillId="0" borderId="129" xfId="49" applyFont="1" applyBorder="1"/>
    <xf numFmtId="164" fontId="15" fillId="0" borderId="129" xfId="49" applyBorder="1" applyAlignment="1">
      <alignment horizontal="left"/>
    </xf>
    <xf numFmtId="164" fontId="15" fillId="0" borderId="129" xfId="49" applyBorder="1"/>
    <xf numFmtId="164" fontId="24" fillId="0" borderId="129" xfId="49" applyFont="1" applyBorder="1"/>
    <xf numFmtId="164" fontId="162" fillId="0" borderId="129" xfId="49" applyFont="1" applyBorder="1"/>
    <xf numFmtId="164" fontId="24" fillId="0" borderId="129" xfId="49" applyFont="1" applyBorder="1" applyAlignment="1">
      <alignment horizontal="left"/>
    </xf>
    <xf numFmtId="164" fontId="161" fillId="0" borderId="129" xfId="49" applyFont="1" applyBorder="1" applyAlignment="1">
      <alignment horizontal="left"/>
    </xf>
    <xf numFmtId="164" fontId="170" fillId="0" borderId="153" xfId="2618" applyNumberFormat="1" applyFont="1" applyBorder="1" applyAlignment="1">
      <alignment horizontal="left"/>
    </xf>
    <xf numFmtId="0" fontId="3" fillId="0" borderId="154" xfId="10687" applyBorder="1" applyAlignment="1">
      <alignment horizontal="left"/>
    </xf>
    <xf numFmtId="164" fontId="3" fillId="25" borderId="155" xfId="49" applyFont="1" applyFill="1" applyBorder="1" applyAlignment="1">
      <alignment horizontal="right"/>
    </xf>
    <xf numFmtId="164" fontId="160" fillId="25" borderId="130" xfId="49" applyFont="1" applyFill="1" applyBorder="1" applyAlignment="1">
      <alignment horizontal="right"/>
    </xf>
    <xf numFmtId="164" fontId="161" fillId="25" borderId="130" xfId="49" applyFont="1" applyFill="1" applyBorder="1" applyAlignment="1">
      <alignment horizontal="right"/>
    </xf>
    <xf numFmtId="164" fontId="22" fillId="25" borderId="130" xfId="49" applyFont="1" applyFill="1" applyBorder="1" applyAlignment="1">
      <alignment horizontal="right"/>
    </xf>
    <xf numFmtId="164" fontId="32" fillId="25" borderId="130" xfId="49" applyFont="1" applyFill="1" applyBorder="1" applyAlignment="1">
      <alignment horizontal="left"/>
    </xf>
    <xf numFmtId="164" fontId="32" fillId="25" borderId="130" xfId="49" applyFont="1" applyFill="1" applyBorder="1" applyAlignment="1">
      <alignment horizontal="right"/>
    </xf>
    <xf numFmtId="164" fontId="3" fillId="25" borderId="130" xfId="49" applyFont="1" applyFill="1" applyBorder="1" applyAlignment="1">
      <alignment horizontal="right"/>
    </xf>
    <xf numFmtId="164" fontId="167" fillId="29" borderId="130" xfId="49" applyFont="1" applyFill="1" applyBorder="1"/>
    <xf numFmtId="164" fontId="168" fillId="29" borderId="130" xfId="49" applyFont="1" applyFill="1" applyBorder="1" applyAlignment="1">
      <alignment horizontal="right"/>
    </xf>
    <xf numFmtId="164" fontId="3" fillId="96" borderId="130" xfId="49" applyFont="1" applyFill="1" applyBorder="1" applyAlignment="1">
      <alignment horizontal="right"/>
    </xf>
    <xf numFmtId="164" fontId="162" fillId="0" borderId="130" xfId="49" applyFont="1" applyBorder="1"/>
    <xf numFmtId="164" fontId="167" fillId="96" borderId="130" xfId="49" applyFont="1" applyFill="1" applyBorder="1"/>
    <xf numFmtId="164" fontId="161" fillId="96" borderId="130" xfId="49" applyFont="1" applyFill="1" applyBorder="1"/>
    <xf numFmtId="164" fontId="165" fillId="96" borderId="130" xfId="49" applyFont="1" applyFill="1" applyBorder="1"/>
    <xf numFmtId="164" fontId="168" fillId="96" borderId="130" xfId="49" applyFont="1" applyFill="1" applyBorder="1" applyAlignment="1">
      <alignment horizontal="right"/>
    </xf>
    <xf numFmtId="164" fontId="159" fillId="96" borderId="149" xfId="49" applyFont="1" applyFill="1" applyBorder="1" applyAlignment="1">
      <alignment horizontal="right"/>
    </xf>
    <xf numFmtId="0" fontId="3" fillId="0" borderId="124" xfId="10687" applyBorder="1" applyAlignment="1">
      <alignment horizontal="left"/>
    </xf>
    <xf numFmtId="164" fontId="15" fillId="0" borderId="0" xfId="49" applyAlignment="1">
      <alignment horizontal="right"/>
    </xf>
    <xf numFmtId="2" fontId="141" fillId="0" borderId="0" xfId="10652" applyNumberFormat="1"/>
    <xf numFmtId="0" fontId="3" fillId="0" borderId="96" xfId="10687" applyBorder="1" applyAlignment="1">
      <alignment horizontal="left"/>
    </xf>
    <xf numFmtId="0" fontId="159" fillId="0" borderId="34" xfId="10687" applyFont="1" applyBorder="1" applyAlignment="1">
      <alignment horizontal="left"/>
    </xf>
    <xf numFmtId="0" fontId="3" fillId="0" borderId="34" xfId="10687" applyBorder="1" applyAlignment="1">
      <alignment horizontal="left"/>
    </xf>
    <xf numFmtId="0" fontId="159" fillId="0" borderId="19" xfId="10687" applyFont="1" applyBorder="1" applyAlignment="1">
      <alignment horizontal="left"/>
    </xf>
    <xf numFmtId="0" fontId="3" fillId="0" borderId="19" xfId="10687" applyBorder="1" applyAlignment="1">
      <alignment horizontal="left"/>
    </xf>
    <xf numFmtId="0" fontId="24" fillId="0" borderId="0" xfId="10687" applyFont="1"/>
    <xf numFmtId="164" fontId="170" fillId="0" borderId="0" xfId="2618" applyNumberFormat="1" applyFont="1" applyAlignment="1">
      <alignment horizontal="left"/>
    </xf>
    <xf numFmtId="0" fontId="3" fillId="88" borderId="0" xfId="10687" applyFill="1" applyAlignment="1">
      <alignment horizontal="left"/>
    </xf>
    <xf numFmtId="174" fontId="56" fillId="33" borderId="0" xfId="49" applyNumberFormat="1" applyFont="1" applyFill="1"/>
    <xf numFmtId="164" fontId="15" fillId="0" borderId="129" xfId="49" applyBorder="1" applyAlignment="1">
      <alignment horizontal="right"/>
    </xf>
    <xf numFmtId="164" fontId="170" fillId="0" borderId="129" xfId="2618" applyNumberFormat="1" applyFont="1" applyBorder="1" applyAlignment="1">
      <alignment horizontal="left"/>
    </xf>
    <xf numFmtId="0" fontId="159" fillId="0" borderId="153" xfId="10687" applyFont="1" applyBorder="1" applyAlignment="1">
      <alignment horizontal="left"/>
    </xf>
    <xf numFmtId="0" fontId="160" fillId="0" borderId="0" xfId="10687" applyFont="1" applyAlignment="1">
      <alignment horizontal="right"/>
    </xf>
    <xf numFmtId="0" fontId="161" fillId="0" borderId="0" xfId="10687" applyFont="1" applyAlignment="1">
      <alignment horizontal="right"/>
    </xf>
    <xf numFmtId="0" fontId="22" fillId="0" borderId="0" xfId="10687" applyFont="1" applyAlignment="1">
      <alignment horizontal="right"/>
    </xf>
    <xf numFmtId="164" fontId="32" fillId="0" borderId="0" xfId="10687" applyNumberFormat="1" applyFont="1" applyAlignment="1">
      <alignment horizontal="left"/>
    </xf>
    <xf numFmtId="164" fontId="32" fillId="0" borderId="0" xfId="10687" applyNumberFormat="1" applyFont="1" applyAlignment="1">
      <alignment horizontal="right"/>
    </xf>
    <xf numFmtId="174" fontId="56" fillId="0" borderId="0" xfId="49" applyNumberFormat="1" applyFont="1"/>
    <xf numFmtId="164" fontId="12" fillId="0" borderId="0" xfId="49" applyFont="1"/>
    <xf numFmtId="164" fontId="170" fillId="0" borderId="0" xfId="2618" applyNumberFormat="1" applyFont="1" applyAlignment="1">
      <alignment horizontal="right"/>
    </xf>
    <xf numFmtId="164" fontId="3" fillId="0" borderId="0" xfId="10687" applyNumberFormat="1" applyAlignment="1">
      <alignment horizontal="right"/>
    </xf>
    <xf numFmtId="164" fontId="156" fillId="0" borderId="0" xfId="2618" applyNumberFormat="1" applyFont="1"/>
    <xf numFmtId="164" fontId="161" fillId="0" borderId="0" xfId="10687" applyNumberFormat="1" applyFont="1"/>
    <xf numFmtId="0" fontId="159" fillId="0" borderId="0" xfId="10687" applyFont="1" applyAlignment="1">
      <alignment horizontal="right"/>
    </xf>
    <xf numFmtId="0" fontId="171" fillId="0" borderId="0" xfId="2618" applyFont="1" applyAlignment="1">
      <alignment horizontal="right"/>
    </xf>
    <xf numFmtId="164" fontId="100" fillId="56" borderId="0" xfId="3332" applyNumberFormat="1" applyAlignment="1">
      <alignment horizontal="left"/>
    </xf>
    <xf numFmtId="2" fontId="39" fillId="0" borderId="0" xfId="2002" applyNumberFormat="1" applyFont="1" applyFill="1" applyAlignment="1">
      <alignment horizontal="right"/>
    </xf>
    <xf numFmtId="0" fontId="12" fillId="0" borderId="0" xfId="2611" applyAlignment="1">
      <alignment horizontal="center" vertical="center"/>
    </xf>
    <xf numFmtId="0" fontId="12" fillId="0" borderId="0" xfId="2611" applyAlignment="1">
      <alignment horizontal="left"/>
    </xf>
    <xf numFmtId="1" fontId="39" fillId="0" borderId="0" xfId="2002" applyNumberFormat="1" applyFont="1" applyFill="1" applyAlignment="1">
      <alignment horizontal="center"/>
    </xf>
    <xf numFmtId="2" fontId="3" fillId="0" borderId="0" xfId="10687" applyNumberFormat="1" applyAlignment="1">
      <alignment horizontal="right"/>
    </xf>
    <xf numFmtId="0" fontId="48" fillId="29" borderId="129" xfId="2611" applyFont="1" applyFill="1" applyBorder="1" applyAlignment="1">
      <alignment horizontal="left" vertical="center" wrapText="1"/>
    </xf>
    <xf numFmtId="0" fontId="35" fillId="29" borderId="129" xfId="2611" applyFont="1" applyFill="1" applyBorder="1" applyAlignment="1">
      <alignment horizontal="left" vertical="center" wrapText="1"/>
    </xf>
    <xf numFmtId="0" fontId="46" fillId="0" borderId="0" xfId="2611" applyFont="1" applyAlignment="1">
      <alignment horizontal="left"/>
    </xf>
    <xf numFmtId="0" fontId="34" fillId="34" borderId="129" xfId="2611" applyFont="1" applyFill="1" applyBorder="1" applyAlignment="1">
      <alignment horizontal="left" vertical="center" wrapText="1"/>
    </xf>
    <xf numFmtId="178" fontId="34" fillId="37" borderId="0" xfId="3371" applyAlignment="1">
      <alignment horizontal="left"/>
    </xf>
    <xf numFmtId="178" fontId="34" fillId="37" borderId="0" xfId="3371"/>
    <xf numFmtId="0" fontId="0" fillId="37" borderId="92" xfId="0" applyFill="1" applyBorder="1"/>
    <xf numFmtId="0" fontId="0" fillId="37" borderId="97" xfId="0" applyFill="1" applyBorder="1"/>
    <xf numFmtId="179" fontId="0" fillId="37" borderId="97" xfId="0" applyNumberFormat="1" applyFill="1" applyBorder="1"/>
    <xf numFmtId="9" fontId="12" fillId="50" borderId="97" xfId="3259" applyFill="1" applyBorder="1"/>
    <xf numFmtId="180" fontId="0" fillId="37" borderId="97" xfId="0" applyNumberFormat="1" applyFill="1" applyBorder="1"/>
    <xf numFmtId="180" fontId="76" fillId="37" borderId="97" xfId="433" applyNumberFormat="1" applyFill="1" applyBorder="1" applyAlignment="1"/>
    <xf numFmtId="178" fontId="0" fillId="37" borderId="97" xfId="0" applyNumberFormat="1" applyFill="1" applyBorder="1"/>
    <xf numFmtId="179" fontId="76" fillId="43" borderId="97" xfId="433" applyNumberFormat="1" applyBorder="1" applyAlignment="1"/>
    <xf numFmtId="173" fontId="68" fillId="39" borderId="97" xfId="25" applyNumberFormat="1" applyBorder="1"/>
    <xf numFmtId="0" fontId="0" fillId="37" borderId="91" xfId="0" applyFill="1" applyBorder="1"/>
    <xf numFmtId="179" fontId="0" fillId="37" borderId="0" xfId="0" applyNumberFormat="1" applyFill="1"/>
    <xf numFmtId="9" fontId="12" fillId="50" borderId="0" xfId="3259" applyFill="1"/>
    <xf numFmtId="180" fontId="0" fillId="37" borderId="0" xfId="0" applyNumberFormat="1" applyFill="1"/>
    <xf numFmtId="180" fontId="76" fillId="37" borderId="0" xfId="433" applyNumberFormat="1" applyFill="1" applyAlignment="1"/>
    <xf numFmtId="178" fontId="0" fillId="37" borderId="0" xfId="0" applyNumberFormat="1" applyFill="1"/>
    <xf numFmtId="179" fontId="76" fillId="43" borderId="0" xfId="433" applyNumberFormat="1" applyAlignment="1"/>
    <xf numFmtId="0" fontId="85" fillId="37" borderId="0" xfId="0" applyFont="1" applyFill="1"/>
    <xf numFmtId="181" fontId="92" fillId="43" borderId="0" xfId="433" applyNumberFormat="1" applyFont="1" applyAlignment="1"/>
    <xf numFmtId="179" fontId="76" fillId="43" borderId="0" xfId="433" applyNumberFormat="1" applyAlignment="1" applyProtection="1">
      <protection locked="0"/>
    </xf>
    <xf numFmtId="173" fontId="34" fillId="37" borderId="0" xfId="433" applyNumberFormat="1" applyFont="1" applyFill="1" applyAlignment="1"/>
    <xf numFmtId="9" fontId="68" fillId="39" borderId="0" xfId="25" applyNumberFormat="1" applyBorder="1"/>
    <xf numFmtId="0" fontId="0" fillId="50" borderId="0" xfId="0" applyFill="1"/>
    <xf numFmtId="173" fontId="0" fillId="50" borderId="0" xfId="0" applyNumberFormat="1" applyFill="1"/>
    <xf numFmtId="0" fontId="12" fillId="51" borderId="66" xfId="0" applyFont="1" applyFill="1" applyBorder="1"/>
    <xf numFmtId="180" fontId="85" fillId="50" borderId="124" xfId="995" applyNumberFormat="1" applyFont="1" applyFill="1" applyBorder="1"/>
    <xf numFmtId="178" fontId="85" fillId="50" borderId="124" xfId="995" applyFont="1" applyFill="1" applyBorder="1"/>
    <xf numFmtId="178" fontId="85" fillId="2" borderId="124" xfId="995" applyFont="1" applyFill="1" applyBorder="1"/>
    <xf numFmtId="180" fontId="68" fillId="39" borderId="124" xfId="25" applyNumberFormat="1" applyBorder="1"/>
    <xf numFmtId="181" fontId="68" fillId="39" borderId="124" xfId="25" applyNumberFormat="1" applyBorder="1"/>
    <xf numFmtId="180" fontId="90" fillId="39" borderId="124" xfId="25" applyNumberFormat="1" applyFont="1" applyBorder="1"/>
    <xf numFmtId="178" fontId="90" fillId="39" borderId="124" xfId="25" applyNumberFormat="1" applyFont="1" applyBorder="1"/>
    <xf numFmtId="178" fontId="85" fillId="2" borderId="124" xfId="995" applyFont="1" applyFill="1" applyBorder="1" applyAlignment="1">
      <alignment horizontal="centerContinuous"/>
    </xf>
    <xf numFmtId="178" fontId="89" fillId="2" borderId="0" xfId="1471" applyFont="1" applyAlignment="1"/>
    <xf numFmtId="181" fontId="85" fillId="37" borderId="124" xfId="995" applyNumberFormat="1" applyFont="1" applyBorder="1"/>
    <xf numFmtId="181" fontId="85" fillId="54" borderId="124" xfId="995" applyNumberFormat="1" applyFont="1" applyFill="1" applyBorder="1"/>
    <xf numFmtId="178" fontId="85" fillId="37" borderId="124" xfId="995" applyFont="1" applyBorder="1"/>
    <xf numFmtId="178" fontId="87" fillId="37" borderId="124" xfId="995" applyFont="1" applyBorder="1"/>
    <xf numFmtId="179" fontId="85" fillId="50" borderId="124" xfId="995" applyNumberFormat="1" applyFont="1" applyFill="1" applyBorder="1"/>
    <xf numFmtId="179" fontId="85" fillId="2" borderId="124" xfId="995" applyNumberFormat="1" applyFont="1" applyFill="1" applyBorder="1"/>
    <xf numFmtId="178" fontId="85" fillId="37" borderId="0" xfId="995" applyFont="1"/>
    <xf numFmtId="179" fontId="94" fillId="37" borderId="124" xfId="2000" applyNumberFormat="1" applyFont="1" applyFill="1" applyBorder="1"/>
    <xf numFmtId="178" fontId="87" fillId="37" borderId="0" xfId="995" applyFont="1"/>
    <xf numFmtId="178" fontId="92" fillId="43" borderId="124" xfId="433" applyFont="1" applyBorder="1" applyAlignment="1">
      <alignment horizontal="left"/>
    </xf>
    <xf numFmtId="178" fontId="92" fillId="43" borderId="124" xfId="433" applyFont="1" applyBorder="1" applyAlignment="1"/>
    <xf numFmtId="178" fontId="84" fillId="37" borderId="124" xfId="2000" applyNumberFormat="1" applyFill="1" applyBorder="1"/>
    <xf numFmtId="181" fontId="85" fillId="37" borderId="124" xfId="28" applyNumberFormat="1" applyFont="1" applyBorder="1"/>
    <xf numFmtId="178" fontId="85" fillId="52" borderId="124" xfId="995" applyFont="1" applyFill="1" applyBorder="1"/>
    <xf numFmtId="178" fontId="91" fillId="52" borderId="124" xfId="995" applyFont="1" applyFill="1" applyBorder="1" applyAlignment="1">
      <alignment horizontal="left"/>
    </xf>
    <xf numFmtId="178" fontId="94" fillId="37" borderId="124" xfId="2000" applyNumberFormat="1" applyFont="1" applyFill="1" applyBorder="1"/>
    <xf numFmtId="180" fontId="85" fillId="37" borderId="0" xfId="995" applyNumberFormat="1" applyFont="1"/>
    <xf numFmtId="178" fontId="91" fillId="37" borderId="124" xfId="995" applyFont="1" applyBorder="1" applyAlignment="1">
      <alignment horizontal="left"/>
    </xf>
    <xf numFmtId="178" fontId="87" fillId="53" borderId="124" xfId="995" applyFont="1" applyFill="1" applyBorder="1"/>
    <xf numFmtId="178" fontId="87" fillId="53" borderId="124" xfId="995" applyFont="1" applyFill="1" applyBorder="1" applyAlignment="1">
      <alignment horizontal="right"/>
    </xf>
    <xf numFmtId="183" fontId="85" fillId="37" borderId="0" xfId="995" applyNumberFormat="1" applyFont="1"/>
    <xf numFmtId="181" fontId="90" fillId="39" borderId="124" xfId="25" applyNumberFormat="1" applyFont="1" applyBorder="1"/>
    <xf numFmtId="0" fontId="85" fillId="37" borderId="124" xfId="28" applyFont="1" applyBorder="1"/>
    <xf numFmtId="0" fontId="92" fillId="43" borderId="124" xfId="433" applyNumberFormat="1" applyFont="1" applyBorder="1" applyAlignment="1">
      <alignment horizontal="left"/>
    </xf>
    <xf numFmtId="181" fontId="85" fillId="37" borderId="124" xfId="28" applyNumberFormat="1" applyFont="1" applyBorder="1" applyProtection="1">
      <protection locked="0"/>
    </xf>
    <xf numFmtId="181" fontId="90" fillId="39" borderId="124" xfId="25" applyNumberFormat="1" applyFont="1" applyBorder="1" applyProtection="1">
      <protection locked="0"/>
    </xf>
    <xf numFmtId="181" fontId="94" fillId="37" borderId="124" xfId="2000" applyNumberFormat="1" applyFont="1" applyFill="1" applyBorder="1" applyProtection="1">
      <protection locked="0"/>
    </xf>
    <xf numFmtId="0" fontId="85" fillId="38" borderId="124" xfId="995" applyNumberFormat="1" applyFont="1" applyFill="1" applyBorder="1"/>
    <xf numFmtId="178" fontId="93" fillId="38" borderId="124" xfId="995" applyFont="1" applyFill="1" applyBorder="1"/>
    <xf numFmtId="181" fontId="90" fillId="45" borderId="124" xfId="25" applyNumberFormat="1" applyFont="1" applyFill="1" applyBorder="1" applyProtection="1">
      <protection locked="0"/>
    </xf>
    <xf numFmtId="0" fontId="85" fillId="38" borderId="124" xfId="995" applyNumberFormat="1" applyFont="1" applyFill="1" applyBorder="1" applyAlignment="1">
      <alignment horizontal="left"/>
    </xf>
    <xf numFmtId="181" fontId="85" fillId="38" borderId="124" xfId="995" applyNumberFormat="1" applyFont="1" applyFill="1" applyBorder="1"/>
    <xf numFmtId="183" fontId="85" fillId="37" borderId="124" xfId="28" applyNumberFormat="1" applyFont="1" applyBorder="1"/>
    <xf numFmtId="178" fontId="85" fillId="37" borderId="42" xfId="995" applyFont="1" applyBorder="1"/>
    <xf numFmtId="178" fontId="85" fillId="37" borderId="18" xfId="995" applyFont="1" applyBorder="1"/>
    <xf numFmtId="181" fontId="92" fillId="43" borderId="156" xfId="433" applyNumberFormat="1" applyFont="1" applyBorder="1" applyAlignment="1"/>
    <xf numFmtId="181" fontId="92" fillId="43" borderId="153" xfId="433" applyNumberFormat="1" applyFont="1" applyBorder="1" applyAlignment="1"/>
    <xf numFmtId="178" fontId="85" fillId="37" borderId="154" xfId="995" applyFont="1" applyBorder="1"/>
    <xf numFmtId="178" fontId="88" fillId="2" borderId="155" xfId="995" applyFont="1" applyFill="1" applyBorder="1" applyAlignment="1">
      <alignment horizontal="right"/>
    </xf>
    <xf numFmtId="178" fontId="88" fillId="2" borderId="149" xfId="995" applyFont="1" applyFill="1" applyBorder="1" applyAlignment="1">
      <alignment horizontal="right"/>
    </xf>
    <xf numFmtId="178" fontId="34" fillId="37" borderId="0" xfId="995"/>
    <xf numFmtId="9" fontId="92" fillId="43" borderId="16" xfId="3259" applyFont="1" applyFill="1" applyBorder="1"/>
    <xf numFmtId="176" fontId="85" fillId="50" borderId="96" xfId="28" applyNumberFormat="1" applyFont="1" applyFill="1" applyBorder="1" applyAlignment="1">
      <alignment horizontal="right"/>
    </xf>
    <xf numFmtId="178" fontId="92" fillId="52" borderId="96" xfId="995" applyFont="1" applyFill="1" applyBorder="1"/>
    <xf numFmtId="181" fontId="92" fillId="43" borderId="96" xfId="433" applyNumberFormat="1" applyFont="1" applyBorder="1" applyAlignment="1"/>
    <xf numFmtId="179" fontId="92" fillId="50" borderId="96" xfId="433" applyNumberFormat="1" applyFont="1" applyFill="1" applyBorder="1" applyAlignment="1"/>
    <xf numFmtId="179" fontId="92" fillId="43" borderId="96" xfId="433" applyNumberFormat="1" applyFont="1" applyBorder="1" applyAlignment="1"/>
    <xf numFmtId="9" fontId="92" fillId="43" borderId="20" xfId="3259" applyFont="1" applyFill="1" applyBorder="1"/>
    <xf numFmtId="178" fontId="92" fillId="52" borderId="0" xfId="995" applyFont="1" applyFill="1"/>
    <xf numFmtId="179" fontId="92" fillId="50" borderId="0" xfId="433" applyNumberFormat="1" applyFont="1" applyFill="1" applyAlignment="1"/>
    <xf numFmtId="179" fontId="92" fillId="43" borderId="0" xfId="433" applyNumberFormat="1" applyFont="1" applyAlignment="1"/>
    <xf numFmtId="9" fontId="92" fillId="50" borderId="20" xfId="3259" applyFont="1" applyFill="1" applyBorder="1"/>
    <xf numFmtId="176" fontId="88" fillId="2" borderId="0" xfId="3259" applyNumberFormat="1" applyFont="1" applyFill="1"/>
    <xf numFmtId="179" fontId="92" fillId="52" borderId="0" xfId="995" applyNumberFormat="1" applyFont="1" applyFill="1"/>
    <xf numFmtId="181" fontId="85" fillId="50" borderId="156" xfId="28" applyNumberFormat="1" applyFont="1" applyFill="1" applyBorder="1"/>
    <xf numFmtId="9" fontId="92" fillId="43" borderId="156" xfId="3259" applyFont="1" applyFill="1" applyBorder="1"/>
    <xf numFmtId="9" fontId="92" fillId="50" borderId="156" xfId="3259" applyFont="1" applyFill="1" applyBorder="1"/>
    <xf numFmtId="178" fontId="85" fillId="52" borderId="154" xfId="28" applyNumberFormat="1" applyFont="1" applyFill="1" applyBorder="1" applyAlignment="1">
      <alignment horizontal="center"/>
    </xf>
    <xf numFmtId="182" fontId="92" fillId="50" borderId="156" xfId="433" applyNumberFormat="1" applyFont="1" applyFill="1" applyBorder="1" applyAlignment="1"/>
    <xf numFmtId="184" fontId="92" fillId="50" borderId="156" xfId="433" applyNumberFormat="1" applyFont="1" applyFill="1" applyBorder="1" applyAlignment="1"/>
    <xf numFmtId="176" fontId="85" fillId="50" borderId="129" xfId="28" applyNumberFormat="1" applyFont="1" applyFill="1" applyBorder="1" applyAlignment="1">
      <alignment horizontal="right"/>
    </xf>
    <xf numFmtId="179" fontId="92" fillId="52" borderId="129" xfId="995" applyNumberFormat="1" applyFont="1" applyFill="1" applyBorder="1"/>
    <xf numFmtId="181" fontId="92" fillId="43" borderId="129" xfId="433" applyNumberFormat="1" applyFont="1" applyBorder="1" applyAlignment="1"/>
    <xf numFmtId="179" fontId="92" fillId="50" borderId="129" xfId="433" applyNumberFormat="1" applyFont="1" applyFill="1" applyBorder="1" applyAlignment="1"/>
    <xf numFmtId="179" fontId="92" fillId="43" borderId="129" xfId="433" applyNumberFormat="1" applyFont="1" applyBorder="1" applyAlignment="1"/>
    <xf numFmtId="179" fontId="92" fillId="43" borderId="153" xfId="433" applyNumberFormat="1" applyFont="1" applyBorder="1" applyAlignment="1"/>
    <xf numFmtId="178" fontId="85" fillId="2" borderId="156" xfId="995" applyFont="1" applyFill="1" applyBorder="1" applyAlignment="1">
      <alignment horizontal="left"/>
    </xf>
    <xf numFmtId="178" fontId="85" fillId="2" borderId="153" xfId="995" applyFont="1" applyFill="1" applyBorder="1"/>
    <xf numFmtId="178" fontId="85" fillId="2" borderId="96" xfId="995" applyFont="1" applyFill="1" applyBorder="1" applyAlignment="1">
      <alignment horizontal="right"/>
    </xf>
    <xf numFmtId="178" fontId="85" fillId="2" borderId="96" xfId="995" applyFont="1" applyFill="1" applyBorder="1"/>
    <xf numFmtId="178" fontId="85" fillId="2" borderId="96" xfId="995" applyFont="1" applyFill="1" applyBorder="1" applyAlignment="1">
      <alignment horizontal="center"/>
    </xf>
    <xf numFmtId="178" fontId="85" fillId="2" borderId="156" xfId="995" applyFont="1" applyFill="1" applyBorder="1" applyAlignment="1">
      <alignment horizontal="center" wrapText="1"/>
    </xf>
    <xf numFmtId="178" fontId="85" fillId="2" borderId="129" xfId="995" applyFont="1" applyFill="1" applyBorder="1" applyAlignment="1">
      <alignment wrapText="1"/>
    </xf>
    <xf numFmtId="178" fontId="85" fillId="2" borderId="129" xfId="995" applyFont="1" applyFill="1" applyBorder="1" applyAlignment="1">
      <alignment horizontal="center" wrapText="1"/>
    </xf>
    <xf numFmtId="178" fontId="85" fillId="2" borderId="129" xfId="995" applyFont="1" applyFill="1" applyBorder="1" applyAlignment="1">
      <alignment horizontal="centerContinuous" wrapText="1"/>
    </xf>
    <xf numFmtId="178" fontId="85" fillId="2" borderId="153" xfId="995" applyFont="1" applyFill="1" applyBorder="1" applyAlignment="1">
      <alignment horizontal="center" wrapText="1"/>
    </xf>
    <xf numFmtId="178" fontId="85" fillId="2" borderId="129" xfId="995" applyFont="1" applyFill="1" applyBorder="1"/>
    <xf numFmtId="0" fontId="12" fillId="0" borderId="0" xfId="0" applyFont="1" applyAlignment="1">
      <alignment horizontal="center" vertical="center"/>
    </xf>
    <xf numFmtId="0" fontId="172" fillId="50" borderId="0" xfId="0" applyFont="1" applyFill="1"/>
    <xf numFmtId="0" fontId="0" fillId="0" borderId="14" xfId="0" applyBorder="1"/>
    <xf numFmtId="0" fontId="12" fillId="0" borderId="14" xfId="0" applyFont="1" applyBorder="1"/>
    <xf numFmtId="171" fontId="12" fillId="0" borderId="14" xfId="0" applyNumberFormat="1" applyFont="1" applyFill="1" applyBorder="1"/>
    <xf numFmtId="171" fontId="13" fillId="0" borderId="14" xfId="0" applyNumberFormat="1" applyFont="1" applyFill="1" applyBorder="1"/>
    <xf numFmtId="171" fontId="0" fillId="0" borderId="14" xfId="0" applyNumberFormat="1" applyBorder="1"/>
    <xf numFmtId="0" fontId="35" fillId="29" borderId="13" xfId="2611" applyFont="1" applyFill="1" applyBorder="1" applyAlignment="1">
      <alignment horizontal="left" vertical="center" wrapText="1"/>
    </xf>
    <xf numFmtId="192" fontId="13" fillId="0" borderId="0" xfId="975" applyNumberFormat="1"/>
    <xf numFmtId="0" fontId="12" fillId="0" borderId="14" xfId="2611" applyBorder="1"/>
    <xf numFmtId="2" fontId="12" fillId="0" borderId="14" xfId="2611" applyNumberFormat="1" applyBorder="1"/>
    <xf numFmtId="0" fontId="127" fillId="0" borderId="0" xfId="2611" applyFont="1"/>
    <xf numFmtId="0" fontId="103" fillId="0" borderId="0" xfId="0" applyFont="1"/>
    <xf numFmtId="0" fontId="34" fillId="31" borderId="12" xfId="2611" applyFont="1" applyFill="1" applyBorder="1" applyAlignment="1">
      <alignment horizontal="left" vertical="center" wrapText="1"/>
    </xf>
    <xf numFmtId="0" fontId="34" fillId="32" borderId="12" xfId="2611" applyFont="1" applyFill="1" applyBorder="1" applyAlignment="1">
      <alignment horizontal="left" vertical="center" wrapText="1"/>
    </xf>
    <xf numFmtId="0" fontId="84" fillId="31" borderId="12" xfId="2611" applyFont="1" applyFill="1" applyBorder="1" applyAlignment="1">
      <alignment horizontal="left" vertical="center" wrapText="1"/>
    </xf>
    <xf numFmtId="0" fontId="84" fillId="32" borderId="12" xfId="2611" applyFont="1" applyFill="1" applyBorder="1" applyAlignment="1">
      <alignment horizontal="left" vertical="center" wrapText="1"/>
    </xf>
    <xf numFmtId="0" fontId="84" fillId="49" borderId="12" xfId="2611" applyFont="1" applyFill="1" applyBorder="1" applyAlignment="1">
      <alignment horizontal="left" vertical="center" wrapText="1"/>
    </xf>
    <xf numFmtId="0" fontId="173" fillId="29" borderId="13" xfId="2611" applyFont="1" applyFill="1" applyBorder="1" applyAlignment="1">
      <alignment horizontal="left" vertical="center" wrapText="1"/>
    </xf>
    <xf numFmtId="2" fontId="127" fillId="50" borderId="0" xfId="2611" applyNumberFormat="1" applyFont="1" applyFill="1" applyAlignment="1">
      <alignment horizontal="center"/>
    </xf>
    <xf numFmtId="170" fontId="127" fillId="97" borderId="0" xfId="2611" applyNumberFormat="1" applyFont="1" applyFill="1" applyAlignment="1">
      <alignment horizontal="center"/>
    </xf>
    <xf numFmtId="0" fontId="127" fillId="0" borderId="0" xfId="2611" applyFont="1" applyAlignment="1">
      <alignment horizontal="center"/>
    </xf>
    <xf numFmtId="2" fontId="127" fillId="0" borderId="0" xfId="2611" applyNumberFormat="1" applyFont="1" applyAlignment="1">
      <alignment horizontal="center"/>
    </xf>
    <xf numFmtId="2" fontId="12" fillId="98" borderId="0" xfId="2611" applyNumberFormat="1" applyFill="1" applyAlignment="1">
      <alignment horizontal="center"/>
    </xf>
    <xf numFmtId="0" fontId="12" fillId="0" borderId="14" xfId="2611" applyBorder="1" applyAlignment="1" applyProtection="1">
      <alignment horizontal="left"/>
      <protection locked="0"/>
    </xf>
    <xf numFmtId="2" fontId="12" fillId="0" borderId="14" xfId="2611" applyNumberFormat="1" applyBorder="1" applyAlignment="1">
      <alignment horizontal="center"/>
    </xf>
    <xf numFmtId="169" fontId="12" fillId="0" borderId="14" xfId="2611" applyNumberFormat="1" applyBorder="1"/>
    <xf numFmtId="2" fontId="127" fillId="0" borderId="14" xfId="2611" applyNumberFormat="1" applyFont="1" applyBorder="1" applyAlignment="1">
      <alignment horizontal="center"/>
    </xf>
    <xf numFmtId="0" fontId="0" fillId="0" borderId="0" xfId="0" quotePrefix="1"/>
    <xf numFmtId="2" fontId="0" fillId="0" borderId="0" xfId="0" applyNumberFormat="1"/>
    <xf numFmtId="0" fontId="137" fillId="0" borderId="0" xfId="0" applyFont="1" applyFill="1" applyBorder="1" applyAlignment="1">
      <alignment horizontal="center"/>
    </xf>
    <xf numFmtId="0" fontId="12" fillId="0" borderId="0" xfId="0" applyFont="1" applyAlignment="1">
      <alignment horizontal="left"/>
    </xf>
    <xf numFmtId="0" fontId="34" fillId="0" borderId="12" xfId="0" applyFont="1" applyBorder="1" applyAlignment="1">
      <alignment horizontal="left" vertical="center" wrapText="1"/>
    </xf>
    <xf numFmtId="0" fontId="12" fillId="44" borderId="0" xfId="0" applyFont="1" applyFill="1" applyAlignment="1">
      <alignment horizontal="center" vertical="center"/>
    </xf>
    <xf numFmtId="174" fontId="12" fillId="0" borderId="0" xfId="0" applyNumberFormat="1" applyFont="1" applyAlignment="1">
      <alignment horizontal="left"/>
    </xf>
    <xf numFmtId="174" fontId="12" fillId="44" borderId="0" xfId="0" applyNumberFormat="1" applyFont="1" applyFill="1" applyAlignment="1">
      <alignment horizontal="left"/>
    </xf>
    <xf numFmtId="165" fontId="12" fillId="0" borderId="0" xfId="0" applyNumberFormat="1" applyFont="1" applyAlignment="1">
      <alignment horizontal="left"/>
    </xf>
    <xf numFmtId="14" fontId="0" fillId="0" borderId="0" xfId="0" applyNumberFormat="1"/>
    <xf numFmtId="0" fontId="0" fillId="0" borderId="131" xfId="0" applyBorder="1"/>
    <xf numFmtId="0" fontId="12" fillId="0" borderId="132" xfId="0" applyFont="1" applyBorder="1"/>
    <xf numFmtId="9" fontId="0" fillId="0" borderId="132" xfId="1473" applyFont="1" applyBorder="1"/>
    <xf numFmtId="0" fontId="0" fillId="0" borderId="132" xfId="0" applyBorder="1"/>
    <xf numFmtId="0" fontId="0" fillId="0" borderId="133" xfId="0" applyBorder="1"/>
    <xf numFmtId="0" fontId="12" fillId="0" borderId="17" xfId="0" applyFont="1" applyBorder="1" applyAlignment="1">
      <alignment horizontal="left"/>
    </xf>
    <xf numFmtId="179" fontId="0" fillId="0" borderId="0" xfId="0" applyNumberFormat="1"/>
    <xf numFmtId="0" fontId="12" fillId="0" borderId="131" xfId="0" applyFont="1" applyBorder="1" applyAlignment="1">
      <alignment horizontal="left"/>
    </xf>
    <xf numFmtId="179" fontId="0" fillId="0" borderId="132" xfId="0" applyNumberFormat="1" applyBorder="1"/>
    <xf numFmtId="0" fontId="0" fillId="2" borderId="0" xfId="0" applyFill="1"/>
    <xf numFmtId="0" fontId="83" fillId="37" borderId="0" xfId="983" applyFont="1" applyFill="1"/>
    <xf numFmtId="174" fontId="2" fillId="37" borderId="0" xfId="430" applyNumberFormat="1" applyFont="1" applyFill="1" applyBorder="1"/>
    <xf numFmtId="0" fontId="2" fillId="37" borderId="58" xfId="983" applyFont="1" applyFill="1" applyBorder="1"/>
    <xf numFmtId="174" fontId="2" fillId="37" borderId="58" xfId="430" applyNumberFormat="1" applyFont="1" applyFill="1" applyBorder="1"/>
    <xf numFmtId="0" fontId="66" fillId="37" borderId="0" xfId="983" applyFill="1"/>
    <xf numFmtId="0" fontId="2" fillId="37" borderId="0" xfId="983" applyFont="1" applyFill="1"/>
    <xf numFmtId="174" fontId="136" fillId="37" borderId="12" xfId="430" applyNumberFormat="1" applyFont="1" applyFill="1" applyBorder="1"/>
    <xf numFmtId="0" fontId="2" fillId="37" borderId="14" xfId="983" applyFont="1" applyFill="1" applyBorder="1"/>
    <xf numFmtId="174" fontId="2" fillId="37" borderId="14" xfId="430" applyNumberFormat="1" applyFont="1" applyFill="1" applyBorder="1"/>
    <xf numFmtId="0" fontId="12" fillId="2" borderId="0" xfId="0" applyFont="1" applyFill="1"/>
    <xf numFmtId="0" fontId="131" fillId="88" borderId="2" xfId="0" applyFont="1" applyFill="1" applyBorder="1" applyAlignment="1">
      <alignment horizontal="center" wrapText="1"/>
    </xf>
    <xf numFmtId="0" fontId="131" fillId="88" borderId="2" xfId="0" applyFont="1" applyFill="1" applyBorder="1" applyAlignment="1">
      <alignment horizontal="center" vertical="top"/>
    </xf>
    <xf numFmtId="0" fontId="131" fillId="88" borderId="2" xfId="0" applyFont="1" applyFill="1" applyBorder="1" applyAlignment="1">
      <alignment horizontal="center" vertical="top" wrapText="1"/>
    </xf>
    <xf numFmtId="0" fontId="132" fillId="0" borderId="2" xfId="0" applyFont="1" applyBorder="1" applyAlignment="1">
      <alignment horizontal="left"/>
    </xf>
    <xf numFmtId="170" fontId="132" fillId="0" borderId="2" xfId="0" applyNumberFormat="1" applyFont="1" applyBorder="1" applyAlignment="1">
      <alignment horizontal="center"/>
    </xf>
    <xf numFmtId="0" fontId="174" fillId="0" borderId="0" xfId="0" applyFont="1"/>
    <xf numFmtId="0" fontId="131" fillId="88" borderId="2" xfId="0" applyFont="1" applyFill="1" applyBorder="1" applyAlignment="1">
      <alignment vertical="top" wrapText="1"/>
    </xf>
    <xf numFmtId="0" fontId="131" fillId="88" borderId="71" xfId="0" applyFont="1" applyFill="1" applyBorder="1" applyAlignment="1">
      <alignment horizontal="center" vertical="top"/>
    </xf>
    <xf numFmtId="0" fontId="131" fillId="88" borderId="58" xfId="0" applyFont="1" applyFill="1" applyBorder="1" applyAlignment="1">
      <alignment horizontal="center" vertical="top"/>
    </xf>
    <xf numFmtId="0" fontId="131" fillId="88" borderId="155" xfId="0" applyFont="1" applyFill="1" applyBorder="1" applyAlignment="1">
      <alignment horizontal="center" vertical="top"/>
    </xf>
    <xf numFmtId="0" fontId="175" fillId="99" borderId="2" xfId="0" applyFont="1" applyFill="1" applyBorder="1" applyAlignment="1">
      <alignment horizontal="center" vertical="top"/>
    </xf>
    <xf numFmtId="2" fontId="132" fillId="0" borderId="2" xfId="0" applyNumberFormat="1" applyFont="1" applyBorder="1" applyAlignment="1">
      <alignment horizontal="center"/>
    </xf>
    <xf numFmtId="170" fontId="176" fillId="0" borderId="38" xfId="0" applyNumberFormat="1" applyFont="1" applyBorder="1" applyAlignment="1">
      <alignment horizontal="center"/>
    </xf>
    <xf numFmtId="170" fontId="176" fillId="0" borderId="2" xfId="0" applyNumberFormat="1" applyFont="1" applyBorder="1" applyAlignment="1">
      <alignment horizontal="center"/>
    </xf>
    <xf numFmtId="170" fontId="176" fillId="0" borderId="23" xfId="0" applyNumberFormat="1" applyFont="1" applyBorder="1" applyAlignment="1">
      <alignment horizontal="center"/>
    </xf>
    <xf numFmtId="0" fontId="12" fillId="50" borderId="0" xfId="0" applyFont="1" applyFill="1"/>
    <xf numFmtId="0" fontId="34" fillId="31" borderId="129" xfId="0" applyFont="1" applyFill="1" applyBorder="1" applyAlignment="1">
      <alignment horizontal="center" vertical="center" wrapText="1"/>
    </xf>
    <xf numFmtId="0" fontId="34" fillId="31" borderId="0" xfId="0" applyFont="1" applyFill="1" applyBorder="1" applyAlignment="1">
      <alignment horizontal="center" vertical="center" wrapText="1"/>
    </xf>
    <xf numFmtId="0" fontId="177" fillId="0" borderId="0" xfId="0" applyFont="1" applyAlignment="1">
      <alignment horizontal="left" vertical="top"/>
    </xf>
    <xf numFmtId="170" fontId="177" fillId="0" borderId="0" xfId="0" applyNumberFormat="1" applyFont="1" applyAlignment="1">
      <alignment horizontal="left" vertical="top"/>
    </xf>
    <xf numFmtId="0" fontId="177" fillId="0" borderId="0" xfId="0" applyFont="1" applyAlignment="1">
      <alignment horizontal="left"/>
    </xf>
    <xf numFmtId="170" fontId="178" fillId="0" borderId="0" xfId="0" applyNumberFormat="1" applyFont="1" applyAlignment="1">
      <alignment horizontal="left"/>
    </xf>
    <xf numFmtId="0" fontId="85" fillId="85" borderId="97" xfId="991" applyFont="1" applyFill="1" applyBorder="1" applyAlignment="1">
      <alignment horizontal="right" wrapText="1"/>
    </xf>
    <xf numFmtId="0" fontId="85" fillId="31" borderId="130" xfId="991" applyFont="1" applyFill="1" applyBorder="1" applyAlignment="1">
      <alignment horizontal="right" vertical="center" wrapText="1"/>
    </xf>
    <xf numFmtId="0" fontId="39" fillId="0" borderId="0" xfId="0" applyFont="1"/>
    <xf numFmtId="0" fontId="143" fillId="0" borderId="132" xfId="0" applyFont="1" applyBorder="1" applyAlignment="1">
      <alignment vertical="center"/>
    </xf>
    <xf numFmtId="0" fontId="145" fillId="0" borderId="132" xfId="0" applyFont="1" applyBorder="1" applyAlignment="1">
      <alignment vertical="center" wrapText="1"/>
    </xf>
    <xf numFmtId="0" fontId="143" fillId="0" borderId="0" xfId="0" applyFont="1" applyAlignment="1">
      <alignment horizontal="right" vertical="center"/>
    </xf>
    <xf numFmtId="0" fontId="143" fillId="0" borderId="132" xfId="0" applyFont="1" applyBorder="1" applyAlignment="1">
      <alignment horizontal="right" vertical="center"/>
    </xf>
    <xf numFmtId="0" fontId="145" fillId="0" borderId="132" xfId="0" applyFont="1" applyBorder="1" applyAlignment="1">
      <alignment vertical="center"/>
    </xf>
    <xf numFmtId="0" fontId="39" fillId="0" borderId="0" xfId="0" applyFont="1" applyAlignment="1">
      <alignment vertical="center"/>
    </xf>
    <xf numFmtId="0" fontId="179" fillId="0" borderId="0" xfId="0" applyFont="1" applyAlignment="1">
      <alignment vertical="center"/>
    </xf>
    <xf numFmtId="0" fontId="34" fillId="86" borderId="130" xfId="0" applyNumberFormat="1" applyFont="1" applyFill="1" applyBorder="1" applyAlignment="1" applyProtection="1">
      <alignment horizontal="left" vertical="center" wrapText="1"/>
    </xf>
    <xf numFmtId="0" fontId="48" fillId="87" borderId="94" xfId="0" applyNumberFormat="1" applyFont="1" applyFill="1" applyBorder="1" applyAlignment="1" applyProtection="1">
      <alignment horizontal="left" vertical="center" wrapText="1"/>
    </xf>
    <xf numFmtId="0" fontId="12" fillId="0" borderId="96" xfId="0" applyFont="1" applyBorder="1"/>
    <xf numFmtId="188" fontId="0" fillId="0" borderId="0" xfId="0" applyNumberFormat="1"/>
    <xf numFmtId="0" fontId="180" fillId="0" borderId="0" xfId="10689" applyFont="1"/>
    <xf numFmtId="173" fontId="180" fillId="0" borderId="0" xfId="10689" applyNumberFormat="1" applyFont="1"/>
    <xf numFmtId="0" fontId="183" fillId="0" borderId="0" xfId="10689" applyFont="1" applyAlignment="1">
      <alignment horizontal="center" vertical="center"/>
    </xf>
    <xf numFmtId="0" fontId="182" fillId="0" borderId="23" xfId="10691" applyFont="1" applyBorder="1" applyAlignment="1">
      <alignment horizontal="center" vertical="center" wrapText="1"/>
    </xf>
    <xf numFmtId="0" fontId="182" fillId="0" borderId="23" xfId="10690" applyFont="1" applyBorder="1" applyAlignment="1">
      <alignment horizontal="center" vertical="center" wrapText="1"/>
    </xf>
    <xf numFmtId="0" fontId="184" fillId="0" borderId="0" xfId="10689" applyFont="1" applyAlignment="1">
      <alignment horizontal="center" vertical="center"/>
    </xf>
    <xf numFmtId="0" fontId="180" fillId="0" borderId="74" xfId="10690" applyFont="1" applyBorder="1" applyAlignment="1">
      <alignment horizontal="left" wrapText="1"/>
    </xf>
    <xf numFmtId="0" fontId="180" fillId="0" borderId="163" xfId="10690" applyFont="1" applyBorder="1" applyAlignment="1">
      <alignment horizontal="left"/>
    </xf>
    <xf numFmtId="0" fontId="180" fillId="0" borderId="163" xfId="10690" applyFont="1" applyBorder="1" applyAlignment="1">
      <alignment wrapText="1"/>
    </xf>
    <xf numFmtId="0" fontId="180" fillId="0" borderId="163" xfId="10690" applyFont="1" applyBorder="1" applyAlignment="1">
      <alignment horizontal="left" indent="1"/>
    </xf>
    <xf numFmtId="0" fontId="180" fillId="0" borderId="163" xfId="10690" applyFont="1" applyBorder="1"/>
    <xf numFmtId="0" fontId="181" fillId="0" borderId="163" xfId="10690" applyFont="1" applyBorder="1" applyAlignment="1">
      <alignment horizontal="left"/>
    </xf>
    <xf numFmtId="0" fontId="181" fillId="0" borderId="163" xfId="10690" applyFont="1" applyBorder="1"/>
    <xf numFmtId="169" fontId="180" fillId="0" borderId="0" xfId="10689" applyNumberFormat="1" applyFont="1"/>
    <xf numFmtId="192" fontId="180" fillId="0" borderId="0" xfId="10689" applyNumberFormat="1" applyFont="1"/>
    <xf numFmtId="0" fontId="180" fillId="0" borderId="163" xfId="10690" applyFont="1" applyBorder="1" applyAlignment="1">
      <alignment horizontal="left" wrapText="1" indent="1"/>
    </xf>
    <xf numFmtId="0" fontId="181" fillId="0" borderId="163" xfId="10690" applyFont="1" applyBorder="1" applyAlignment="1">
      <alignment wrapText="1"/>
    </xf>
    <xf numFmtId="0" fontId="181" fillId="0" borderId="163" xfId="10690" applyFont="1" applyBorder="1" applyAlignment="1">
      <alignment horizontal="left" indent="1"/>
    </xf>
    <xf numFmtId="0" fontId="180" fillId="0" borderId="163" xfId="10690" applyFont="1" applyBorder="1" applyAlignment="1">
      <alignment horizontal="left" wrapText="1" indent="2"/>
    </xf>
    <xf numFmtId="0" fontId="180" fillId="0" borderId="163" xfId="10690" applyFont="1" applyBorder="1" applyAlignment="1">
      <alignment horizontal="left" indent="2"/>
    </xf>
    <xf numFmtId="0" fontId="181" fillId="0" borderId="0" xfId="10689" applyFont="1"/>
    <xf numFmtId="173" fontId="181" fillId="0" borderId="0" xfId="10689" applyNumberFormat="1" applyFont="1"/>
    <xf numFmtId="0" fontId="181" fillId="0" borderId="163" xfId="10690" applyFont="1" applyBorder="1" applyAlignment="1">
      <alignment horizontal="left" wrapText="1" indent="1"/>
    </xf>
    <xf numFmtId="0" fontId="180" fillId="0" borderId="163" xfId="10691" applyFont="1" applyBorder="1" applyAlignment="1">
      <alignment horizontal="left" wrapText="1" indent="2"/>
    </xf>
    <xf numFmtId="0" fontId="181" fillId="0" borderId="165" xfId="10690" applyFont="1" applyBorder="1" applyAlignment="1">
      <alignment wrapText="1"/>
    </xf>
    <xf numFmtId="171" fontId="12" fillId="0" borderId="12" xfId="0" applyNumberFormat="1" applyFont="1" applyFill="1" applyBorder="1"/>
    <xf numFmtId="0" fontId="34" fillId="0" borderId="0" xfId="0" applyNumberFormat="1" applyFont="1" applyFill="1" applyBorder="1" applyAlignment="1" applyProtection="1">
      <alignment horizontal="left" vertical="center" wrapText="1"/>
    </xf>
    <xf numFmtId="0" fontId="48" fillId="0" borderId="0" xfId="0" applyNumberFormat="1" applyFont="1" applyFill="1" applyBorder="1" applyAlignment="1" applyProtection="1">
      <alignment horizontal="left" vertical="center" wrapText="1"/>
    </xf>
    <xf numFmtId="0" fontId="183" fillId="0" borderId="0" xfId="10689" applyFont="1"/>
    <xf numFmtId="173" fontId="181" fillId="0" borderId="166" xfId="2616" applyNumberFormat="1" applyFont="1" applyBorder="1" applyAlignment="1">
      <alignment horizontal="right"/>
    </xf>
    <xf numFmtId="173" fontId="180" fillId="0" borderId="23" xfId="2616" applyNumberFormat="1" applyFont="1" applyBorder="1" applyAlignment="1">
      <alignment horizontal="right"/>
    </xf>
    <xf numFmtId="173" fontId="181" fillId="0" borderId="23" xfId="2616" applyNumberFormat="1" applyFont="1" applyBorder="1" applyAlignment="1">
      <alignment horizontal="right"/>
    </xf>
    <xf numFmtId="0" fontId="181" fillId="0" borderId="165" xfId="2616" applyFont="1" applyBorder="1" applyAlignment="1">
      <alignment wrapText="1"/>
    </xf>
    <xf numFmtId="173" fontId="180" fillId="0" borderId="164" xfId="2616" applyNumberFormat="1" applyFont="1" applyBorder="1" applyAlignment="1">
      <alignment horizontal="right"/>
    </xf>
    <xf numFmtId="173" fontId="180" fillId="0" borderId="2" xfId="2616" applyNumberFormat="1" applyFont="1" applyBorder="1" applyAlignment="1">
      <alignment horizontal="right"/>
    </xf>
    <xf numFmtId="0" fontId="180" fillId="0" borderId="163" xfId="2616" applyFont="1" applyBorder="1" applyAlignment="1">
      <alignment horizontal="left" indent="2"/>
    </xf>
    <xf numFmtId="0" fontId="180" fillId="0" borderId="163" xfId="2616" applyFont="1" applyBorder="1" applyAlignment="1">
      <alignment horizontal="left" wrapText="1" indent="2"/>
    </xf>
    <xf numFmtId="173" fontId="181" fillId="0" borderId="164" xfId="2616" applyNumberFormat="1" applyFont="1" applyBorder="1" applyAlignment="1">
      <alignment horizontal="right"/>
    </xf>
    <xf numFmtId="173" fontId="181" fillId="0" borderId="2" xfId="2616" applyNumberFormat="1" applyFont="1" applyBorder="1" applyAlignment="1">
      <alignment horizontal="right"/>
    </xf>
    <xf numFmtId="0" fontId="181" fillId="0" borderId="163" xfId="2616" applyFont="1" applyBorder="1" applyAlignment="1">
      <alignment horizontal="left" wrapText="1" indent="1"/>
    </xf>
    <xf numFmtId="173" fontId="180" fillId="0" borderId="2" xfId="2616" applyNumberFormat="1" applyFont="1" applyBorder="1"/>
    <xf numFmtId="0" fontId="181" fillId="0" borderId="163" xfId="2616" applyFont="1" applyBorder="1" applyAlignment="1">
      <alignment horizontal="left" indent="1"/>
    </xf>
    <xf numFmtId="0" fontId="181" fillId="0" borderId="163" xfId="2616" applyFont="1" applyBorder="1" applyAlignment="1">
      <alignment wrapText="1"/>
    </xf>
    <xf numFmtId="0" fontId="180" fillId="0" borderId="163" xfId="2616" applyFont="1" applyBorder="1" applyAlignment="1">
      <alignment horizontal="left" indent="1"/>
    </xf>
    <xf numFmtId="0" fontId="180" fillId="0" borderId="163" xfId="2616" applyFont="1" applyBorder="1" applyAlignment="1">
      <alignment horizontal="left" wrapText="1" indent="1"/>
    </xf>
    <xf numFmtId="0" fontId="181" fillId="0" borderId="163" xfId="2616" applyFont="1" applyBorder="1"/>
    <xf numFmtId="0" fontId="181" fillId="0" borderId="163" xfId="2616" applyFont="1" applyBorder="1" applyAlignment="1">
      <alignment horizontal="left"/>
    </xf>
    <xf numFmtId="0" fontId="180" fillId="0" borderId="163" xfId="2616" applyFont="1" applyBorder="1"/>
    <xf numFmtId="0" fontId="180" fillId="0" borderId="163" xfId="2616" applyFont="1" applyBorder="1" applyAlignment="1">
      <alignment wrapText="1"/>
    </xf>
    <xf numFmtId="0" fontId="180" fillId="0" borderId="163" xfId="2616" applyFont="1" applyBorder="1" applyAlignment="1">
      <alignment horizontal="left"/>
    </xf>
    <xf numFmtId="173" fontId="180" fillId="0" borderId="162" xfId="2616" applyNumberFormat="1" applyFont="1" applyBorder="1" applyAlignment="1">
      <alignment horizontal="right"/>
    </xf>
    <xf numFmtId="173" fontId="180" fillId="0" borderId="42" xfId="2616" applyNumberFormat="1" applyFont="1" applyBorder="1" applyAlignment="1">
      <alignment horizontal="right"/>
    </xf>
    <xf numFmtId="0" fontId="180" fillId="0" borderId="74" xfId="2616" applyFont="1" applyBorder="1" applyAlignment="1">
      <alignment horizontal="left" wrapText="1"/>
    </xf>
    <xf numFmtId="0" fontId="180" fillId="0" borderId="0" xfId="10689" applyFont="1" applyAlignment="1">
      <alignment horizontal="center" vertical="center"/>
    </xf>
    <xf numFmtId="0" fontId="181" fillId="0" borderId="23" xfId="10691" applyFont="1" applyBorder="1" applyAlignment="1">
      <alignment horizontal="center" vertical="center" wrapText="1"/>
    </xf>
    <xf numFmtId="0" fontId="181" fillId="0" borderId="23" xfId="2616" applyFont="1" applyBorder="1" applyAlignment="1">
      <alignment horizontal="center" vertical="center" wrapText="1"/>
    </xf>
    <xf numFmtId="0" fontId="181" fillId="0" borderId="0" xfId="10689" applyFont="1" applyAlignment="1">
      <alignment horizontal="center" vertical="center"/>
    </xf>
    <xf numFmtId="173" fontId="180" fillId="0" borderId="42" xfId="10689" applyNumberFormat="1" applyFont="1" applyBorder="1" applyAlignment="1">
      <alignment horizontal="right"/>
    </xf>
    <xf numFmtId="173" fontId="180" fillId="0" borderId="162" xfId="10689" applyNumberFormat="1" applyFont="1" applyBorder="1" applyAlignment="1">
      <alignment horizontal="right"/>
    </xf>
    <xf numFmtId="173" fontId="180" fillId="0" borderId="2" xfId="10689" applyNumberFormat="1" applyFont="1" applyBorder="1" applyAlignment="1">
      <alignment horizontal="right"/>
    </xf>
    <xf numFmtId="173" fontId="180" fillId="0" borderId="164" xfId="10689" applyNumberFormat="1" applyFont="1" applyBorder="1" applyAlignment="1">
      <alignment horizontal="right"/>
    </xf>
    <xf numFmtId="173" fontId="181" fillId="0" borderId="2" xfId="10689" applyNumberFormat="1" applyFont="1" applyBorder="1" applyAlignment="1">
      <alignment horizontal="right"/>
    </xf>
    <xf numFmtId="173" fontId="181" fillId="0" borderId="164" xfId="10689" applyNumberFormat="1" applyFont="1" applyBorder="1" applyAlignment="1">
      <alignment horizontal="right"/>
    </xf>
    <xf numFmtId="0" fontId="180" fillId="0" borderId="163" xfId="10691" applyFont="1" applyBorder="1" applyAlignment="1">
      <alignment horizontal="left" indent="2"/>
    </xf>
    <xf numFmtId="173" fontId="181" fillId="0" borderId="23" xfId="10689" applyNumberFormat="1" applyFont="1" applyBorder="1" applyAlignment="1">
      <alignment horizontal="right"/>
    </xf>
    <xf numFmtId="173" fontId="180" fillId="0" borderId="23" xfId="10689" applyNumberFormat="1" applyFont="1" applyBorder="1" applyAlignment="1">
      <alignment horizontal="right"/>
    </xf>
    <xf numFmtId="173" fontId="181" fillId="0" borderId="166" xfId="10689" applyNumberFormat="1" applyFont="1" applyBorder="1" applyAlignment="1">
      <alignment horizontal="right"/>
    </xf>
    <xf numFmtId="0" fontId="180" fillId="0" borderId="132" xfId="2616" applyFont="1" applyBorder="1" applyAlignment="1"/>
    <xf numFmtId="0" fontId="180" fillId="0" borderId="132" xfId="10690" applyFont="1" applyBorder="1" applyAlignment="1"/>
    <xf numFmtId="169" fontId="127" fillId="0" borderId="0" xfId="0" applyNumberFormat="1" applyFont="1"/>
    <xf numFmtId="1" fontId="127" fillId="50" borderId="0" xfId="2611" applyNumberFormat="1" applyFont="1" applyFill="1" applyAlignment="1">
      <alignment horizontal="center"/>
    </xf>
    <xf numFmtId="0" fontId="186" fillId="101" borderId="0" xfId="10692" applyFont="1" applyFill="1" applyAlignment="1">
      <alignment wrapText="1"/>
    </xf>
    <xf numFmtId="0" fontId="186" fillId="101" borderId="0" xfId="10692" applyFont="1" applyFill="1" applyAlignment="1">
      <alignment horizontal="right"/>
    </xf>
    <xf numFmtId="0" fontId="186" fillId="101" borderId="0" xfId="10692" applyFont="1" applyFill="1" applyAlignment="1">
      <alignment horizontal="right" wrapText="1"/>
    </xf>
    <xf numFmtId="0" fontId="185" fillId="0" borderId="0" xfId="10692"/>
    <xf numFmtId="0" fontId="188" fillId="0" borderId="0" xfId="10692" applyFont="1"/>
    <xf numFmtId="0" fontId="189" fillId="0" borderId="0" xfId="10692" applyFont="1" applyAlignment="1">
      <alignment horizontal="right"/>
    </xf>
    <xf numFmtId="0" fontId="189" fillId="0" borderId="0" xfId="10692" applyFont="1" applyAlignment="1">
      <alignment horizontal="left" indent="1"/>
    </xf>
    <xf numFmtId="173" fontId="189" fillId="0" borderId="0" xfId="10692" applyNumberFormat="1" applyFont="1" applyAlignment="1">
      <alignment horizontal="right"/>
    </xf>
    <xf numFmtId="196" fontId="189" fillId="0" borderId="0" xfId="10692" applyNumberFormat="1" applyFont="1" applyAlignment="1">
      <alignment horizontal="right"/>
    </xf>
    <xf numFmtId="0" fontId="191" fillId="0" borderId="0" xfId="10692" applyFont="1" applyAlignment="1">
      <alignment wrapText="1"/>
    </xf>
    <xf numFmtId="0" fontId="191" fillId="0" borderId="0" xfId="10692" applyFont="1" applyAlignment="1">
      <alignment horizontal="right"/>
    </xf>
    <xf numFmtId="0" fontId="188" fillId="0" borderId="0" xfId="10692" applyFont="1" applyAlignment="1">
      <alignment horizontal="left"/>
    </xf>
    <xf numFmtId="0" fontId="189" fillId="0" borderId="0" xfId="10692" applyFont="1" applyAlignment="1">
      <alignment horizontal="left" indent="6"/>
    </xf>
    <xf numFmtId="0" fontId="189" fillId="0" borderId="0" xfId="10693" applyNumberFormat="1" applyFont="1" applyBorder="1" applyAlignment="1" applyProtection="1">
      <alignment horizontal="left" indent="1"/>
    </xf>
    <xf numFmtId="0" fontId="189" fillId="0" borderId="0" xfId="10693" applyNumberFormat="1" applyFont="1" applyBorder="1" applyAlignment="1" applyProtection="1">
      <alignment horizontal="left" indent="6"/>
    </xf>
    <xf numFmtId="0" fontId="186" fillId="101" borderId="0" xfId="10692" applyFont="1" applyFill="1" applyAlignment="1">
      <alignment horizontal="left"/>
    </xf>
    <xf numFmtId="0" fontId="191" fillId="0" borderId="0" xfId="10692" applyFont="1" applyAlignment="1">
      <alignment horizontal="left"/>
    </xf>
    <xf numFmtId="0" fontId="34" fillId="31" borderId="0" xfId="0" applyFont="1" applyFill="1" applyBorder="1" applyAlignment="1">
      <alignment horizontal="left" vertical="center" wrapText="1"/>
    </xf>
    <xf numFmtId="173" fontId="192" fillId="0" borderId="42" xfId="0" applyNumberFormat="1" applyFont="1" applyBorder="1" applyAlignment="1">
      <alignment horizontal="right"/>
    </xf>
    <xf numFmtId="173" fontId="192" fillId="0" borderId="162" xfId="0" applyNumberFormat="1" applyFont="1" applyBorder="1" applyAlignment="1">
      <alignment horizontal="right"/>
    </xf>
    <xf numFmtId="173" fontId="192" fillId="0" borderId="2" xfId="0" applyNumberFormat="1" applyFont="1" applyBorder="1" applyAlignment="1">
      <alignment horizontal="right"/>
    </xf>
    <xf numFmtId="173" fontId="192" fillId="0" borderId="164" xfId="0" applyNumberFormat="1" applyFont="1" applyBorder="1" applyAlignment="1">
      <alignment horizontal="right"/>
    </xf>
    <xf numFmtId="173" fontId="193" fillId="0" borderId="2" xfId="0" applyNumberFormat="1" applyFont="1" applyBorder="1" applyAlignment="1">
      <alignment horizontal="right"/>
    </xf>
    <xf numFmtId="173" fontId="193" fillId="0" borderId="164" xfId="0" applyNumberFormat="1" applyFont="1" applyBorder="1" applyAlignment="1">
      <alignment horizontal="right"/>
    </xf>
    <xf numFmtId="173" fontId="193" fillId="0" borderId="23" xfId="0" applyNumberFormat="1" applyFont="1" applyBorder="1" applyAlignment="1">
      <alignment horizontal="right"/>
    </xf>
    <xf numFmtId="173" fontId="192" fillId="0" borderId="23" xfId="0" applyNumberFormat="1" applyFont="1" applyBorder="1" applyAlignment="1">
      <alignment horizontal="right"/>
    </xf>
    <xf numFmtId="173" fontId="193" fillId="0" borderId="166" xfId="0" applyNumberFormat="1" applyFont="1" applyBorder="1" applyAlignment="1">
      <alignment horizontal="right"/>
    </xf>
    <xf numFmtId="9" fontId="127" fillId="0" borderId="0" xfId="1473" applyFont="1" applyBorder="1"/>
    <xf numFmtId="0" fontId="1" fillId="0" borderId="0" xfId="10694" applyAlignment="1">
      <alignment horizontal="left"/>
    </xf>
    <xf numFmtId="0" fontId="194" fillId="0" borderId="0" xfId="10694" applyFont="1" applyAlignment="1">
      <alignment horizontal="left"/>
    </xf>
    <xf numFmtId="0" fontId="195" fillId="0" borderId="0" xfId="10694" applyFont="1"/>
    <xf numFmtId="0" fontId="194" fillId="0" borderId="0" xfId="10694" applyFont="1"/>
    <xf numFmtId="0" fontId="196" fillId="0" borderId="0" xfId="10694" applyFont="1"/>
    <xf numFmtId="0" fontId="1" fillId="0" borderId="0" xfId="10694"/>
    <xf numFmtId="0" fontId="32" fillId="0" borderId="0" xfId="10694" applyFont="1" applyAlignment="1">
      <alignment horizontal="center"/>
    </xf>
    <xf numFmtId="0" fontId="1" fillId="0" borderId="0" xfId="10694" applyAlignment="1">
      <alignment horizontal="center"/>
    </xf>
    <xf numFmtId="0" fontId="39" fillId="0" borderId="0" xfId="10694" applyFont="1" applyAlignment="1">
      <alignment horizontal="left"/>
    </xf>
    <xf numFmtId="0" fontId="133" fillId="0" borderId="0" xfId="10694" applyFont="1" applyAlignment="1">
      <alignment horizontal="left"/>
    </xf>
    <xf numFmtId="0" fontId="1" fillId="102" borderId="0" xfId="10694" applyFill="1"/>
    <xf numFmtId="0" fontId="1" fillId="50" borderId="0" xfId="10694" applyFill="1"/>
    <xf numFmtId="0" fontId="1" fillId="45" borderId="0" xfId="10694" applyFill="1" applyAlignment="1">
      <alignment horizontal="left"/>
    </xf>
    <xf numFmtId="0" fontId="1" fillId="103" borderId="0" xfId="10694" applyFill="1" applyAlignment="1">
      <alignment horizontal="left"/>
    </xf>
    <xf numFmtId="0" fontId="1" fillId="104" borderId="0" xfId="10694" applyFill="1" applyAlignment="1">
      <alignment horizontal="left"/>
    </xf>
    <xf numFmtId="0" fontId="1" fillId="105" borderId="0" xfId="10694" applyFill="1" applyAlignment="1">
      <alignment horizontal="left"/>
    </xf>
    <xf numFmtId="0" fontId="1" fillId="106" borderId="0" xfId="10694" applyFill="1" applyAlignment="1">
      <alignment horizontal="left"/>
    </xf>
    <xf numFmtId="0" fontId="1" fillId="107" borderId="0" xfId="10694" applyFill="1" applyAlignment="1">
      <alignment horizontal="left"/>
    </xf>
    <xf numFmtId="0" fontId="1" fillId="94" borderId="0" xfId="10694" applyFill="1" applyAlignment="1">
      <alignment horizontal="left"/>
    </xf>
    <xf numFmtId="0" fontId="1" fillId="47" borderId="0" xfId="10694" applyFill="1" applyAlignment="1">
      <alignment horizontal="left"/>
    </xf>
    <xf numFmtId="0" fontId="1" fillId="108" borderId="0" xfId="10694" applyFill="1" applyAlignment="1">
      <alignment horizontal="left"/>
    </xf>
    <xf numFmtId="0" fontId="1" fillId="54" borderId="0" xfId="10694" applyFill="1" applyAlignment="1">
      <alignment horizontal="left"/>
    </xf>
    <xf numFmtId="0" fontId="32" fillId="0" borderId="0" xfId="10694" applyFont="1" applyAlignment="1">
      <alignment horizontal="left"/>
    </xf>
    <xf numFmtId="0" fontId="0" fillId="0" borderId="129" xfId="0" applyFill="1" applyBorder="1"/>
    <xf numFmtId="171" fontId="0" fillId="0" borderId="129" xfId="0" applyNumberFormat="1" applyFill="1" applyBorder="1"/>
    <xf numFmtId="171" fontId="0" fillId="0" borderId="129" xfId="0" applyNumberFormat="1" applyFill="1" applyBorder="1" applyAlignment="1">
      <alignment wrapText="1"/>
    </xf>
    <xf numFmtId="171" fontId="13" fillId="0" borderId="129" xfId="0" applyNumberFormat="1" applyFont="1" applyFill="1" applyBorder="1"/>
    <xf numFmtId="171" fontId="12" fillId="0" borderId="129" xfId="0" applyNumberFormat="1" applyFont="1" applyFill="1" applyBorder="1"/>
    <xf numFmtId="0" fontId="0" fillId="0" borderId="129" xfId="0" applyBorder="1"/>
    <xf numFmtId="171" fontId="0" fillId="0" borderId="129" xfId="0" applyNumberFormat="1" applyBorder="1"/>
    <xf numFmtId="170" fontId="12" fillId="100" borderId="0" xfId="2611" applyNumberFormat="1" applyFill="1"/>
    <xf numFmtId="170" fontId="127" fillId="100" borderId="0" xfId="2611" applyNumberFormat="1" applyFont="1" applyFill="1"/>
    <xf numFmtId="194" fontId="12" fillId="0" borderId="0" xfId="2611" applyNumberFormat="1"/>
    <xf numFmtId="195" fontId="12" fillId="0" borderId="0" xfId="2611" applyNumberFormat="1"/>
    <xf numFmtId="193" fontId="12" fillId="0" borderId="0" xfId="2611" applyNumberFormat="1"/>
    <xf numFmtId="0" fontId="47" fillId="0" borderId="0" xfId="2611" applyFont="1" applyAlignment="1">
      <alignment horizontal="right"/>
    </xf>
    <xf numFmtId="0" fontId="47" fillId="32" borderId="0" xfId="2611" applyFont="1" applyFill="1" applyAlignment="1">
      <alignment horizontal="right"/>
    </xf>
    <xf numFmtId="0" fontId="47" fillId="32" borderId="13" xfId="2611" applyFont="1" applyFill="1" applyBorder="1" applyAlignment="1">
      <alignment horizontal="right"/>
    </xf>
    <xf numFmtId="0" fontId="47" fillId="32" borderId="132" xfId="2611" applyFont="1" applyFill="1" applyBorder="1" applyAlignment="1">
      <alignment horizontal="right"/>
    </xf>
    <xf numFmtId="0" fontId="47" fillId="32" borderId="50" xfId="2611" applyFont="1" applyFill="1" applyBorder="1" applyAlignment="1">
      <alignment horizontal="right"/>
    </xf>
    <xf numFmtId="0" fontId="47" fillId="32" borderId="13" xfId="2611" applyFont="1" applyFill="1" applyBorder="1" applyAlignment="1">
      <alignment horizontal="left"/>
    </xf>
    <xf numFmtId="0" fontId="47" fillId="0" borderId="0" xfId="2611" applyFont="1" applyAlignment="1">
      <alignment horizontal="center" vertical="center" wrapText="1"/>
    </xf>
    <xf numFmtId="0" fontId="12" fillId="0" borderId="0" xfId="2611" quotePrefix="1"/>
    <xf numFmtId="0" fontId="47" fillId="29" borderId="0" xfId="2611" applyFont="1" applyFill="1" applyAlignment="1">
      <alignment horizontal="center" vertical="center" wrapText="1"/>
    </xf>
    <xf numFmtId="0" fontId="47" fillId="29" borderId="13" xfId="2611" applyFont="1" applyFill="1" applyBorder="1" applyAlignment="1">
      <alignment horizontal="center" vertical="center" wrapText="1"/>
    </xf>
    <xf numFmtId="0" fontId="47" fillId="29" borderId="13" xfId="2611" applyFont="1" applyFill="1" applyBorder="1" applyAlignment="1">
      <alignment horizontal="right" vertical="center" wrapText="1"/>
    </xf>
    <xf numFmtId="0" fontId="47" fillId="29" borderId="25" xfId="2611" applyFont="1" applyFill="1" applyBorder="1" applyAlignment="1">
      <alignment horizontal="right" vertical="center" wrapText="1"/>
    </xf>
    <xf numFmtId="0" fontId="47" fillId="29" borderId="13" xfId="2611" applyFont="1" applyFill="1" applyBorder="1" applyAlignment="1">
      <alignment horizontal="left" vertical="center" wrapText="1"/>
    </xf>
    <xf numFmtId="0" fontId="34" fillId="0" borderId="0" xfId="2611" applyFont="1" applyAlignment="1">
      <alignment horizontal="right" vertical="center" wrapText="1"/>
    </xf>
    <xf numFmtId="0" fontId="34" fillId="0" borderId="0" xfId="2611" applyFont="1" applyAlignment="1">
      <alignment horizontal="left" vertical="center" wrapText="1"/>
    </xf>
    <xf numFmtId="0" fontId="34" fillId="31" borderId="0" xfId="2611" applyFont="1" applyFill="1" applyAlignment="1">
      <alignment horizontal="right" vertical="center" wrapText="1"/>
    </xf>
    <xf numFmtId="0" fontId="34" fillId="31" borderId="129" xfId="2611" applyFont="1" applyFill="1" applyBorder="1" applyAlignment="1">
      <alignment horizontal="right" vertical="center" wrapText="1"/>
    </xf>
    <xf numFmtId="0" fontId="34" fillId="31" borderId="130" xfId="2611" applyFont="1" applyFill="1" applyBorder="1" applyAlignment="1">
      <alignment horizontal="left" vertical="center" wrapText="1"/>
    </xf>
    <xf numFmtId="0" fontId="34" fillId="31" borderId="129" xfId="2611" applyFont="1" applyFill="1" applyBorder="1" applyAlignment="1">
      <alignment horizontal="center" vertical="center" wrapText="1"/>
    </xf>
    <xf numFmtId="0" fontId="34" fillId="31" borderId="156" xfId="2611" applyFont="1" applyFill="1" applyBorder="1" applyAlignment="1">
      <alignment horizontal="left" vertical="center" wrapText="1"/>
    </xf>
    <xf numFmtId="0" fontId="34" fillId="0" borderId="0" xfId="2611" applyFont="1"/>
    <xf numFmtId="171" fontId="0" fillId="0" borderId="0" xfId="0" applyNumberFormat="1" applyFont="1"/>
    <xf numFmtId="0" fontId="0" fillId="98" borderId="0" xfId="0" applyFill="1"/>
    <xf numFmtId="171" fontId="12" fillId="0" borderId="14" xfId="0" applyNumberFormat="1" applyFont="1" applyBorder="1"/>
    <xf numFmtId="0" fontId="197" fillId="0" borderId="0" xfId="10695"/>
    <xf numFmtId="0" fontId="198" fillId="0" borderId="0" xfId="10695" applyFont="1" applyAlignment="1">
      <alignment horizontal="left" vertical="center"/>
    </xf>
    <xf numFmtId="0" fontId="199" fillId="0" borderId="0" xfId="10695" applyFont="1" applyAlignment="1">
      <alignment horizontal="left" vertical="center"/>
    </xf>
    <xf numFmtId="3" fontId="198" fillId="109" borderId="0" xfId="10695" applyNumberFormat="1" applyFont="1" applyFill="1" applyAlignment="1">
      <alignment horizontal="right" vertical="center" shrinkToFit="1"/>
    </xf>
    <xf numFmtId="198" fontId="198" fillId="109" borderId="0" xfId="10695" applyNumberFormat="1" applyFont="1" applyFill="1" applyAlignment="1">
      <alignment horizontal="right" vertical="center" shrinkToFit="1"/>
    </xf>
    <xf numFmtId="0" fontId="199" fillId="110" borderId="169" xfId="10695" applyFont="1" applyFill="1" applyBorder="1" applyAlignment="1">
      <alignment horizontal="left" vertical="center"/>
    </xf>
    <xf numFmtId="3" fontId="198" fillId="0" borderId="0" xfId="10695" applyNumberFormat="1" applyFont="1" applyAlignment="1">
      <alignment horizontal="right" vertical="center" shrinkToFit="1"/>
    </xf>
    <xf numFmtId="198" fontId="198" fillId="0" borderId="0" xfId="10695" applyNumberFormat="1" applyFont="1" applyAlignment="1">
      <alignment horizontal="right" vertical="center" shrinkToFit="1"/>
    </xf>
    <xf numFmtId="192" fontId="198" fillId="109" borderId="0" xfId="10695" applyNumberFormat="1" applyFont="1" applyFill="1" applyAlignment="1">
      <alignment horizontal="right" vertical="center" shrinkToFit="1"/>
    </xf>
    <xf numFmtId="192" fontId="198" fillId="0" borderId="0" xfId="10695" applyNumberFormat="1" applyFont="1" applyAlignment="1">
      <alignment horizontal="right" vertical="center" shrinkToFit="1"/>
    </xf>
    <xf numFmtId="0" fontId="197" fillId="111" borderId="0" xfId="10695" applyFill="1"/>
    <xf numFmtId="0" fontId="199" fillId="112" borderId="169" xfId="10695" applyFont="1" applyFill="1" applyBorder="1" applyAlignment="1">
      <alignment horizontal="left" vertical="center"/>
    </xf>
    <xf numFmtId="0" fontId="198" fillId="109" borderId="0" xfId="10695" applyFont="1" applyFill="1" applyAlignment="1">
      <alignment horizontal="left" vertical="center"/>
    </xf>
    <xf numFmtId="0" fontId="199" fillId="109" borderId="0" xfId="10695" applyFont="1" applyFill="1" applyAlignment="1">
      <alignment horizontal="left" vertical="center"/>
    </xf>
    <xf numFmtId="0" fontId="201" fillId="109" borderId="0" xfId="10695" applyFont="1" applyFill="1" applyAlignment="1">
      <alignment horizontal="left" vertical="center"/>
    </xf>
    <xf numFmtId="0" fontId="202" fillId="0" borderId="0" xfId="10695" applyFont="1" applyAlignment="1">
      <alignment horizontal="left" vertical="center"/>
    </xf>
    <xf numFmtId="0" fontId="201" fillId="0" borderId="0" xfId="10695" applyFont="1" applyAlignment="1">
      <alignment horizontal="left" vertical="center"/>
    </xf>
    <xf numFmtId="0" fontId="198" fillId="0" borderId="0" xfId="10695" applyFont="1" applyAlignment="1">
      <alignment horizontal="left" vertical="top" wrapText="1"/>
    </xf>
    <xf numFmtId="0" fontId="202" fillId="109" borderId="0" xfId="10695" applyFont="1" applyFill="1" applyAlignment="1">
      <alignment horizontal="left" vertical="center"/>
    </xf>
    <xf numFmtId="0" fontId="143" fillId="0" borderId="0" xfId="0" applyFont="1"/>
    <xf numFmtId="1" fontId="0" fillId="0" borderId="0" xfId="0" applyNumberFormat="1" applyAlignment="1">
      <alignment horizontal="center"/>
    </xf>
    <xf numFmtId="0" fontId="203" fillId="0" borderId="0" xfId="0" applyFont="1"/>
    <xf numFmtId="0" fontId="129" fillId="114" borderId="0" xfId="0" applyFont="1" applyFill="1"/>
    <xf numFmtId="0" fontId="0" fillId="87" borderId="0" xfId="0" applyFill="1"/>
    <xf numFmtId="2" fontId="12" fillId="0" borderId="0" xfId="0" applyNumberFormat="1" applyFont="1" applyAlignment="1">
      <alignment horizontal="center"/>
    </xf>
    <xf numFmtId="192" fontId="197" fillId="0" borderId="0" xfId="10695" applyNumberFormat="1"/>
    <xf numFmtId="0" fontId="131" fillId="88" borderId="154" xfId="0" applyFont="1" applyFill="1" applyBorder="1" applyAlignment="1">
      <alignment horizontal="left" vertical="top" wrapText="1"/>
    </xf>
    <xf numFmtId="0" fontId="131" fillId="88" borderId="42" xfId="0" applyFont="1" applyFill="1" applyBorder="1" applyAlignment="1">
      <alignment horizontal="left" vertical="top" wrapText="1"/>
    </xf>
    <xf numFmtId="0" fontId="131" fillId="88" borderId="71" xfId="0" applyFont="1" applyFill="1" applyBorder="1" applyAlignment="1">
      <alignment horizontal="center" vertical="top"/>
    </xf>
    <xf numFmtId="0" fontId="131" fillId="88" borderId="58" xfId="0" applyFont="1" applyFill="1" applyBorder="1" applyAlignment="1">
      <alignment horizontal="center" vertical="top"/>
    </xf>
    <xf numFmtId="0" fontId="131" fillId="88" borderId="155" xfId="0" applyFont="1" applyFill="1" applyBorder="1" applyAlignment="1">
      <alignment horizontal="center" vertical="top"/>
    </xf>
    <xf numFmtId="0" fontId="137" fillId="0" borderId="0" xfId="0" applyFont="1" applyFill="1" applyBorder="1" applyAlignment="1">
      <alignment horizontal="center"/>
    </xf>
    <xf numFmtId="0" fontId="46" fillId="37" borderId="0" xfId="0" applyFont="1" applyFill="1" applyAlignment="1">
      <alignment horizontal="center"/>
    </xf>
    <xf numFmtId="0" fontId="143" fillId="0" borderId="66" xfId="0" applyFont="1" applyBorder="1" applyAlignment="1">
      <alignment vertical="center"/>
    </xf>
    <xf numFmtId="0" fontId="200" fillId="113" borderId="171" xfId="10695" applyFont="1" applyFill="1" applyBorder="1" applyAlignment="1">
      <alignment horizontal="center" vertical="center"/>
    </xf>
    <xf numFmtId="0" fontId="200" fillId="113" borderId="170" xfId="10695" applyFont="1" applyFill="1" applyBorder="1" applyAlignment="1">
      <alignment horizontal="center" vertical="center"/>
    </xf>
    <xf numFmtId="0" fontId="200" fillId="113" borderId="172" xfId="10695" applyFont="1" applyFill="1" applyBorder="1" applyAlignment="1">
      <alignment horizontal="center" vertical="center"/>
    </xf>
    <xf numFmtId="0" fontId="198" fillId="0" borderId="0" xfId="10695" applyFont="1" applyAlignment="1">
      <alignment horizontal="left" vertical="top" wrapText="1"/>
    </xf>
    <xf numFmtId="0" fontId="197" fillId="0" borderId="0" xfId="10695"/>
    <xf numFmtId="0" fontId="181" fillId="0" borderId="0" xfId="2616" applyFont="1" applyAlignment="1">
      <alignment horizontal="left"/>
    </xf>
    <xf numFmtId="0" fontId="182" fillId="0" borderId="38" xfId="2616" applyFont="1" applyBorder="1" applyAlignment="1">
      <alignment horizontal="center" vertical="center" wrapText="1"/>
    </xf>
    <xf numFmtId="0" fontId="182" fillId="0" borderId="23" xfId="2616" applyFont="1" applyBorder="1" applyAlignment="1">
      <alignment horizontal="center" vertical="center" wrapText="1"/>
    </xf>
    <xf numFmtId="0" fontId="182" fillId="0" borderId="38" xfId="10691" applyFont="1" applyBorder="1" applyAlignment="1">
      <alignment horizontal="center" vertical="center" wrapText="1"/>
    </xf>
    <xf numFmtId="0" fontId="182" fillId="0" borderId="23" xfId="10691" applyFont="1" applyBorder="1" applyAlignment="1">
      <alignment horizontal="center" vertical="center" wrapText="1"/>
    </xf>
    <xf numFmtId="0" fontId="182" fillId="0" borderId="167" xfId="2616" applyFont="1" applyBorder="1" applyAlignment="1">
      <alignment horizontal="center" vertical="center" wrapText="1"/>
    </xf>
    <xf numFmtId="0" fontId="182" fillId="0" borderId="166" xfId="2616" applyFont="1" applyBorder="1" applyAlignment="1">
      <alignment horizontal="center" vertical="center" wrapText="1"/>
    </xf>
    <xf numFmtId="0" fontId="182" fillId="0" borderId="168" xfId="2616" applyFont="1" applyBorder="1" applyAlignment="1">
      <alignment horizontal="center" vertical="center"/>
    </xf>
    <xf numFmtId="0" fontId="182" fillId="0" borderId="165" xfId="2616" applyFont="1" applyBorder="1" applyAlignment="1">
      <alignment horizontal="center" vertical="center"/>
    </xf>
    <xf numFmtId="0" fontId="182" fillId="0" borderId="75" xfId="10691" applyFont="1" applyBorder="1" applyAlignment="1">
      <alignment horizontal="center" vertical="center" wrapText="1"/>
    </xf>
    <xf numFmtId="0" fontId="182" fillId="0" borderId="160" xfId="10691" applyFont="1" applyBorder="1" applyAlignment="1">
      <alignment horizontal="center" vertical="center" wrapText="1"/>
    </xf>
    <xf numFmtId="0" fontId="182" fillId="0" borderId="38" xfId="10691" applyFont="1" applyBorder="1" applyAlignment="1">
      <alignment horizontal="center" vertical="center"/>
    </xf>
    <xf numFmtId="0" fontId="181" fillId="0" borderId="75" xfId="10691" applyFont="1" applyBorder="1" applyAlignment="1">
      <alignment horizontal="center" vertical="center" wrapText="1"/>
    </xf>
    <xf numFmtId="0" fontId="181" fillId="0" borderId="160" xfId="10691" applyFont="1" applyBorder="1" applyAlignment="1">
      <alignment horizontal="center" vertical="center" wrapText="1"/>
    </xf>
    <xf numFmtId="0" fontId="181" fillId="0" borderId="159" xfId="10691" applyFont="1" applyBorder="1" applyAlignment="1">
      <alignment horizontal="center" vertical="center" wrapText="1"/>
    </xf>
    <xf numFmtId="0" fontId="181" fillId="0" borderId="161" xfId="10691" applyFont="1" applyBorder="1" applyAlignment="1">
      <alignment horizontal="center" vertical="center" wrapText="1"/>
    </xf>
    <xf numFmtId="0" fontId="181" fillId="0" borderId="73" xfId="10691" applyFont="1" applyBorder="1" applyAlignment="1">
      <alignment horizontal="center" vertical="center"/>
    </xf>
    <xf numFmtId="0" fontId="181" fillId="0" borderId="56" xfId="10691" applyFont="1" applyBorder="1" applyAlignment="1">
      <alignment horizontal="center" vertical="center"/>
    </xf>
    <xf numFmtId="0" fontId="181" fillId="0" borderId="157" xfId="10691" applyFont="1" applyBorder="1" applyAlignment="1">
      <alignment horizontal="center" vertical="center"/>
    </xf>
    <xf numFmtId="0" fontId="181" fillId="0" borderId="158" xfId="10691" applyFont="1" applyBorder="1" applyAlignment="1">
      <alignment horizontal="center" vertical="center"/>
    </xf>
    <xf numFmtId="0" fontId="181" fillId="0" borderId="37" xfId="10691" applyFont="1" applyBorder="1" applyAlignment="1">
      <alignment horizontal="center" vertical="center"/>
    </xf>
    <xf numFmtId="0" fontId="182" fillId="0" borderId="159" xfId="10691" applyFont="1" applyBorder="1" applyAlignment="1">
      <alignment horizontal="center" vertical="center" wrapText="1"/>
    </xf>
    <xf numFmtId="0" fontId="182" fillId="0" borderId="161" xfId="10691" applyFont="1" applyBorder="1" applyAlignment="1">
      <alignment horizontal="center" vertical="center" wrapText="1"/>
    </xf>
    <xf numFmtId="0" fontId="182" fillId="0" borderId="73" xfId="10691" applyFont="1" applyBorder="1" applyAlignment="1">
      <alignment horizontal="center" vertical="center"/>
    </xf>
    <xf numFmtId="0" fontId="182" fillId="0" borderId="56" xfId="10691" applyFont="1" applyBorder="1" applyAlignment="1">
      <alignment horizontal="center" vertical="center"/>
    </xf>
    <xf numFmtId="0" fontId="182" fillId="0" borderId="157" xfId="10691" applyFont="1" applyBorder="1" applyAlignment="1">
      <alignment horizontal="center" vertical="center"/>
    </xf>
    <xf numFmtId="0" fontId="182" fillId="0" borderId="158" xfId="10691" applyFont="1" applyBorder="1" applyAlignment="1">
      <alignment horizontal="center" vertical="center"/>
    </xf>
    <xf numFmtId="0" fontId="182" fillId="0" borderId="37" xfId="10691" applyFont="1" applyBorder="1" applyAlignment="1">
      <alignment horizontal="center" vertical="center"/>
    </xf>
    <xf numFmtId="0" fontId="52" fillId="32" borderId="51" xfId="0" applyFont="1" applyFill="1" applyBorder="1" applyAlignment="1" applyProtection="1">
      <alignment horizontal="center" vertical="center"/>
    </xf>
    <xf numFmtId="0" fontId="52" fillId="32" borderId="34" xfId="0" applyFont="1" applyFill="1" applyBorder="1" applyAlignment="1" applyProtection="1">
      <alignment horizontal="center" vertical="center"/>
    </xf>
    <xf numFmtId="0" fontId="52" fillId="32" borderId="67" xfId="0" applyFont="1" applyFill="1" applyBorder="1" applyAlignment="1" applyProtection="1">
      <alignment horizontal="center" vertical="center"/>
    </xf>
    <xf numFmtId="0" fontId="52" fillId="32" borderId="62" xfId="0" applyFont="1" applyFill="1" applyBorder="1" applyAlignment="1" applyProtection="1">
      <alignment horizontal="center" vertical="center"/>
    </xf>
    <xf numFmtId="0" fontId="52" fillId="32" borderId="63" xfId="0" applyFont="1" applyFill="1" applyBorder="1" applyAlignment="1" applyProtection="1">
      <alignment horizontal="left" vertical="center"/>
      <protection locked="0"/>
    </xf>
    <xf numFmtId="0" fontId="52" fillId="32" borderId="64" xfId="0" applyFont="1" applyFill="1" applyBorder="1" applyAlignment="1" applyProtection="1">
      <alignment horizontal="left" vertical="center"/>
      <protection locked="0"/>
    </xf>
    <xf numFmtId="0" fontId="52" fillId="32" borderId="65" xfId="0" applyFont="1" applyFill="1" applyBorder="1" applyAlignment="1" applyProtection="1">
      <alignment horizontal="left" vertical="center"/>
      <protection locked="0"/>
    </xf>
    <xf numFmtId="0" fontId="52" fillId="32" borderId="21" xfId="0" applyFont="1" applyFill="1" applyBorder="1" applyAlignment="1" applyProtection="1">
      <alignment horizontal="right" vertical="center"/>
    </xf>
    <xf numFmtId="0" fontId="52" fillId="32" borderId="73" xfId="0" applyFont="1" applyFill="1" applyBorder="1" applyAlignment="1" applyProtection="1">
      <alignment horizontal="center" vertical="center"/>
    </xf>
    <xf numFmtId="0" fontId="52" fillId="32" borderId="74" xfId="0" applyFont="1" applyFill="1" applyBorder="1" applyAlignment="1" applyProtection="1">
      <alignment horizontal="center" vertical="center"/>
    </xf>
    <xf numFmtId="0" fontId="52" fillId="32" borderId="75" xfId="0" applyFont="1" applyFill="1" applyBorder="1" applyAlignment="1" applyProtection="1">
      <alignment horizontal="center" vertical="center"/>
    </xf>
    <xf numFmtId="0" fontId="52" fillId="32" borderId="42" xfId="0" applyFont="1" applyFill="1" applyBorder="1" applyAlignment="1" applyProtection="1">
      <alignment horizontal="center" vertical="center"/>
    </xf>
    <xf numFmtId="0" fontId="52" fillId="32" borderId="76" xfId="0" applyFont="1" applyFill="1" applyBorder="1" applyAlignment="1" applyProtection="1">
      <alignment horizontal="center" vertical="center"/>
    </xf>
    <xf numFmtId="0" fontId="52" fillId="32" borderId="66" xfId="0" applyFont="1" applyFill="1" applyBorder="1" applyAlignment="1" applyProtection="1">
      <alignment horizontal="center" vertical="center"/>
    </xf>
    <xf numFmtId="0" fontId="52" fillId="0" borderId="0" xfId="975" applyFont="1" applyFill="1" applyBorder="1" applyAlignment="1" applyProtection="1">
      <alignment horizontal="center" vertical="center"/>
    </xf>
    <xf numFmtId="0" fontId="52" fillId="0" borderId="0" xfId="975" applyFont="1" applyFill="1" applyBorder="1" applyAlignment="1" applyProtection="1">
      <alignment horizontal="right" vertical="center"/>
    </xf>
    <xf numFmtId="0" fontId="3" fillId="0" borderId="0" xfId="10687" applyAlignment="1">
      <alignment horizontal="center"/>
    </xf>
  </cellXfs>
  <cellStyles count="10696">
    <cellStyle name="_x000a_shell=progma 2" xfId="1" xr:uid="{00000000-0005-0000-0000-000000000000}"/>
    <cellStyle name="_x000a_shell=progma 2 2" xfId="2073" xr:uid="{00000000-0005-0000-0000-000001000000}"/>
    <cellStyle name="1.000" xfId="2" xr:uid="{00000000-0005-0000-0000-000002000000}"/>
    <cellStyle name="1.000 2" xfId="2074" xr:uid="{00000000-0005-0000-0000-000003000000}"/>
    <cellStyle name="20 % - Farve1" xfId="3339" builtinId="30" customBuiltin="1"/>
    <cellStyle name="20 % - Farve2" xfId="3343" builtinId="34" customBuiltin="1"/>
    <cellStyle name="20 % - Farve3" xfId="3347" builtinId="38" customBuiltin="1"/>
    <cellStyle name="20 % - Farve4" xfId="3351" builtinId="42" customBuiltin="1"/>
    <cellStyle name="20 % - Farve5" xfId="3355" builtinId="46" customBuiltin="1"/>
    <cellStyle name="20 % - Farve6" xfId="3359" builtinId="50" customBuiltin="1"/>
    <cellStyle name="20 % - Markeringsfarve1 2" xfId="3588" xr:uid="{00000000-0005-0000-0000-000005000000}"/>
    <cellStyle name="20 % - Markeringsfarve1 2 2" xfId="3587" xr:uid="{00000000-0005-0000-0000-000006000000}"/>
    <cellStyle name="20 % - Markeringsfarve1 2 2 2" xfId="4229" xr:uid="{00000000-0005-0000-0000-000007000000}"/>
    <cellStyle name="20 % - Markeringsfarve1 2 2 2 2" xfId="7397" xr:uid="{00000000-0005-0000-0000-000008000000}"/>
    <cellStyle name="20 % - Markeringsfarve1 2 2 2 2 2" xfId="10152" xr:uid="{00000000-0005-0000-0000-000009000000}"/>
    <cellStyle name="20 % - Markeringsfarve1 2 2 2 3" xfId="8790" xr:uid="{00000000-0005-0000-0000-00000A000000}"/>
    <cellStyle name="20 % - Markeringsfarve1 2 2 3" xfId="6774" xr:uid="{00000000-0005-0000-0000-00000B000000}"/>
    <cellStyle name="20 % - Markeringsfarve1 2 2 3 2" xfId="9529" xr:uid="{00000000-0005-0000-0000-00000C000000}"/>
    <cellStyle name="20 % - Markeringsfarve1 2 2 4" xfId="8167" xr:uid="{00000000-0005-0000-0000-00000D000000}"/>
    <cellStyle name="20 % - Markeringsfarve1 2 3" xfId="3586" xr:uid="{00000000-0005-0000-0000-00000E000000}"/>
    <cellStyle name="20 % - Markeringsfarve1 2 3 2" xfId="4228" xr:uid="{00000000-0005-0000-0000-00000F000000}"/>
    <cellStyle name="20 % - Markeringsfarve1 2 3 2 2" xfId="7396" xr:uid="{00000000-0005-0000-0000-000010000000}"/>
    <cellStyle name="20 % - Markeringsfarve1 2 3 2 2 2" xfId="10151" xr:uid="{00000000-0005-0000-0000-000011000000}"/>
    <cellStyle name="20 % - Markeringsfarve1 2 3 2 3" xfId="8789" xr:uid="{00000000-0005-0000-0000-000012000000}"/>
    <cellStyle name="20 % - Markeringsfarve1 2 3 3" xfId="6773" xr:uid="{00000000-0005-0000-0000-000013000000}"/>
    <cellStyle name="20 % - Markeringsfarve1 2 3 3 2" xfId="9528" xr:uid="{00000000-0005-0000-0000-000014000000}"/>
    <cellStyle name="20 % - Markeringsfarve1 2 3 4" xfId="8166" xr:uid="{00000000-0005-0000-0000-000015000000}"/>
    <cellStyle name="20 % - Markeringsfarve1 2 4" xfId="4230" xr:uid="{00000000-0005-0000-0000-000016000000}"/>
    <cellStyle name="20 % - Markeringsfarve1 2 4 2" xfId="7398" xr:uid="{00000000-0005-0000-0000-000017000000}"/>
    <cellStyle name="20 % - Markeringsfarve1 2 4 2 2" xfId="10153" xr:uid="{00000000-0005-0000-0000-000018000000}"/>
    <cellStyle name="20 % - Markeringsfarve1 2 4 3" xfId="8791" xr:uid="{00000000-0005-0000-0000-000019000000}"/>
    <cellStyle name="20 % - Markeringsfarve1 2 5" xfId="6775" xr:uid="{00000000-0005-0000-0000-00001A000000}"/>
    <cellStyle name="20 % - Markeringsfarve1 2 5 2" xfId="9530" xr:uid="{00000000-0005-0000-0000-00001B000000}"/>
    <cellStyle name="20 % - Markeringsfarve1 2 6" xfId="8168" xr:uid="{00000000-0005-0000-0000-00001C000000}"/>
    <cellStyle name="20 % - Markeringsfarve1 3" xfId="3585" xr:uid="{00000000-0005-0000-0000-00001D000000}"/>
    <cellStyle name="20 % - Markeringsfarve1 3 2" xfId="3531" xr:uid="{00000000-0005-0000-0000-00001E000000}"/>
    <cellStyle name="20 % - Markeringsfarve1 3 2 2" xfId="4173" xr:uid="{00000000-0005-0000-0000-00001F000000}"/>
    <cellStyle name="20 % - Markeringsfarve1 3 2 2 2" xfId="7341" xr:uid="{00000000-0005-0000-0000-000020000000}"/>
    <cellStyle name="20 % - Markeringsfarve1 3 2 2 2 2" xfId="10096" xr:uid="{00000000-0005-0000-0000-000021000000}"/>
    <cellStyle name="20 % - Markeringsfarve1 3 2 2 3" xfId="8734" xr:uid="{00000000-0005-0000-0000-000022000000}"/>
    <cellStyle name="20 % - Markeringsfarve1 3 2 3" xfId="6718" xr:uid="{00000000-0005-0000-0000-000023000000}"/>
    <cellStyle name="20 % - Markeringsfarve1 3 2 3 2" xfId="9473" xr:uid="{00000000-0005-0000-0000-000024000000}"/>
    <cellStyle name="20 % - Markeringsfarve1 3 2 4" xfId="8111" xr:uid="{00000000-0005-0000-0000-000025000000}"/>
    <cellStyle name="20 % - Markeringsfarve1 3 3" xfId="4227" xr:uid="{00000000-0005-0000-0000-000026000000}"/>
    <cellStyle name="20 % - Markeringsfarve1 3 3 2" xfId="7395" xr:uid="{00000000-0005-0000-0000-000027000000}"/>
    <cellStyle name="20 % - Markeringsfarve1 3 3 2 2" xfId="10150" xr:uid="{00000000-0005-0000-0000-000028000000}"/>
    <cellStyle name="20 % - Markeringsfarve1 3 3 3" xfId="8788" xr:uid="{00000000-0005-0000-0000-000029000000}"/>
    <cellStyle name="20 % - Markeringsfarve1 3 4" xfId="6772" xr:uid="{00000000-0005-0000-0000-00002A000000}"/>
    <cellStyle name="20 % - Markeringsfarve1 3 4 2" xfId="9527" xr:uid="{00000000-0005-0000-0000-00002B000000}"/>
    <cellStyle name="20 % - Markeringsfarve1 3 5" xfId="8165" xr:uid="{00000000-0005-0000-0000-00002C000000}"/>
    <cellStyle name="20 % - Markeringsfarve1 4" xfId="3584" xr:uid="{00000000-0005-0000-0000-00002D000000}"/>
    <cellStyle name="20 % - Markeringsfarve1 4 2" xfId="4226" xr:uid="{00000000-0005-0000-0000-00002E000000}"/>
    <cellStyle name="20 % - Markeringsfarve1 4 2 2" xfId="7394" xr:uid="{00000000-0005-0000-0000-00002F000000}"/>
    <cellStyle name="20 % - Markeringsfarve1 4 2 2 2" xfId="10149" xr:uid="{00000000-0005-0000-0000-000030000000}"/>
    <cellStyle name="20 % - Markeringsfarve1 4 2 3" xfId="8787" xr:uid="{00000000-0005-0000-0000-000031000000}"/>
    <cellStyle name="20 % - Markeringsfarve1 4 3" xfId="6771" xr:uid="{00000000-0005-0000-0000-000032000000}"/>
    <cellStyle name="20 % - Markeringsfarve1 4 3 2" xfId="9526" xr:uid="{00000000-0005-0000-0000-000033000000}"/>
    <cellStyle name="20 % - Markeringsfarve1 4 4" xfId="8164" xr:uid="{00000000-0005-0000-0000-000034000000}"/>
    <cellStyle name="20 % - Markeringsfarve1 5" xfId="3533" xr:uid="{00000000-0005-0000-0000-000035000000}"/>
    <cellStyle name="20 % - Markeringsfarve1 5 2" xfId="4175" xr:uid="{00000000-0005-0000-0000-000036000000}"/>
    <cellStyle name="20 % - Markeringsfarve1 5 2 2" xfId="7343" xr:uid="{00000000-0005-0000-0000-000037000000}"/>
    <cellStyle name="20 % - Markeringsfarve1 5 2 2 2" xfId="10098" xr:uid="{00000000-0005-0000-0000-000038000000}"/>
    <cellStyle name="20 % - Markeringsfarve1 5 2 3" xfId="8736" xr:uid="{00000000-0005-0000-0000-000039000000}"/>
    <cellStyle name="20 % - Markeringsfarve1 5 3" xfId="6720" xr:uid="{00000000-0005-0000-0000-00003A000000}"/>
    <cellStyle name="20 % - Markeringsfarve1 5 3 2" xfId="9475" xr:uid="{00000000-0005-0000-0000-00003B000000}"/>
    <cellStyle name="20 % - Markeringsfarve1 5 4" xfId="8113" xr:uid="{00000000-0005-0000-0000-00003C000000}"/>
    <cellStyle name="20 % - Markeringsfarve1 6" xfId="3529" xr:uid="{00000000-0005-0000-0000-00003D000000}"/>
    <cellStyle name="20 % - Markeringsfarve1 6 2" xfId="4171" xr:uid="{00000000-0005-0000-0000-00003E000000}"/>
    <cellStyle name="20 % - Markeringsfarve1 6 2 2" xfId="7339" xr:uid="{00000000-0005-0000-0000-00003F000000}"/>
    <cellStyle name="20 % - Markeringsfarve1 6 2 2 2" xfId="10094" xr:uid="{00000000-0005-0000-0000-000040000000}"/>
    <cellStyle name="20 % - Markeringsfarve1 6 2 3" xfId="8732" xr:uid="{00000000-0005-0000-0000-000041000000}"/>
    <cellStyle name="20 % - Markeringsfarve1 6 3" xfId="6716" xr:uid="{00000000-0005-0000-0000-000042000000}"/>
    <cellStyle name="20 % - Markeringsfarve1 6 3 2" xfId="9471" xr:uid="{00000000-0005-0000-0000-000043000000}"/>
    <cellStyle name="20 % - Markeringsfarve1 6 4" xfId="8109" xr:uid="{00000000-0005-0000-0000-000044000000}"/>
    <cellStyle name="20 % - Markeringsfarve1 7" xfId="4159" xr:uid="{00000000-0005-0000-0000-000045000000}"/>
    <cellStyle name="20 % - Markeringsfarve1 7 2" xfId="7327" xr:uid="{00000000-0005-0000-0000-000046000000}"/>
    <cellStyle name="20 % - Markeringsfarve1 7 2 2" xfId="10082" xr:uid="{00000000-0005-0000-0000-000047000000}"/>
    <cellStyle name="20 % - Markeringsfarve1 7 3" xfId="8720" xr:uid="{00000000-0005-0000-0000-000048000000}"/>
    <cellStyle name="20 % - Markeringsfarve2 2" xfId="3583" xr:uid="{00000000-0005-0000-0000-00004A000000}"/>
    <cellStyle name="20 % - Markeringsfarve2 2 2" xfId="3532" xr:uid="{00000000-0005-0000-0000-00004B000000}"/>
    <cellStyle name="20 % - Markeringsfarve2 2 2 2" xfId="4174" xr:uid="{00000000-0005-0000-0000-00004C000000}"/>
    <cellStyle name="20 % - Markeringsfarve2 2 2 2 2" xfId="7342" xr:uid="{00000000-0005-0000-0000-00004D000000}"/>
    <cellStyle name="20 % - Markeringsfarve2 2 2 2 2 2" xfId="10097" xr:uid="{00000000-0005-0000-0000-00004E000000}"/>
    <cellStyle name="20 % - Markeringsfarve2 2 2 2 3" xfId="8735" xr:uid="{00000000-0005-0000-0000-00004F000000}"/>
    <cellStyle name="20 % - Markeringsfarve2 2 2 3" xfId="6719" xr:uid="{00000000-0005-0000-0000-000050000000}"/>
    <cellStyle name="20 % - Markeringsfarve2 2 2 3 2" xfId="9474" xr:uid="{00000000-0005-0000-0000-000051000000}"/>
    <cellStyle name="20 % - Markeringsfarve2 2 2 4" xfId="8112" xr:uid="{00000000-0005-0000-0000-000052000000}"/>
    <cellStyle name="20 % - Markeringsfarve2 2 3" xfId="3530" xr:uid="{00000000-0005-0000-0000-000053000000}"/>
    <cellStyle name="20 % - Markeringsfarve2 2 3 2" xfId="4172" xr:uid="{00000000-0005-0000-0000-000054000000}"/>
    <cellStyle name="20 % - Markeringsfarve2 2 3 2 2" xfId="7340" xr:uid="{00000000-0005-0000-0000-000055000000}"/>
    <cellStyle name="20 % - Markeringsfarve2 2 3 2 2 2" xfId="10095" xr:uid="{00000000-0005-0000-0000-000056000000}"/>
    <cellStyle name="20 % - Markeringsfarve2 2 3 2 3" xfId="8733" xr:uid="{00000000-0005-0000-0000-000057000000}"/>
    <cellStyle name="20 % - Markeringsfarve2 2 3 3" xfId="6717" xr:uid="{00000000-0005-0000-0000-000058000000}"/>
    <cellStyle name="20 % - Markeringsfarve2 2 3 3 2" xfId="9472" xr:uid="{00000000-0005-0000-0000-000059000000}"/>
    <cellStyle name="20 % - Markeringsfarve2 2 3 4" xfId="8110" xr:uid="{00000000-0005-0000-0000-00005A000000}"/>
    <cellStyle name="20 % - Markeringsfarve2 2 4" xfId="4225" xr:uid="{00000000-0005-0000-0000-00005B000000}"/>
    <cellStyle name="20 % - Markeringsfarve2 2 4 2" xfId="7393" xr:uid="{00000000-0005-0000-0000-00005C000000}"/>
    <cellStyle name="20 % - Markeringsfarve2 2 4 2 2" xfId="10148" xr:uid="{00000000-0005-0000-0000-00005D000000}"/>
    <cellStyle name="20 % - Markeringsfarve2 2 4 3" xfId="8786" xr:uid="{00000000-0005-0000-0000-00005E000000}"/>
    <cellStyle name="20 % - Markeringsfarve2 2 5" xfId="6770" xr:uid="{00000000-0005-0000-0000-00005F000000}"/>
    <cellStyle name="20 % - Markeringsfarve2 2 5 2" xfId="9525" xr:uid="{00000000-0005-0000-0000-000060000000}"/>
    <cellStyle name="20 % - Markeringsfarve2 2 6" xfId="8163" xr:uid="{00000000-0005-0000-0000-000061000000}"/>
    <cellStyle name="20 % - Markeringsfarve2 3" xfId="3582" xr:uid="{00000000-0005-0000-0000-000062000000}"/>
    <cellStyle name="20 % - Markeringsfarve2 3 2" xfId="4224" xr:uid="{00000000-0005-0000-0000-000063000000}"/>
    <cellStyle name="20 % - Markeringsfarve2 3 2 2" xfId="7392" xr:uid="{00000000-0005-0000-0000-000064000000}"/>
    <cellStyle name="20 % - Markeringsfarve2 3 2 2 2" xfId="10147" xr:uid="{00000000-0005-0000-0000-000065000000}"/>
    <cellStyle name="20 % - Markeringsfarve2 3 2 3" xfId="8785" xr:uid="{00000000-0005-0000-0000-000066000000}"/>
    <cellStyle name="20 % - Markeringsfarve2 3 3" xfId="6769" xr:uid="{00000000-0005-0000-0000-000067000000}"/>
    <cellStyle name="20 % - Markeringsfarve2 3 3 2" xfId="9524" xr:uid="{00000000-0005-0000-0000-000068000000}"/>
    <cellStyle name="20 % - Markeringsfarve2 3 4" xfId="8162" xr:uid="{00000000-0005-0000-0000-000069000000}"/>
    <cellStyle name="20 % - Markeringsfarve2 4" xfId="3581" xr:uid="{00000000-0005-0000-0000-00006A000000}"/>
    <cellStyle name="20 % - Markeringsfarve2 4 2" xfId="4223" xr:uid="{00000000-0005-0000-0000-00006B000000}"/>
    <cellStyle name="20 % - Markeringsfarve2 4 2 2" xfId="7391" xr:uid="{00000000-0005-0000-0000-00006C000000}"/>
    <cellStyle name="20 % - Markeringsfarve2 4 2 2 2" xfId="10146" xr:uid="{00000000-0005-0000-0000-00006D000000}"/>
    <cellStyle name="20 % - Markeringsfarve2 4 2 3" xfId="8784" xr:uid="{00000000-0005-0000-0000-00006E000000}"/>
    <cellStyle name="20 % - Markeringsfarve2 4 3" xfId="6768" xr:uid="{00000000-0005-0000-0000-00006F000000}"/>
    <cellStyle name="20 % - Markeringsfarve2 4 3 2" xfId="9523" xr:uid="{00000000-0005-0000-0000-000070000000}"/>
    <cellStyle name="20 % - Markeringsfarve2 4 4" xfId="8161" xr:uid="{00000000-0005-0000-0000-000071000000}"/>
    <cellStyle name="20 % - Markeringsfarve2 5" xfId="3580" xr:uid="{00000000-0005-0000-0000-000072000000}"/>
    <cellStyle name="20 % - Markeringsfarve2 5 2" xfId="4222" xr:uid="{00000000-0005-0000-0000-000073000000}"/>
    <cellStyle name="20 % - Markeringsfarve2 5 2 2" xfId="7390" xr:uid="{00000000-0005-0000-0000-000074000000}"/>
    <cellStyle name="20 % - Markeringsfarve2 5 2 2 2" xfId="10145" xr:uid="{00000000-0005-0000-0000-000075000000}"/>
    <cellStyle name="20 % - Markeringsfarve2 5 2 3" xfId="8783" xr:uid="{00000000-0005-0000-0000-000076000000}"/>
    <cellStyle name="20 % - Markeringsfarve2 5 3" xfId="6767" xr:uid="{00000000-0005-0000-0000-000077000000}"/>
    <cellStyle name="20 % - Markeringsfarve2 5 3 2" xfId="9522" xr:uid="{00000000-0005-0000-0000-000078000000}"/>
    <cellStyle name="20 % - Markeringsfarve2 5 4" xfId="8160" xr:uid="{00000000-0005-0000-0000-000079000000}"/>
    <cellStyle name="20 % - Markeringsfarve2 6" xfId="3579" xr:uid="{00000000-0005-0000-0000-00007A000000}"/>
    <cellStyle name="20 % - Markeringsfarve2 6 2" xfId="4221" xr:uid="{00000000-0005-0000-0000-00007B000000}"/>
    <cellStyle name="20 % - Markeringsfarve2 6 2 2" xfId="7389" xr:uid="{00000000-0005-0000-0000-00007C000000}"/>
    <cellStyle name="20 % - Markeringsfarve2 6 2 2 2" xfId="10144" xr:uid="{00000000-0005-0000-0000-00007D000000}"/>
    <cellStyle name="20 % - Markeringsfarve2 6 2 3" xfId="8782" xr:uid="{00000000-0005-0000-0000-00007E000000}"/>
    <cellStyle name="20 % - Markeringsfarve2 6 3" xfId="6766" xr:uid="{00000000-0005-0000-0000-00007F000000}"/>
    <cellStyle name="20 % - Markeringsfarve2 6 3 2" xfId="9521" xr:uid="{00000000-0005-0000-0000-000080000000}"/>
    <cellStyle name="20 % - Markeringsfarve2 6 4" xfId="8159" xr:uid="{00000000-0005-0000-0000-000081000000}"/>
    <cellStyle name="20 % - Markeringsfarve2 7" xfId="4161" xr:uid="{00000000-0005-0000-0000-000082000000}"/>
    <cellStyle name="20 % - Markeringsfarve2 7 2" xfId="7329" xr:uid="{00000000-0005-0000-0000-000083000000}"/>
    <cellStyle name="20 % - Markeringsfarve2 7 2 2" xfId="10084" xr:uid="{00000000-0005-0000-0000-000084000000}"/>
    <cellStyle name="20 % - Markeringsfarve2 7 3" xfId="8722" xr:uid="{00000000-0005-0000-0000-000085000000}"/>
    <cellStyle name="20 % - Markeringsfarve3 2" xfId="3578" xr:uid="{00000000-0005-0000-0000-000087000000}"/>
    <cellStyle name="20 % - Markeringsfarve3 2 2" xfId="3577" xr:uid="{00000000-0005-0000-0000-000088000000}"/>
    <cellStyle name="20 % - Markeringsfarve3 2 2 2" xfId="4219" xr:uid="{00000000-0005-0000-0000-000089000000}"/>
    <cellStyle name="20 % - Markeringsfarve3 2 2 2 2" xfId="7387" xr:uid="{00000000-0005-0000-0000-00008A000000}"/>
    <cellStyle name="20 % - Markeringsfarve3 2 2 2 2 2" xfId="10142" xr:uid="{00000000-0005-0000-0000-00008B000000}"/>
    <cellStyle name="20 % - Markeringsfarve3 2 2 2 3" xfId="8780" xr:uid="{00000000-0005-0000-0000-00008C000000}"/>
    <cellStyle name="20 % - Markeringsfarve3 2 2 3" xfId="6764" xr:uid="{00000000-0005-0000-0000-00008D000000}"/>
    <cellStyle name="20 % - Markeringsfarve3 2 2 3 2" xfId="9519" xr:uid="{00000000-0005-0000-0000-00008E000000}"/>
    <cellStyle name="20 % - Markeringsfarve3 2 2 4" xfId="8157" xr:uid="{00000000-0005-0000-0000-00008F000000}"/>
    <cellStyle name="20 % - Markeringsfarve3 2 3" xfId="3576" xr:uid="{00000000-0005-0000-0000-000090000000}"/>
    <cellStyle name="20 % - Markeringsfarve3 2 3 2" xfId="4218" xr:uid="{00000000-0005-0000-0000-000091000000}"/>
    <cellStyle name="20 % - Markeringsfarve3 2 3 2 2" xfId="7386" xr:uid="{00000000-0005-0000-0000-000092000000}"/>
    <cellStyle name="20 % - Markeringsfarve3 2 3 2 2 2" xfId="10141" xr:uid="{00000000-0005-0000-0000-000093000000}"/>
    <cellStyle name="20 % - Markeringsfarve3 2 3 2 3" xfId="8779" xr:uid="{00000000-0005-0000-0000-000094000000}"/>
    <cellStyle name="20 % - Markeringsfarve3 2 3 3" xfId="6763" xr:uid="{00000000-0005-0000-0000-000095000000}"/>
    <cellStyle name="20 % - Markeringsfarve3 2 3 3 2" xfId="9518" xr:uid="{00000000-0005-0000-0000-000096000000}"/>
    <cellStyle name="20 % - Markeringsfarve3 2 3 4" xfId="8156" xr:uid="{00000000-0005-0000-0000-000097000000}"/>
    <cellStyle name="20 % - Markeringsfarve3 2 4" xfId="3575" xr:uid="{00000000-0005-0000-0000-000098000000}"/>
    <cellStyle name="20 % - Markeringsfarve3 2 4 2" xfId="4217" xr:uid="{00000000-0005-0000-0000-000099000000}"/>
    <cellStyle name="20 % - Markeringsfarve3 2 4 2 2" xfId="7385" xr:uid="{00000000-0005-0000-0000-00009A000000}"/>
    <cellStyle name="20 % - Markeringsfarve3 2 4 2 2 2" xfId="10140" xr:uid="{00000000-0005-0000-0000-00009B000000}"/>
    <cellStyle name="20 % - Markeringsfarve3 2 4 2 3" xfId="8778" xr:uid="{00000000-0005-0000-0000-00009C000000}"/>
    <cellStyle name="20 % - Markeringsfarve3 2 4 3" xfId="6762" xr:uid="{00000000-0005-0000-0000-00009D000000}"/>
    <cellStyle name="20 % - Markeringsfarve3 2 4 3 2" xfId="9517" xr:uid="{00000000-0005-0000-0000-00009E000000}"/>
    <cellStyle name="20 % - Markeringsfarve3 2 4 4" xfId="8155" xr:uid="{00000000-0005-0000-0000-00009F000000}"/>
    <cellStyle name="20 % - Markeringsfarve3 2 5" xfId="4220" xr:uid="{00000000-0005-0000-0000-0000A0000000}"/>
    <cellStyle name="20 % - Markeringsfarve3 2 5 2" xfId="7388" xr:uid="{00000000-0005-0000-0000-0000A1000000}"/>
    <cellStyle name="20 % - Markeringsfarve3 2 5 2 2" xfId="10143" xr:uid="{00000000-0005-0000-0000-0000A2000000}"/>
    <cellStyle name="20 % - Markeringsfarve3 2 5 3" xfId="8781" xr:uid="{00000000-0005-0000-0000-0000A3000000}"/>
    <cellStyle name="20 % - Markeringsfarve3 2 6" xfId="6765" xr:uid="{00000000-0005-0000-0000-0000A4000000}"/>
    <cellStyle name="20 % - Markeringsfarve3 2 6 2" xfId="9520" xr:uid="{00000000-0005-0000-0000-0000A5000000}"/>
    <cellStyle name="20 % - Markeringsfarve3 2 7" xfId="8158" xr:uid="{00000000-0005-0000-0000-0000A6000000}"/>
    <cellStyle name="20 % - Markeringsfarve3 3" xfId="3574" xr:uid="{00000000-0005-0000-0000-0000A7000000}"/>
    <cellStyle name="20 % - Markeringsfarve3 3 2" xfId="4216" xr:uid="{00000000-0005-0000-0000-0000A8000000}"/>
    <cellStyle name="20 % - Markeringsfarve3 3 2 2" xfId="7384" xr:uid="{00000000-0005-0000-0000-0000A9000000}"/>
    <cellStyle name="20 % - Markeringsfarve3 3 2 2 2" xfId="10139" xr:uid="{00000000-0005-0000-0000-0000AA000000}"/>
    <cellStyle name="20 % - Markeringsfarve3 3 2 3" xfId="8777" xr:uid="{00000000-0005-0000-0000-0000AB000000}"/>
    <cellStyle name="20 % - Markeringsfarve3 3 3" xfId="6761" xr:uid="{00000000-0005-0000-0000-0000AC000000}"/>
    <cellStyle name="20 % - Markeringsfarve3 3 3 2" xfId="9516" xr:uid="{00000000-0005-0000-0000-0000AD000000}"/>
    <cellStyle name="20 % - Markeringsfarve3 3 4" xfId="8154" xr:uid="{00000000-0005-0000-0000-0000AE000000}"/>
    <cellStyle name="20 % - Markeringsfarve3 4" xfId="3573" xr:uid="{00000000-0005-0000-0000-0000AF000000}"/>
    <cellStyle name="20 % - Markeringsfarve3 4 2" xfId="4215" xr:uid="{00000000-0005-0000-0000-0000B0000000}"/>
    <cellStyle name="20 % - Markeringsfarve3 4 2 2" xfId="7383" xr:uid="{00000000-0005-0000-0000-0000B1000000}"/>
    <cellStyle name="20 % - Markeringsfarve3 4 2 2 2" xfId="10138" xr:uid="{00000000-0005-0000-0000-0000B2000000}"/>
    <cellStyle name="20 % - Markeringsfarve3 4 2 3" xfId="8776" xr:uid="{00000000-0005-0000-0000-0000B3000000}"/>
    <cellStyle name="20 % - Markeringsfarve3 4 3" xfId="6760" xr:uid="{00000000-0005-0000-0000-0000B4000000}"/>
    <cellStyle name="20 % - Markeringsfarve3 4 3 2" xfId="9515" xr:uid="{00000000-0005-0000-0000-0000B5000000}"/>
    <cellStyle name="20 % - Markeringsfarve3 4 4" xfId="8153" xr:uid="{00000000-0005-0000-0000-0000B6000000}"/>
    <cellStyle name="20 % - Markeringsfarve3 5" xfId="3572" xr:uid="{00000000-0005-0000-0000-0000B7000000}"/>
    <cellStyle name="20 % - Markeringsfarve3 5 2" xfId="4214" xr:uid="{00000000-0005-0000-0000-0000B8000000}"/>
    <cellStyle name="20 % - Markeringsfarve3 5 2 2" xfId="7382" xr:uid="{00000000-0005-0000-0000-0000B9000000}"/>
    <cellStyle name="20 % - Markeringsfarve3 5 2 2 2" xfId="10137" xr:uid="{00000000-0005-0000-0000-0000BA000000}"/>
    <cellStyle name="20 % - Markeringsfarve3 5 2 3" xfId="8775" xr:uid="{00000000-0005-0000-0000-0000BB000000}"/>
    <cellStyle name="20 % - Markeringsfarve3 5 3" xfId="6759" xr:uid="{00000000-0005-0000-0000-0000BC000000}"/>
    <cellStyle name="20 % - Markeringsfarve3 5 3 2" xfId="9514" xr:uid="{00000000-0005-0000-0000-0000BD000000}"/>
    <cellStyle name="20 % - Markeringsfarve3 5 4" xfId="8152" xr:uid="{00000000-0005-0000-0000-0000BE000000}"/>
    <cellStyle name="20 % - Markeringsfarve3 6" xfId="3571" xr:uid="{00000000-0005-0000-0000-0000BF000000}"/>
    <cellStyle name="20 % - Markeringsfarve3 6 2" xfId="4213" xr:uid="{00000000-0005-0000-0000-0000C0000000}"/>
    <cellStyle name="20 % - Markeringsfarve3 6 2 2" xfId="7381" xr:uid="{00000000-0005-0000-0000-0000C1000000}"/>
    <cellStyle name="20 % - Markeringsfarve3 6 2 2 2" xfId="10136" xr:uid="{00000000-0005-0000-0000-0000C2000000}"/>
    <cellStyle name="20 % - Markeringsfarve3 6 2 3" xfId="8774" xr:uid="{00000000-0005-0000-0000-0000C3000000}"/>
    <cellStyle name="20 % - Markeringsfarve3 6 3" xfId="6758" xr:uid="{00000000-0005-0000-0000-0000C4000000}"/>
    <cellStyle name="20 % - Markeringsfarve3 6 3 2" xfId="9513" xr:uid="{00000000-0005-0000-0000-0000C5000000}"/>
    <cellStyle name="20 % - Markeringsfarve3 6 4" xfId="8151" xr:uid="{00000000-0005-0000-0000-0000C6000000}"/>
    <cellStyle name="20 % - Markeringsfarve3 7" xfId="4163" xr:uid="{00000000-0005-0000-0000-0000C7000000}"/>
    <cellStyle name="20 % - Markeringsfarve3 7 2" xfId="7331" xr:uid="{00000000-0005-0000-0000-0000C8000000}"/>
    <cellStyle name="20 % - Markeringsfarve3 7 2 2" xfId="10086" xr:uid="{00000000-0005-0000-0000-0000C9000000}"/>
    <cellStyle name="20 % - Markeringsfarve3 7 3" xfId="8724" xr:uid="{00000000-0005-0000-0000-0000CA000000}"/>
    <cellStyle name="20 % - Markeringsfarve4 2" xfId="3570" xr:uid="{00000000-0005-0000-0000-0000CC000000}"/>
    <cellStyle name="20 % - Markeringsfarve4 2 2" xfId="3569" xr:uid="{00000000-0005-0000-0000-0000CD000000}"/>
    <cellStyle name="20 % - Markeringsfarve4 2 2 2" xfId="4211" xr:uid="{00000000-0005-0000-0000-0000CE000000}"/>
    <cellStyle name="20 % - Markeringsfarve4 2 2 2 2" xfId="7379" xr:uid="{00000000-0005-0000-0000-0000CF000000}"/>
    <cellStyle name="20 % - Markeringsfarve4 2 2 2 2 2" xfId="10134" xr:uid="{00000000-0005-0000-0000-0000D0000000}"/>
    <cellStyle name="20 % - Markeringsfarve4 2 2 2 3" xfId="8772" xr:uid="{00000000-0005-0000-0000-0000D1000000}"/>
    <cellStyle name="20 % - Markeringsfarve4 2 2 3" xfId="6756" xr:uid="{00000000-0005-0000-0000-0000D2000000}"/>
    <cellStyle name="20 % - Markeringsfarve4 2 2 3 2" xfId="9511" xr:uid="{00000000-0005-0000-0000-0000D3000000}"/>
    <cellStyle name="20 % - Markeringsfarve4 2 2 4" xfId="8149" xr:uid="{00000000-0005-0000-0000-0000D4000000}"/>
    <cellStyle name="20 % - Markeringsfarve4 2 3" xfId="3568" xr:uid="{00000000-0005-0000-0000-0000D5000000}"/>
    <cellStyle name="20 % - Markeringsfarve4 2 3 2" xfId="4210" xr:uid="{00000000-0005-0000-0000-0000D6000000}"/>
    <cellStyle name="20 % - Markeringsfarve4 2 3 2 2" xfId="7378" xr:uid="{00000000-0005-0000-0000-0000D7000000}"/>
    <cellStyle name="20 % - Markeringsfarve4 2 3 2 2 2" xfId="10133" xr:uid="{00000000-0005-0000-0000-0000D8000000}"/>
    <cellStyle name="20 % - Markeringsfarve4 2 3 2 3" xfId="8771" xr:uid="{00000000-0005-0000-0000-0000D9000000}"/>
    <cellStyle name="20 % - Markeringsfarve4 2 3 3" xfId="6755" xr:uid="{00000000-0005-0000-0000-0000DA000000}"/>
    <cellStyle name="20 % - Markeringsfarve4 2 3 3 2" xfId="9510" xr:uid="{00000000-0005-0000-0000-0000DB000000}"/>
    <cellStyle name="20 % - Markeringsfarve4 2 3 4" xfId="8148" xr:uid="{00000000-0005-0000-0000-0000DC000000}"/>
    <cellStyle name="20 % - Markeringsfarve4 2 4" xfId="4212" xr:uid="{00000000-0005-0000-0000-0000DD000000}"/>
    <cellStyle name="20 % - Markeringsfarve4 2 4 2" xfId="7380" xr:uid="{00000000-0005-0000-0000-0000DE000000}"/>
    <cellStyle name="20 % - Markeringsfarve4 2 4 2 2" xfId="10135" xr:uid="{00000000-0005-0000-0000-0000DF000000}"/>
    <cellStyle name="20 % - Markeringsfarve4 2 4 3" xfId="8773" xr:uid="{00000000-0005-0000-0000-0000E0000000}"/>
    <cellStyle name="20 % - Markeringsfarve4 2 5" xfId="6757" xr:uid="{00000000-0005-0000-0000-0000E1000000}"/>
    <cellStyle name="20 % - Markeringsfarve4 2 5 2" xfId="9512" xr:uid="{00000000-0005-0000-0000-0000E2000000}"/>
    <cellStyle name="20 % - Markeringsfarve4 2 6" xfId="8150" xr:uid="{00000000-0005-0000-0000-0000E3000000}"/>
    <cellStyle name="20 % - Markeringsfarve4 3" xfId="3567" xr:uid="{00000000-0005-0000-0000-0000E4000000}"/>
    <cellStyle name="20 % - Markeringsfarve4 3 2" xfId="4209" xr:uid="{00000000-0005-0000-0000-0000E5000000}"/>
    <cellStyle name="20 % - Markeringsfarve4 3 2 2" xfId="7377" xr:uid="{00000000-0005-0000-0000-0000E6000000}"/>
    <cellStyle name="20 % - Markeringsfarve4 3 2 2 2" xfId="10132" xr:uid="{00000000-0005-0000-0000-0000E7000000}"/>
    <cellStyle name="20 % - Markeringsfarve4 3 2 3" xfId="8770" xr:uid="{00000000-0005-0000-0000-0000E8000000}"/>
    <cellStyle name="20 % - Markeringsfarve4 3 3" xfId="6754" xr:uid="{00000000-0005-0000-0000-0000E9000000}"/>
    <cellStyle name="20 % - Markeringsfarve4 3 3 2" xfId="9509" xr:uid="{00000000-0005-0000-0000-0000EA000000}"/>
    <cellStyle name="20 % - Markeringsfarve4 3 4" xfId="8147" xr:uid="{00000000-0005-0000-0000-0000EB000000}"/>
    <cellStyle name="20 % - Markeringsfarve4 4" xfId="3566" xr:uid="{00000000-0005-0000-0000-0000EC000000}"/>
    <cellStyle name="20 % - Markeringsfarve4 4 2" xfId="4208" xr:uid="{00000000-0005-0000-0000-0000ED000000}"/>
    <cellStyle name="20 % - Markeringsfarve4 4 2 2" xfId="7376" xr:uid="{00000000-0005-0000-0000-0000EE000000}"/>
    <cellStyle name="20 % - Markeringsfarve4 4 2 2 2" xfId="10131" xr:uid="{00000000-0005-0000-0000-0000EF000000}"/>
    <cellStyle name="20 % - Markeringsfarve4 4 2 3" xfId="8769" xr:uid="{00000000-0005-0000-0000-0000F0000000}"/>
    <cellStyle name="20 % - Markeringsfarve4 4 3" xfId="6753" xr:uid="{00000000-0005-0000-0000-0000F1000000}"/>
    <cellStyle name="20 % - Markeringsfarve4 4 3 2" xfId="9508" xr:uid="{00000000-0005-0000-0000-0000F2000000}"/>
    <cellStyle name="20 % - Markeringsfarve4 4 4" xfId="8146" xr:uid="{00000000-0005-0000-0000-0000F3000000}"/>
    <cellStyle name="20 % - Markeringsfarve4 5" xfId="3565" xr:uid="{00000000-0005-0000-0000-0000F4000000}"/>
    <cellStyle name="20 % - Markeringsfarve4 5 2" xfId="4207" xr:uid="{00000000-0005-0000-0000-0000F5000000}"/>
    <cellStyle name="20 % - Markeringsfarve4 5 2 2" xfId="7375" xr:uid="{00000000-0005-0000-0000-0000F6000000}"/>
    <cellStyle name="20 % - Markeringsfarve4 5 2 2 2" xfId="10130" xr:uid="{00000000-0005-0000-0000-0000F7000000}"/>
    <cellStyle name="20 % - Markeringsfarve4 5 2 3" xfId="8768" xr:uid="{00000000-0005-0000-0000-0000F8000000}"/>
    <cellStyle name="20 % - Markeringsfarve4 5 3" xfId="6752" xr:uid="{00000000-0005-0000-0000-0000F9000000}"/>
    <cellStyle name="20 % - Markeringsfarve4 5 3 2" xfId="9507" xr:uid="{00000000-0005-0000-0000-0000FA000000}"/>
    <cellStyle name="20 % - Markeringsfarve4 5 4" xfId="8145" xr:uid="{00000000-0005-0000-0000-0000FB000000}"/>
    <cellStyle name="20 % - Markeringsfarve4 6" xfId="3564" xr:uid="{00000000-0005-0000-0000-0000FC000000}"/>
    <cellStyle name="20 % - Markeringsfarve4 6 2" xfId="4206" xr:uid="{00000000-0005-0000-0000-0000FD000000}"/>
    <cellStyle name="20 % - Markeringsfarve4 6 2 2" xfId="7374" xr:uid="{00000000-0005-0000-0000-0000FE000000}"/>
    <cellStyle name="20 % - Markeringsfarve4 6 2 2 2" xfId="10129" xr:uid="{00000000-0005-0000-0000-0000FF000000}"/>
    <cellStyle name="20 % - Markeringsfarve4 6 2 3" xfId="8767" xr:uid="{00000000-0005-0000-0000-000000010000}"/>
    <cellStyle name="20 % - Markeringsfarve4 6 3" xfId="6751" xr:uid="{00000000-0005-0000-0000-000001010000}"/>
    <cellStyle name="20 % - Markeringsfarve4 6 3 2" xfId="9506" xr:uid="{00000000-0005-0000-0000-000002010000}"/>
    <cellStyle name="20 % - Markeringsfarve4 6 4" xfId="8144" xr:uid="{00000000-0005-0000-0000-000003010000}"/>
    <cellStyle name="20 % - Markeringsfarve4 7" xfId="4165" xr:uid="{00000000-0005-0000-0000-000004010000}"/>
    <cellStyle name="20 % - Markeringsfarve4 7 2" xfId="7333" xr:uid="{00000000-0005-0000-0000-000005010000}"/>
    <cellStyle name="20 % - Markeringsfarve4 7 2 2" xfId="10088" xr:uid="{00000000-0005-0000-0000-000006010000}"/>
    <cellStyle name="20 % - Markeringsfarve4 7 3" xfId="8726" xr:uid="{00000000-0005-0000-0000-000007010000}"/>
    <cellStyle name="20 % - Markeringsfarve5 2" xfId="3563" xr:uid="{00000000-0005-0000-0000-000009010000}"/>
    <cellStyle name="20 % - Markeringsfarve5 2 2" xfId="3562" xr:uid="{00000000-0005-0000-0000-00000A010000}"/>
    <cellStyle name="20 % - Markeringsfarve5 2 2 2" xfId="4204" xr:uid="{00000000-0005-0000-0000-00000B010000}"/>
    <cellStyle name="20 % - Markeringsfarve5 2 2 2 2" xfId="7372" xr:uid="{00000000-0005-0000-0000-00000C010000}"/>
    <cellStyle name="20 % - Markeringsfarve5 2 2 2 2 2" xfId="10127" xr:uid="{00000000-0005-0000-0000-00000D010000}"/>
    <cellStyle name="20 % - Markeringsfarve5 2 2 2 3" xfId="8765" xr:uid="{00000000-0005-0000-0000-00000E010000}"/>
    <cellStyle name="20 % - Markeringsfarve5 2 2 2 4" xfId="10686" xr:uid="{00000000-0005-0000-0000-00000F010000}"/>
    <cellStyle name="20 % - Markeringsfarve5 2 2 3" xfId="6749" xr:uid="{00000000-0005-0000-0000-000010010000}"/>
    <cellStyle name="20 % - Markeringsfarve5 2 2 3 2" xfId="9504" xr:uid="{00000000-0005-0000-0000-000011010000}"/>
    <cellStyle name="20 % - Markeringsfarve5 2 2 4" xfId="8142" xr:uid="{00000000-0005-0000-0000-000012010000}"/>
    <cellStyle name="20 % - Markeringsfarve5 2 3" xfId="3561" xr:uid="{00000000-0005-0000-0000-000013010000}"/>
    <cellStyle name="20 % - Markeringsfarve5 2 3 2" xfId="4203" xr:uid="{00000000-0005-0000-0000-000014010000}"/>
    <cellStyle name="20 % - Markeringsfarve5 2 3 2 2" xfId="7371" xr:uid="{00000000-0005-0000-0000-000015010000}"/>
    <cellStyle name="20 % - Markeringsfarve5 2 3 2 2 2" xfId="10126" xr:uid="{00000000-0005-0000-0000-000016010000}"/>
    <cellStyle name="20 % - Markeringsfarve5 2 3 2 3" xfId="8764" xr:uid="{00000000-0005-0000-0000-000017010000}"/>
    <cellStyle name="20 % - Markeringsfarve5 2 3 3" xfId="6748" xr:uid="{00000000-0005-0000-0000-000018010000}"/>
    <cellStyle name="20 % - Markeringsfarve5 2 3 3 2" xfId="9503" xr:uid="{00000000-0005-0000-0000-000019010000}"/>
    <cellStyle name="20 % - Markeringsfarve5 2 3 4" xfId="8141" xr:uid="{00000000-0005-0000-0000-00001A010000}"/>
    <cellStyle name="20 % - Markeringsfarve5 2 4" xfId="4205" xr:uid="{00000000-0005-0000-0000-00001B010000}"/>
    <cellStyle name="20 % - Markeringsfarve5 2 4 2" xfId="7373" xr:uid="{00000000-0005-0000-0000-00001C010000}"/>
    <cellStyle name="20 % - Markeringsfarve5 2 4 2 2" xfId="10128" xr:uid="{00000000-0005-0000-0000-00001D010000}"/>
    <cellStyle name="20 % - Markeringsfarve5 2 4 3" xfId="8766" xr:uid="{00000000-0005-0000-0000-00001E010000}"/>
    <cellStyle name="20 % - Markeringsfarve5 2 5" xfId="6750" xr:uid="{00000000-0005-0000-0000-00001F010000}"/>
    <cellStyle name="20 % - Markeringsfarve5 2 5 2" xfId="9505" xr:uid="{00000000-0005-0000-0000-000020010000}"/>
    <cellStyle name="20 % - Markeringsfarve5 2 6" xfId="8143" xr:uid="{00000000-0005-0000-0000-000021010000}"/>
    <cellStyle name="20 % - Markeringsfarve5 3" xfId="3560" xr:uid="{00000000-0005-0000-0000-000022010000}"/>
    <cellStyle name="20 % - Markeringsfarve5 3 2" xfId="4202" xr:uid="{00000000-0005-0000-0000-000023010000}"/>
    <cellStyle name="20 % - Markeringsfarve5 3 2 2" xfId="7370" xr:uid="{00000000-0005-0000-0000-000024010000}"/>
    <cellStyle name="20 % - Markeringsfarve5 3 2 2 2" xfId="10125" xr:uid="{00000000-0005-0000-0000-000025010000}"/>
    <cellStyle name="20 % - Markeringsfarve5 3 2 3" xfId="8763" xr:uid="{00000000-0005-0000-0000-000026010000}"/>
    <cellStyle name="20 % - Markeringsfarve5 3 3" xfId="6747" xr:uid="{00000000-0005-0000-0000-000027010000}"/>
    <cellStyle name="20 % - Markeringsfarve5 3 3 2" xfId="9502" xr:uid="{00000000-0005-0000-0000-000028010000}"/>
    <cellStyle name="20 % - Markeringsfarve5 3 4" xfId="8140" xr:uid="{00000000-0005-0000-0000-000029010000}"/>
    <cellStyle name="20 % - Markeringsfarve5 4" xfId="3559" xr:uid="{00000000-0005-0000-0000-00002A010000}"/>
    <cellStyle name="20 % - Markeringsfarve5 4 2" xfId="4201" xr:uid="{00000000-0005-0000-0000-00002B010000}"/>
    <cellStyle name="20 % - Markeringsfarve5 4 2 2" xfId="7369" xr:uid="{00000000-0005-0000-0000-00002C010000}"/>
    <cellStyle name="20 % - Markeringsfarve5 4 2 2 2" xfId="10124" xr:uid="{00000000-0005-0000-0000-00002D010000}"/>
    <cellStyle name="20 % - Markeringsfarve5 4 2 3" xfId="8762" xr:uid="{00000000-0005-0000-0000-00002E010000}"/>
    <cellStyle name="20 % - Markeringsfarve5 4 3" xfId="6746" xr:uid="{00000000-0005-0000-0000-00002F010000}"/>
    <cellStyle name="20 % - Markeringsfarve5 4 3 2" xfId="9501" xr:uid="{00000000-0005-0000-0000-000030010000}"/>
    <cellStyle name="20 % - Markeringsfarve5 4 4" xfId="8139" xr:uid="{00000000-0005-0000-0000-000031010000}"/>
    <cellStyle name="20 % - Markeringsfarve5 5" xfId="3558" xr:uid="{00000000-0005-0000-0000-000032010000}"/>
    <cellStyle name="20 % - Markeringsfarve5 5 2" xfId="4200" xr:uid="{00000000-0005-0000-0000-000033010000}"/>
    <cellStyle name="20 % - Markeringsfarve5 5 2 2" xfId="7368" xr:uid="{00000000-0005-0000-0000-000034010000}"/>
    <cellStyle name="20 % - Markeringsfarve5 5 2 2 2" xfId="10123" xr:uid="{00000000-0005-0000-0000-000035010000}"/>
    <cellStyle name="20 % - Markeringsfarve5 5 2 3" xfId="8761" xr:uid="{00000000-0005-0000-0000-000036010000}"/>
    <cellStyle name="20 % - Markeringsfarve5 5 3" xfId="6745" xr:uid="{00000000-0005-0000-0000-000037010000}"/>
    <cellStyle name="20 % - Markeringsfarve5 5 3 2" xfId="9500" xr:uid="{00000000-0005-0000-0000-000038010000}"/>
    <cellStyle name="20 % - Markeringsfarve5 5 4" xfId="8138" xr:uid="{00000000-0005-0000-0000-000039010000}"/>
    <cellStyle name="20 % - Markeringsfarve5 6" xfId="3557" xr:uid="{00000000-0005-0000-0000-00003A010000}"/>
    <cellStyle name="20 % - Markeringsfarve5 6 2" xfId="4199" xr:uid="{00000000-0005-0000-0000-00003B010000}"/>
    <cellStyle name="20 % - Markeringsfarve5 6 2 2" xfId="7367" xr:uid="{00000000-0005-0000-0000-00003C010000}"/>
    <cellStyle name="20 % - Markeringsfarve5 6 2 2 2" xfId="10122" xr:uid="{00000000-0005-0000-0000-00003D010000}"/>
    <cellStyle name="20 % - Markeringsfarve5 6 2 3" xfId="8760" xr:uid="{00000000-0005-0000-0000-00003E010000}"/>
    <cellStyle name="20 % - Markeringsfarve5 6 3" xfId="6744" xr:uid="{00000000-0005-0000-0000-00003F010000}"/>
    <cellStyle name="20 % - Markeringsfarve5 6 3 2" xfId="9499" xr:uid="{00000000-0005-0000-0000-000040010000}"/>
    <cellStyle name="20 % - Markeringsfarve5 6 4" xfId="8137" xr:uid="{00000000-0005-0000-0000-000041010000}"/>
    <cellStyle name="20 % - Markeringsfarve5 7" xfId="4167" xr:uid="{00000000-0005-0000-0000-000042010000}"/>
    <cellStyle name="20 % - Markeringsfarve5 7 2" xfId="7335" xr:uid="{00000000-0005-0000-0000-000043010000}"/>
    <cellStyle name="20 % - Markeringsfarve5 7 2 2" xfId="10090" xr:uid="{00000000-0005-0000-0000-000044010000}"/>
    <cellStyle name="20 % - Markeringsfarve5 7 3" xfId="8728" xr:uid="{00000000-0005-0000-0000-000045010000}"/>
    <cellStyle name="20 % - Markeringsfarve6 2" xfId="3556" xr:uid="{00000000-0005-0000-0000-000047010000}"/>
    <cellStyle name="20 % - Markeringsfarve6 2 2" xfId="3555" xr:uid="{00000000-0005-0000-0000-000048010000}"/>
    <cellStyle name="20 % - Markeringsfarve6 2 2 2" xfId="4197" xr:uid="{00000000-0005-0000-0000-000049010000}"/>
    <cellStyle name="20 % - Markeringsfarve6 2 2 2 2" xfId="7365" xr:uid="{00000000-0005-0000-0000-00004A010000}"/>
    <cellStyle name="20 % - Markeringsfarve6 2 2 2 2 2" xfId="10120" xr:uid="{00000000-0005-0000-0000-00004B010000}"/>
    <cellStyle name="20 % - Markeringsfarve6 2 2 2 3" xfId="8758" xr:uid="{00000000-0005-0000-0000-00004C010000}"/>
    <cellStyle name="20 % - Markeringsfarve6 2 2 3" xfId="6742" xr:uid="{00000000-0005-0000-0000-00004D010000}"/>
    <cellStyle name="20 % - Markeringsfarve6 2 2 3 2" xfId="9497" xr:uid="{00000000-0005-0000-0000-00004E010000}"/>
    <cellStyle name="20 % - Markeringsfarve6 2 2 4" xfId="8135" xr:uid="{00000000-0005-0000-0000-00004F010000}"/>
    <cellStyle name="20 % - Markeringsfarve6 2 3" xfId="3554" xr:uid="{00000000-0005-0000-0000-000050010000}"/>
    <cellStyle name="20 % - Markeringsfarve6 2 3 2" xfId="4196" xr:uid="{00000000-0005-0000-0000-000051010000}"/>
    <cellStyle name="20 % - Markeringsfarve6 2 3 2 2" xfId="7364" xr:uid="{00000000-0005-0000-0000-000052010000}"/>
    <cellStyle name="20 % - Markeringsfarve6 2 3 2 2 2" xfId="10119" xr:uid="{00000000-0005-0000-0000-000053010000}"/>
    <cellStyle name="20 % - Markeringsfarve6 2 3 2 3" xfId="8757" xr:uid="{00000000-0005-0000-0000-000054010000}"/>
    <cellStyle name="20 % - Markeringsfarve6 2 3 3" xfId="6741" xr:uid="{00000000-0005-0000-0000-000055010000}"/>
    <cellStyle name="20 % - Markeringsfarve6 2 3 3 2" xfId="9496" xr:uid="{00000000-0005-0000-0000-000056010000}"/>
    <cellStyle name="20 % - Markeringsfarve6 2 3 4" xfId="8134" xr:uid="{00000000-0005-0000-0000-000057010000}"/>
    <cellStyle name="20 % - Markeringsfarve6 2 4" xfId="4198" xr:uid="{00000000-0005-0000-0000-000058010000}"/>
    <cellStyle name="20 % - Markeringsfarve6 2 4 2" xfId="7366" xr:uid="{00000000-0005-0000-0000-000059010000}"/>
    <cellStyle name="20 % - Markeringsfarve6 2 4 2 2" xfId="10121" xr:uid="{00000000-0005-0000-0000-00005A010000}"/>
    <cellStyle name="20 % - Markeringsfarve6 2 4 3" xfId="8759" xr:uid="{00000000-0005-0000-0000-00005B010000}"/>
    <cellStyle name="20 % - Markeringsfarve6 2 5" xfId="6743" xr:uid="{00000000-0005-0000-0000-00005C010000}"/>
    <cellStyle name="20 % - Markeringsfarve6 2 5 2" xfId="9498" xr:uid="{00000000-0005-0000-0000-00005D010000}"/>
    <cellStyle name="20 % - Markeringsfarve6 2 6" xfId="8136" xr:uid="{00000000-0005-0000-0000-00005E010000}"/>
    <cellStyle name="20 % - Markeringsfarve6 3" xfId="3553" xr:uid="{00000000-0005-0000-0000-00005F010000}"/>
    <cellStyle name="20 % - Markeringsfarve6 3 2" xfId="4195" xr:uid="{00000000-0005-0000-0000-000060010000}"/>
    <cellStyle name="20 % - Markeringsfarve6 3 2 2" xfId="7363" xr:uid="{00000000-0005-0000-0000-000061010000}"/>
    <cellStyle name="20 % - Markeringsfarve6 3 2 2 2" xfId="10118" xr:uid="{00000000-0005-0000-0000-000062010000}"/>
    <cellStyle name="20 % - Markeringsfarve6 3 2 3" xfId="8756" xr:uid="{00000000-0005-0000-0000-000063010000}"/>
    <cellStyle name="20 % - Markeringsfarve6 3 3" xfId="6740" xr:uid="{00000000-0005-0000-0000-000064010000}"/>
    <cellStyle name="20 % - Markeringsfarve6 3 3 2" xfId="9495" xr:uid="{00000000-0005-0000-0000-000065010000}"/>
    <cellStyle name="20 % - Markeringsfarve6 3 4" xfId="8133" xr:uid="{00000000-0005-0000-0000-000066010000}"/>
    <cellStyle name="20 % - Markeringsfarve6 4" xfId="3552" xr:uid="{00000000-0005-0000-0000-000067010000}"/>
    <cellStyle name="20 % - Markeringsfarve6 4 2" xfId="4194" xr:uid="{00000000-0005-0000-0000-000068010000}"/>
    <cellStyle name="20 % - Markeringsfarve6 4 2 2" xfId="7362" xr:uid="{00000000-0005-0000-0000-000069010000}"/>
    <cellStyle name="20 % - Markeringsfarve6 4 2 2 2" xfId="10117" xr:uid="{00000000-0005-0000-0000-00006A010000}"/>
    <cellStyle name="20 % - Markeringsfarve6 4 2 3" xfId="8755" xr:uid="{00000000-0005-0000-0000-00006B010000}"/>
    <cellStyle name="20 % - Markeringsfarve6 4 3" xfId="6739" xr:uid="{00000000-0005-0000-0000-00006C010000}"/>
    <cellStyle name="20 % - Markeringsfarve6 4 3 2" xfId="9494" xr:uid="{00000000-0005-0000-0000-00006D010000}"/>
    <cellStyle name="20 % - Markeringsfarve6 4 4" xfId="8132" xr:uid="{00000000-0005-0000-0000-00006E010000}"/>
    <cellStyle name="20 % - Markeringsfarve6 5" xfId="3551" xr:uid="{00000000-0005-0000-0000-00006F010000}"/>
    <cellStyle name="20 % - Markeringsfarve6 5 2" xfId="4193" xr:uid="{00000000-0005-0000-0000-000070010000}"/>
    <cellStyle name="20 % - Markeringsfarve6 5 2 2" xfId="7361" xr:uid="{00000000-0005-0000-0000-000071010000}"/>
    <cellStyle name="20 % - Markeringsfarve6 5 2 2 2" xfId="10116" xr:uid="{00000000-0005-0000-0000-000072010000}"/>
    <cellStyle name="20 % - Markeringsfarve6 5 2 3" xfId="8754" xr:uid="{00000000-0005-0000-0000-000073010000}"/>
    <cellStyle name="20 % - Markeringsfarve6 5 3" xfId="6738" xr:uid="{00000000-0005-0000-0000-000074010000}"/>
    <cellStyle name="20 % - Markeringsfarve6 5 3 2" xfId="9493" xr:uid="{00000000-0005-0000-0000-000075010000}"/>
    <cellStyle name="20 % - Markeringsfarve6 5 4" xfId="8131" xr:uid="{00000000-0005-0000-0000-000076010000}"/>
    <cellStyle name="20 % - Markeringsfarve6 6" xfId="3550" xr:uid="{00000000-0005-0000-0000-000077010000}"/>
    <cellStyle name="20 % - Markeringsfarve6 6 2" xfId="4192" xr:uid="{00000000-0005-0000-0000-000078010000}"/>
    <cellStyle name="20 % - Markeringsfarve6 6 2 2" xfId="7360" xr:uid="{00000000-0005-0000-0000-000079010000}"/>
    <cellStyle name="20 % - Markeringsfarve6 6 2 2 2" xfId="10115" xr:uid="{00000000-0005-0000-0000-00007A010000}"/>
    <cellStyle name="20 % - Markeringsfarve6 6 2 3" xfId="8753" xr:uid="{00000000-0005-0000-0000-00007B010000}"/>
    <cellStyle name="20 % - Markeringsfarve6 6 3" xfId="6737" xr:uid="{00000000-0005-0000-0000-00007C010000}"/>
    <cellStyle name="20 % - Markeringsfarve6 6 3 2" xfId="9492" xr:uid="{00000000-0005-0000-0000-00007D010000}"/>
    <cellStyle name="20 % - Markeringsfarve6 6 4" xfId="8130" xr:uid="{00000000-0005-0000-0000-00007E010000}"/>
    <cellStyle name="20 % - Markeringsfarve6 7" xfId="4169" xr:uid="{00000000-0005-0000-0000-00007F010000}"/>
    <cellStyle name="20 % - Markeringsfarve6 7 2" xfId="7337" xr:uid="{00000000-0005-0000-0000-000080010000}"/>
    <cellStyle name="20 % - Markeringsfarve6 7 2 2" xfId="10092" xr:uid="{00000000-0005-0000-0000-000081010000}"/>
    <cellStyle name="20 % - Markeringsfarve6 7 3" xfId="8730" xr:uid="{00000000-0005-0000-0000-000082010000}"/>
    <cellStyle name="20% - Accent1 2" xfId="3390" xr:uid="{00000000-0005-0000-0000-000083010000}"/>
    <cellStyle name="20% - Accent1 3" xfId="6634" xr:uid="{00000000-0005-0000-0000-000084010000}"/>
    <cellStyle name="20% - Accent1 3 2" xfId="9398" xr:uid="{00000000-0005-0000-0000-000085010000}"/>
    <cellStyle name="20% - Accent1 4" xfId="8027" xr:uid="{00000000-0005-0000-0000-000086010000}"/>
    <cellStyle name="20% - Accent2 2" xfId="3391" xr:uid="{00000000-0005-0000-0000-000087010000}"/>
    <cellStyle name="20% - Accent2 3" xfId="6636" xr:uid="{00000000-0005-0000-0000-000088010000}"/>
    <cellStyle name="20% - Accent2 3 2" xfId="9400" xr:uid="{00000000-0005-0000-0000-000089010000}"/>
    <cellStyle name="20% - Accent2 4" xfId="8029" xr:uid="{00000000-0005-0000-0000-00008A010000}"/>
    <cellStyle name="20% - Accent3 2" xfId="3392" xr:uid="{00000000-0005-0000-0000-00008B010000}"/>
    <cellStyle name="20% - Accent3 3" xfId="6638" xr:uid="{00000000-0005-0000-0000-00008C010000}"/>
    <cellStyle name="20% - Accent3 3 2" xfId="9402" xr:uid="{00000000-0005-0000-0000-00008D010000}"/>
    <cellStyle name="20% - Accent3 4" xfId="8031" xr:uid="{00000000-0005-0000-0000-00008E010000}"/>
    <cellStyle name="20% - Accent4 2" xfId="3393" xr:uid="{00000000-0005-0000-0000-00008F010000}"/>
    <cellStyle name="20% - Accent4 3" xfId="6640" xr:uid="{00000000-0005-0000-0000-000090010000}"/>
    <cellStyle name="20% - Accent4 3 2" xfId="9404" xr:uid="{00000000-0005-0000-0000-000091010000}"/>
    <cellStyle name="20% - Accent4 4" xfId="8033" xr:uid="{00000000-0005-0000-0000-000092010000}"/>
    <cellStyle name="20% - Accent5 2" xfId="3394" xr:uid="{00000000-0005-0000-0000-000093010000}"/>
    <cellStyle name="20% - Accent5 3" xfId="6642" xr:uid="{00000000-0005-0000-0000-000094010000}"/>
    <cellStyle name="20% - Accent5 3 2" xfId="9406" xr:uid="{00000000-0005-0000-0000-000095010000}"/>
    <cellStyle name="20% - Accent5 4" xfId="8035" xr:uid="{00000000-0005-0000-0000-000096010000}"/>
    <cellStyle name="20% - Accent6 2" xfId="3395" xr:uid="{00000000-0005-0000-0000-000097010000}"/>
    <cellStyle name="20% - Accent6 3" xfId="6644" xr:uid="{00000000-0005-0000-0000-000098010000}"/>
    <cellStyle name="20% - Accent6 3 2" xfId="9408" xr:uid="{00000000-0005-0000-0000-000099010000}"/>
    <cellStyle name="20% - Accent6 4" xfId="8037" xr:uid="{00000000-0005-0000-0000-00009A010000}"/>
    <cellStyle name="20% - Colore 1" xfId="3" xr:uid="{00000000-0005-0000-0000-00009B010000}"/>
    <cellStyle name="20% - Colore 2" xfId="4" xr:uid="{00000000-0005-0000-0000-00009C010000}"/>
    <cellStyle name="20% - Colore 3" xfId="5" xr:uid="{00000000-0005-0000-0000-00009D010000}"/>
    <cellStyle name="20% - Colore 4" xfId="6" xr:uid="{00000000-0005-0000-0000-00009E010000}"/>
    <cellStyle name="20% - Colore 5" xfId="7" xr:uid="{00000000-0005-0000-0000-00009F010000}"/>
    <cellStyle name="20% - Colore 6" xfId="8" xr:uid="{00000000-0005-0000-0000-0000A0010000}"/>
    <cellStyle name="40 % - Farve1" xfId="3340" builtinId="31" customBuiltin="1"/>
    <cellStyle name="40 % - Farve2" xfId="3344" builtinId="35" customBuiltin="1"/>
    <cellStyle name="40 % - Farve3" xfId="3348" builtinId="39" customBuiltin="1"/>
    <cellStyle name="40 % - Farve4" xfId="3352" builtinId="43" customBuiltin="1"/>
    <cellStyle name="40 % - Farve5" xfId="3356" builtinId="47" customBuiltin="1"/>
    <cellStyle name="40 % - Farve6" xfId="3360" builtinId="51" customBuiltin="1"/>
    <cellStyle name="40 % - Markeringsfarve1 2" xfId="3549" xr:uid="{00000000-0005-0000-0000-0000A2010000}"/>
    <cellStyle name="40 % - Markeringsfarve1 2 2" xfId="3548" xr:uid="{00000000-0005-0000-0000-0000A3010000}"/>
    <cellStyle name="40 % - Markeringsfarve1 2 2 2" xfId="4190" xr:uid="{00000000-0005-0000-0000-0000A4010000}"/>
    <cellStyle name="40 % - Markeringsfarve1 2 2 2 2" xfId="7358" xr:uid="{00000000-0005-0000-0000-0000A5010000}"/>
    <cellStyle name="40 % - Markeringsfarve1 2 2 2 2 2" xfId="10113" xr:uid="{00000000-0005-0000-0000-0000A6010000}"/>
    <cellStyle name="40 % - Markeringsfarve1 2 2 2 3" xfId="8751" xr:uid="{00000000-0005-0000-0000-0000A7010000}"/>
    <cellStyle name="40 % - Markeringsfarve1 2 2 3" xfId="6735" xr:uid="{00000000-0005-0000-0000-0000A8010000}"/>
    <cellStyle name="40 % - Markeringsfarve1 2 2 3 2" xfId="9490" xr:uid="{00000000-0005-0000-0000-0000A9010000}"/>
    <cellStyle name="40 % - Markeringsfarve1 2 2 4" xfId="8128" xr:uid="{00000000-0005-0000-0000-0000AA010000}"/>
    <cellStyle name="40 % - Markeringsfarve1 2 3" xfId="3547" xr:uid="{00000000-0005-0000-0000-0000AB010000}"/>
    <cellStyle name="40 % - Markeringsfarve1 2 3 2" xfId="4189" xr:uid="{00000000-0005-0000-0000-0000AC010000}"/>
    <cellStyle name="40 % - Markeringsfarve1 2 3 2 2" xfId="7357" xr:uid="{00000000-0005-0000-0000-0000AD010000}"/>
    <cellStyle name="40 % - Markeringsfarve1 2 3 2 2 2" xfId="10112" xr:uid="{00000000-0005-0000-0000-0000AE010000}"/>
    <cellStyle name="40 % - Markeringsfarve1 2 3 2 3" xfId="8750" xr:uid="{00000000-0005-0000-0000-0000AF010000}"/>
    <cellStyle name="40 % - Markeringsfarve1 2 3 3" xfId="6734" xr:uid="{00000000-0005-0000-0000-0000B0010000}"/>
    <cellStyle name="40 % - Markeringsfarve1 2 3 3 2" xfId="9489" xr:uid="{00000000-0005-0000-0000-0000B1010000}"/>
    <cellStyle name="40 % - Markeringsfarve1 2 3 4" xfId="8127" xr:uid="{00000000-0005-0000-0000-0000B2010000}"/>
    <cellStyle name="40 % - Markeringsfarve1 2 4" xfId="4191" xr:uid="{00000000-0005-0000-0000-0000B3010000}"/>
    <cellStyle name="40 % - Markeringsfarve1 2 4 2" xfId="7359" xr:uid="{00000000-0005-0000-0000-0000B4010000}"/>
    <cellStyle name="40 % - Markeringsfarve1 2 4 2 2" xfId="10114" xr:uid="{00000000-0005-0000-0000-0000B5010000}"/>
    <cellStyle name="40 % - Markeringsfarve1 2 4 3" xfId="8752" xr:uid="{00000000-0005-0000-0000-0000B6010000}"/>
    <cellStyle name="40 % - Markeringsfarve1 2 5" xfId="6736" xr:uid="{00000000-0005-0000-0000-0000B7010000}"/>
    <cellStyle name="40 % - Markeringsfarve1 2 5 2" xfId="9491" xr:uid="{00000000-0005-0000-0000-0000B8010000}"/>
    <cellStyle name="40 % - Markeringsfarve1 2 6" xfId="8129" xr:uid="{00000000-0005-0000-0000-0000B9010000}"/>
    <cellStyle name="40 % - Markeringsfarve1 3" xfId="3546" xr:uid="{00000000-0005-0000-0000-0000BA010000}"/>
    <cellStyle name="40 % - Markeringsfarve1 3 2" xfId="4188" xr:uid="{00000000-0005-0000-0000-0000BB010000}"/>
    <cellStyle name="40 % - Markeringsfarve1 3 2 2" xfId="7356" xr:uid="{00000000-0005-0000-0000-0000BC010000}"/>
    <cellStyle name="40 % - Markeringsfarve1 3 2 2 2" xfId="10111" xr:uid="{00000000-0005-0000-0000-0000BD010000}"/>
    <cellStyle name="40 % - Markeringsfarve1 3 2 3" xfId="8749" xr:uid="{00000000-0005-0000-0000-0000BE010000}"/>
    <cellStyle name="40 % - Markeringsfarve1 3 3" xfId="6733" xr:uid="{00000000-0005-0000-0000-0000BF010000}"/>
    <cellStyle name="40 % - Markeringsfarve1 3 3 2" xfId="9488" xr:uid="{00000000-0005-0000-0000-0000C0010000}"/>
    <cellStyle name="40 % - Markeringsfarve1 3 4" xfId="8126" xr:uid="{00000000-0005-0000-0000-0000C1010000}"/>
    <cellStyle name="40 % - Markeringsfarve1 4" xfId="3545" xr:uid="{00000000-0005-0000-0000-0000C2010000}"/>
    <cellStyle name="40 % - Markeringsfarve1 4 2" xfId="4187" xr:uid="{00000000-0005-0000-0000-0000C3010000}"/>
    <cellStyle name="40 % - Markeringsfarve1 4 2 2" xfId="7355" xr:uid="{00000000-0005-0000-0000-0000C4010000}"/>
    <cellStyle name="40 % - Markeringsfarve1 4 2 2 2" xfId="10110" xr:uid="{00000000-0005-0000-0000-0000C5010000}"/>
    <cellStyle name="40 % - Markeringsfarve1 4 2 3" xfId="8748" xr:uid="{00000000-0005-0000-0000-0000C6010000}"/>
    <cellStyle name="40 % - Markeringsfarve1 4 3" xfId="6732" xr:uid="{00000000-0005-0000-0000-0000C7010000}"/>
    <cellStyle name="40 % - Markeringsfarve1 4 3 2" xfId="9487" xr:uid="{00000000-0005-0000-0000-0000C8010000}"/>
    <cellStyle name="40 % - Markeringsfarve1 4 4" xfId="8125" xr:uid="{00000000-0005-0000-0000-0000C9010000}"/>
    <cellStyle name="40 % - Markeringsfarve1 5" xfId="3544" xr:uid="{00000000-0005-0000-0000-0000CA010000}"/>
    <cellStyle name="40 % - Markeringsfarve1 5 2" xfId="4186" xr:uid="{00000000-0005-0000-0000-0000CB010000}"/>
    <cellStyle name="40 % - Markeringsfarve1 5 2 2" xfId="7354" xr:uid="{00000000-0005-0000-0000-0000CC010000}"/>
    <cellStyle name="40 % - Markeringsfarve1 5 2 2 2" xfId="10109" xr:uid="{00000000-0005-0000-0000-0000CD010000}"/>
    <cellStyle name="40 % - Markeringsfarve1 5 2 3" xfId="8747" xr:uid="{00000000-0005-0000-0000-0000CE010000}"/>
    <cellStyle name="40 % - Markeringsfarve1 5 3" xfId="6731" xr:uid="{00000000-0005-0000-0000-0000CF010000}"/>
    <cellStyle name="40 % - Markeringsfarve1 5 3 2" xfId="9486" xr:uid="{00000000-0005-0000-0000-0000D0010000}"/>
    <cellStyle name="40 % - Markeringsfarve1 5 4" xfId="8124" xr:uid="{00000000-0005-0000-0000-0000D1010000}"/>
    <cellStyle name="40 % - Markeringsfarve1 6" xfId="3543" xr:uid="{00000000-0005-0000-0000-0000D2010000}"/>
    <cellStyle name="40 % - Markeringsfarve1 6 2" xfId="4185" xr:uid="{00000000-0005-0000-0000-0000D3010000}"/>
    <cellStyle name="40 % - Markeringsfarve1 6 2 2" xfId="7353" xr:uid="{00000000-0005-0000-0000-0000D4010000}"/>
    <cellStyle name="40 % - Markeringsfarve1 6 2 2 2" xfId="10108" xr:uid="{00000000-0005-0000-0000-0000D5010000}"/>
    <cellStyle name="40 % - Markeringsfarve1 6 2 3" xfId="8746" xr:uid="{00000000-0005-0000-0000-0000D6010000}"/>
    <cellStyle name="40 % - Markeringsfarve1 6 3" xfId="6730" xr:uid="{00000000-0005-0000-0000-0000D7010000}"/>
    <cellStyle name="40 % - Markeringsfarve1 6 3 2" xfId="9485" xr:uid="{00000000-0005-0000-0000-0000D8010000}"/>
    <cellStyle name="40 % - Markeringsfarve1 6 4" xfId="8123" xr:uid="{00000000-0005-0000-0000-0000D9010000}"/>
    <cellStyle name="40 % - Markeringsfarve1 7" xfId="4160" xr:uid="{00000000-0005-0000-0000-0000DA010000}"/>
    <cellStyle name="40 % - Markeringsfarve1 7 2" xfId="7328" xr:uid="{00000000-0005-0000-0000-0000DB010000}"/>
    <cellStyle name="40 % - Markeringsfarve1 7 2 2" xfId="10083" xr:uid="{00000000-0005-0000-0000-0000DC010000}"/>
    <cellStyle name="40 % - Markeringsfarve1 7 3" xfId="8721" xr:uid="{00000000-0005-0000-0000-0000DD010000}"/>
    <cellStyle name="40 % - Markeringsfarve2 2" xfId="3542" xr:uid="{00000000-0005-0000-0000-0000DF010000}"/>
    <cellStyle name="40 % - Markeringsfarve2 2 2" xfId="3541" xr:uid="{00000000-0005-0000-0000-0000E0010000}"/>
    <cellStyle name="40 % - Markeringsfarve2 2 2 2" xfId="4183" xr:uid="{00000000-0005-0000-0000-0000E1010000}"/>
    <cellStyle name="40 % - Markeringsfarve2 2 2 2 2" xfId="7351" xr:uid="{00000000-0005-0000-0000-0000E2010000}"/>
    <cellStyle name="40 % - Markeringsfarve2 2 2 2 2 2" xfId="10106" xr:uid="{00000000-0005-0000-0000-0000E3010000}"/>
    <cellStyle name="40 % - Markeringsfarve2 2 2 2 3" xfId="8744" xr:uid="{00000000-0005-0000-0000-0000E4010000}"/>
    <cellStyle name="40 % - Markeringsfarve2 2 2 3" xfId="6728" xr:uid="{00000000-0005-0000-0000-0000E5010000}"/>
    <cellStyle name="40 % - Markeringsfarve2 2 2 3 2" xfId="9483" xr:uid="{00000000-0005-0000-0000-0000E6010000}"/>
    <cellStyle name="40 % - Markeringsfarve2 2 2 4" xfId="8121" xr:uid="{00000000-0005-0000-0000-0000E7010000}"/>
    <cellStyle name="40 % - Markeringsfarve2 2 3" xfId="3540" xr:uid="{00000000-0005-0000-0000-0000E8010000}"/>
    <cellStyle name="40 % - Markeringsfarve2 2 3 2" xfId="4182" xr:uid="{00000000-0005-0000-0000-0000E9010000}"/>
    <cellStyle name="40 % - Markeringsfarve2 2 3 2 2" xfId="7350" xr:uid="{00000000-0005-0000-0000-0000EA010000}"/>
    <cellStyle name="40 % - Markeringsfarve2 2 3 2 2 2" xfId="10105" xr:uid="{00000000-0005-0000-0000-0000EB010000}"/>
    <cellStyle name="40 % - Markeringsfarve2 2 3 2 3" xfId="8743" xr:uid="{00000000-0005-0000-0000-0000EC010000}"/>
    <cellStyle name="40 % - Markeringsfarve2 2 3 3" xfId="6727" xr:uid="{00000000-0005-0000-0000-0000ED010000}"/>
    <cellStyle name="40 % - Markeringsfarve2 2 3 3 2" xfId="9482" xr:uid="{00000000-0005-0000-0000-0000EE010000}"/>
    <cellStyle name="40 % - Markeringsfarve2 2 3 4" xfId="8120" xr:uid="{00000000-0005-0000-0000-0000EF010000}"/>
    <cellStyle name="40 % - Markeringsfarve2 2 4" xfId="4184" xr:uid="{00000000-0005-0000-0000-0000F0010000}"/>
    <cellStyle name="40 % - Markeringsfarve2 2 4 2" xfId="7352" xr:uid="{00000000-0005-0000-0000-0000F1010000}"/>
    <cellStyle name="40 % - Markeringsfarve2 2 4 2 2" xfId="10107" xr:uid="{00000000-0005-0000-0000-0000F2010000}"/>
    <cellStyle name="40 % - Markeringsfarve2 2 4 3" xfId="8745" xr:uid="{00000000-0005-0000-0000-0000F3010000}"/>
    <cellStyle name="40 % - Markeringsfarve2 2 5" xfId="6729" xr:uid="{00000000-0005-0000-0000-0000F4010000}"/>
    <cellStyle name="40 % - Markeringsfarve2 2 5 2" xfId="9484" xr:uid="{00000000-0005-0000-0000-0000F5010000}"/>
    <cellStyle name="40 % - Markeringsfarve2 2 6" xfId="8122" xr:uid="{00000000-0005-0000-0000-0000F6010000}"/>
    <cellStyle name="40 % - Markeringsfarve2 3" xfId="3539" xr:uid="{00000000-0005-0000-0000-0000F7010000}"/>
    <cellStyle name="40 % - Markeringsfarve2 3 2" xfId="4181" xr:uid="{00000000-0005-0000-0000-0000F8010000}"/>
    <cellStyle name="40 % - Markeringsfarve2 3 2 2" xfId="7349" xr:uid="{00000000-0005-0000-0000-0000F9010000}"/>
    <cellStyle name="40 % - Markeringsfarve2 3 2 2 2" xfId="10104" xr:uid="{00000000-0005-0000-0000-0000FA010000}"/>
    <cellStyle name="40 % - Markeringsfarve2 3 2 3" xfId="8742" xr:uid="{00000000-0005-0000-0000-0000FB010000}"/>
    <cellStyle name="40 % - Markeringsfarve2 3 3" xfId="6726" xr:uid="{00000000-0005-0000-0000-0000FC010000}"/>
    <cellStyle name="40 % - Markeringsfarve2 3 3 2" xfId="9481" xr:uid="{00000000-0005-0000-0000-0000FD010000}"/>
    <cellStyle name="40 % - Markeringsfarve2 3 4" xfId="8119" xr:uid="{00000000-0005-0000-0000-0000FE010000}"/>
    <cellStyle name="40 % - Markeringsfarve2 4" xfId="3538" xr:uid="{00000000-0005-0000-0000-0000FF010000}"/>
    <cellStyle name="40 % - Markeringsfarve2 4 2" xfId="4180" xr:uid="{00000000-0005-0000-0000-000000020000}"/>
    <cellStyle name="40 % - Markeringsfarve2 4 2 2" xfId="7348" xr:uid="{00000000-0005-0000-0000-000001020000}"/>
    <cellStyle name="40 % - Markeringsfarve2 4 2 2 2" xfId="10103" xr:uid="{00000000-0005-0000-0000-000002020000}"/>
    <cellStyle name="40 % - Markeringsfarve2 4 2 3" xfId="8741" xr:uid="{00000000-0005-0000-0000-000003020000}"/>
    <cellStyle name="40 % - Markeringsfarve2 4 3" xfId="6725" xr:uid="{00000000-0005-0000-0000-000004020000}"/>
    <cellStyle name="40 % - Markeringsfarve2 4 3 2" xfId="9480" xr:uid="{00000000-0005-0000-0000-000005020000}"/>
    <cellStyle name="40 % - Markeringsfarve2 4 4" xfId="8118" xr:uid="{00000000-0005-0000-0000-000006020000}"/>
    <cellStyle name="40 % - Markeringsfarve2 5" xfId="3537" xr:uid="{00000000-0005-0000-0000-000007020000}"/>
    <cellStyle name="40 % - Markeringsfarve2 5 2" xfId="4179" xr:uid="{00000000-0005-0000-0000-000008020000}"/>
    <cellStyle name="40 % - Markeringsfarve2 5 2 2" xfId="7347" xr:uid="{00000000-0005-0000-0000-000009020000}"/>
    <cellStyle name="40 % - Markeringsfarve2 5 2 2 2" xfId="10102" xr:uid="{00000000-0005-0000-0000-00000A020000}"/>
    <cellStyle name="40 % - Markeringsfarve2 5 2 3" xfId="8740" xr:uid="{00000000-0005-0000-0000-00000B020000}"/>
    <cellStyle name="40 % - Markeringsfarve2 5 3" xfId="6724" xr:uid="{00000000-0005-0000-0000-00000C020000}"/>
    <cellStyle name="40 % - Markeringsfarve2 5 3 2" xfId="9479" xr:uid="{00000000-0005-0000-0000-00000D020000}"/>
    <cellStyle name="40 % - Markeringsfarve2 5 4" xfId="8117" xr:uid="{00000000-0005-0000-0000-00000E020000}"/>
    <cellStyle name="40 % - Markeringsfarve2 6" xfId="3536" xr:uid="{00000000-0005-0000-0000-00000F020000}"/>
    <cellStyle name="40 % - Markeringsfarve2 6 2" xfId="4178" xr:uid="{00000000-0005-0000-0000-000010020000}"/>
    <cellStyle name="40 % - Markeringsfarve2 6 2 2" xfId="7346" xr:uid="{00000000-0005-0000-0000-000011020000}"/>
    <cellStyle name="40 % - Markeringsfarve2 6 2 2 2" xfId="10101" xr:uid="{00000000-0005-0000-0000-000012020000}"/>
    <cellStyle name="40 % - Markeringsfarve2 6 2 3" xfId="8739" xr:uid="{00000000-0005-0000-0000-000013020000}"/>
    <cellStyle name="40 % - Markeringsfarve2 6 3" xfId="6723" xr:uid="{00000000-0005-0000-0000-000014020000}"/>
    <cellStyle name="40 % - Markeringsfarve2 6 3 2" xfId="9478" xr:uid="{00000000-0005-0000-0000-000015020000}"/>
    <cellStyle name="40 % - Markeringsfarve2 6 4" xfId="8116" xr:uid="{00000000-0005-0000-0000-000016020000}"/>
    <cellStyle name="40 % - Markeringsfarve2 7" xfId="4162" xr:uid="{00000000-0005-0000-0000-000017020000}"/>
    <cellStyle name="40 % - Markeringsfarve2 7 2" xfId="7330" xr:uid="{00000000-0005-0000-0000-000018020000}"/>
    <cellStyle name="40 % - Markeringsfarve2 7 2 2" xfId="10085" xr:uid="{00000000-0005-0000-0000-000019020000}"/>
    <cellStyle name="40 % - Markeringsfarve2 7 3" xfId="8723" xr:uid="{00000000-0005-0000-0000-00001A020000}"/>
    <cellStyle name="40 % - Markeringsfarve3 2" xfId="3535" xr:uid="{00000000-0005-0000-0000-00001C020000}"/>
    <cellStyle name="40 % - Markeringsfarve3 2 2" xfId="3534" xr:uid="{00000000-0005-0000-0000-00001D020000}"/>
    <cellStyle name="40 % - Markeringsfarve3 2 2 2" xfId="4176" xr:uid="{00000000-0005-0000-0000-00001E020000}"/>
    <cellStyle name="40 % - Markeringsfarve3 2 2 2 2" xfId="7344" xr:uid="{00000000-0005-0000-0000-00001F020000}"/>
    <cellStyle name="40 % - Markeringsfarve3 2 2 2 2 2" xfId="10099" xr:uid="{00000000-0005-0000-0000-000020020000}"/>
    <cellStyle name="40 % - Markeringsfarve3 2 2 2 3" xfId="8737" xr:uid="{00000000-0005-0000-0000-000021020000}"/>
    <cellStyle name="40 % - Markeringsfarve3 2 2 3" xfId="6721" xr:uid="{00000000-0005-0000-0000-000022020000}"/>
    <cellStyle name="40 % - Markeringsfarve3 2 2 3 2" xfId="9476" xr:uid="{00000000-0005-0000-0000-000023020000}"/>
    <cellStyle name="40 % - Markeringsfarve3 2 2 4" xfId="8114" xr:uid="{00000000-0005-0000-0000-000024020000}"/>
    <cellStyle name="40 % - Markeringsfarve3 2 3" xfId="3589" xr:uid="{00000000-0005-0000-0000-000025020000}"/>
    <cellStyle name="40 % - Markeringsfarve3 2 3 2" xfId="4231" xr:uid="{00000000-0005-0000-0000-000026020000}"/>
    <cellStyle name="40 % - Markeringsfarve3 2 3 2 2" xfId="7399" xr:uid="{00000000-0005-0000-0000-000027020000}"/>
    <cellStyle name="40 % - Markeringsfarve3 2 3 2 2 2" xfId="10154" xr:uid="{00000000-0005-0000-0000-000028020000}"/>
    <cellStyle name="40 % - Markeringsfarve3 2 3 2 3" xfId="8792" xr:uid="{00000000-0005-0000-0000-000029020000}"/>
    <cellStyle name="40 % - Markeringsfarve3 2 3 3" xfId="6776" xr:uid="{00000000-0005-0000-0000-00002A020000}"/>
    <cellStyle name="40 % - Markeringsfarve3 2 3 3 2" xfId="9531" xr:uid="{00000000-0005-0000-0000-00002B020000}"/>
    <cellStyle name="40 % - Markeringsfarve3 2 3 4" xfId="8169" xr:uid="{00000000-0005-0000-0000-00002C020000}"/>
    <cellStyle name="40 % - Markeringsfarve3 2 4" xfId="4177" xr:uid="{00000000-0005-0000-0000-00002D020000}"/>
    <cellStyle name="40 % - Markeringsfarve3 2 4 2" xfId="7345" xr:uid="{00000000-0005-0000-0000-00002E020000}"/>
    <cellStyle name="40 % - Markeringsfarve3 2 4 2 2" xfId="10100" xr:uid="{00000000-0005-0000-0000-00002F020000}"/>
    <cellStyle name="40 % - Markeringsfarve3 2 4 3" xfId="8738" xr:uid="{00000000-0005-0000-0000-000030020000}"/>
    <cellStyle name="40 % - Markeringsfarve3 2 5" xfId="6722" xr:uid="{00000000-0005-0000-0000-000031020000}"/>
    <cellStyle name="40 % - Markeringsfarve3 2 5 2" xfId="9477" xr:uid="{00000000-0005-0000-0000-000032020000}"/>
    <cellStyle name="40 % - Markeringsfarve3 2 6" xfId="8115" xr:uid="{00000000-0005-0000-0000-000033020000}"/>
    <cellStyle name="40 % - Markeringsfarve3 3" xfId="3590" xr:uid="{00000000-0005-0000-0000-000034020000}"/>
    <cellStyle name="40 % - Markeringsfarve3 3 2" xfId="4232" xr:uid="{00000000-0005-0000-0000-000035020000}"/>
    <cellStyle name="40 % - Markeringsfarve3 3 2 2" xfId="7400" xr:uid="{00000000-0005-0000-0000-000036020000}"/>
    <cellStyle name="40 % - Markeringsfarve3 3 2 2 2" xfId="10155" xr:uid="{00000000-0005-0000-0000-000037020000}"/>
    <cellStyle name="40 % - Markeringsfarve3 3 2 3" xfId="8793" xr:uid="{00000000-0005-0000-0000-000038020000}"/>
    <cellStyle name="40 % - Markeringsfarve3 3 3" xfId="6777" xr:uid="{00000000-0005-0000-0000-000039020000}"/>
    <cellStyle name="40 % - Markeringsfarve3 3 3 2" xfId="9532" xr:uid="{00000000-0005-0000-0000-00003A020000}"/>
    <cellStyle name="40 % - Markeringsfarve3 3 4" xfId="8170" xr:uid="{00000000-0005-0000-0000-00003B020000}"/>
    <cellStyle name="40 % - Markeringsfarve3 4" xfId="3591" xr:uid="{00000000-0005-0000-0000-00003C020000}"/>
    <cellStyle name="40 % - Markeringsfarve3 4 2" xfId="4233" xr:uid="{00000000-0005-0000-0000-00003D020000}"/>
    <cellStyle name="40 % - Markeringsfarve3 4 2 2" xfId="7401" xr:uid="{00000000-0005-0000-0000-00003E020000}"/>
    <cellStyle name="40 % - Markeringsfarve3 4 2 2 2" xfId="10156" xr:uid="{00000000-0005-0000-0000-00003F020000}"/>
    <cellStyle name="40 % - Markeringsfarve3 4 2 3" xfId="8794" xr:uid="{00000000-0005-0000-0000-000040020000}"/>
    <cellStyle name="40 % - Markeringsfarve3 4 3" xfId="6778" xr:uid="{00000000-0005-0000-0000-000041020000}"/>
    <cellStyle name="40 % - Markeringsfarve3 4 3 2" xfId="9533" xr:uid="{00000000-0005-0000-0000-000042020000}"/>
    <cellStyle name="40 % - Markeringsfarve3 4 4" xfId="8171" xr:uid="{00000000-0005-0000-0000-000043020000}"/>
    <cellStyle name="40 % - Markeringsfarve3 5" xfId="3592" xr:uid="{00000000-0005-0000-0000-000044020000}"/>
    <cellStyle name="40 % - Markeringsfarve3 5 2" xfId="4234" xr:uid="{00000000-0005-0000-0000-000045020000}"/>
    <cellStyle name="40 % - Markeringsfarve3 5 2 2" xfId="7402" xr:uid="{00000000-0005-0000-0000-000046020000}"/>
    <cellStyle name="40 % - Markeringsfarve3 5 2 2 2" xfId="10157" xr:uid="{00000000-0005-0000-0000-000047020000}"/>
    <cellStyle name="40 % - Markeringsfarve3 5 2 3" xfId="8795" xr:uid="{00000000-0005-0000-0000-000048020000}"/>
    <cellStyle name="40 % - Markeringsfarve3 5 3" xfId="6779" xr:uid="{00000000-0005-0000-0000-000049020000}"/>
    <cellStyle name="40 % - Markeringsfarve3 5 3 2" xfId="9534" xr:uid="{00000000-0005-0000-0000-00004A020000}"/>
    <cellStyle name="40 % - Markeringsfarve3 5 4" xfId="8172" xr:uid="{00000000-0005-0000-0000-00004B020000}"/>
    <cellStyle name="40 % - Markeringsfarve3 6" xfId="3593" xr:uid="{00000000-0005-0000-0000-00004C020000}"/>
    <cellStyle name="40 % - Markeringsfarve3 6 2" xfId="4235" xr:uid="{00000000-0005-0000-0000-00004D020000}"/>
    <cellStyle name="40 % - Markeringsfarve3 6 2 2" xfId="7403" xr:uid="{00000000-0005-0000-0000-00004E020000}"/>
    <cellStyle name="40 % - Markeringsfarve3 6 2 2 2" xfId="10158" xr:uid="{00000000-0005-0000-0000-00004F020000}"/>
    <cellStyle name="40 % - Markeringsfarve3 6 2 3" xfId="8796" xr:uid="{00000000-0005-0000-0000-000050020000}"/>
    <cellStyle name="40 % - Markeringsfarve3 6 3" xfId="6780" xr:uid="{00000000-0005-0000-0000-000051020000}"/>
    <cellStyle name="40 % - Markeringsfarve3 6 3 2" xfId="9535" xr:uid="{00000000-0005-0000-0000-000052020000}"/>
    <cellStyle name="40 % - Markeringsfarve3 6 4" xfId="8173" xr:uid="{00000000-0005-0000-0000-000053020000}"/>
    <cellStyle name="40 % - Markeringsfarve3 7" xfId="4164" xr:uid="{00000000-0005-0000-0000-000054020000}"/>
    <cellStyle name="40 % - Markeringsfarve3 7 2" xfId="7332" xr:uid="{00000000-0005-0000-0000-000055020000}"/>
    <cellStyle name="40 % - Markeringsfarve3 7 2 2" xfId="10087" xr:uid="{00000000-0005-0000-0000-000056020000}"/>
    <cellStyle name="40 % - Markeringsfarve3 7 3" xfId="8725" xr:uid="{00000000-0005-0000-0000-000057020000}"/>
    <cellStyle name="40 % - Markeringsfarve4 2" xfId="3594" xr:uid="{00000000-0005-0000-0000-000059020000}"/>
    <cellStyle name="40 % - Markeringsfarve4 2 2" xfId="3595" xr:uid="{00000000-0005-0000-0000-00005A020000}"/>
    <cellStyle name="40 % - Markeringsfarve4 2 2 2" xfId="4237" xr:uid="{00000000-0005-0000-0000-00005B020000}"/>
    <cellStyle name="40 % - Markeringsfarve4 2 2 2 2" xfId="7405" xr:uid="{00000000-0005-0000-0000-00005C020000}"/>
    <cellStyle name="40 % - Markeringsfarve4 2 2 2 2 2" xfId="10160" xr:uid="{00000000-0005-0000-0000-00005D020000}"/>
    <cellStyle name="40 % - Markeringsfarve4 2 2 2 3" xfId="8798" xr:uid="{00000000-0005-0000-0000-00005E020000}"/>
    <cellStyle name="40 % - Markeringsfarve4 2 2 3" xfId="6782" xr:uid="{00000000-0005-0000-0000-00005F020000}"/>
    <cellStyle name="40 % - Markeringsfarve4 2 2 3 2" xfId="9537" xr:uid="{00000000-0005-0000-0000-000060020000}"/>
    <cellStyle name="40 % - Markeringsfarve4 2 2 4" xfId="8175" xr:uid="{00000000-0005-0000-0000-000061020000}"/>
    <cellStyle name="40 % - Markeringsfarve4 2 3" xfId="3596" xr:uid="{00000000-0005-0000-0000-000062020000}"/>
    <cellStyle name="40 % - Markeringsfarve4 2 3 2" xfId="4238" xr:uid="{00000000-0005-0000-0000-000063020000}"/>
    <cellStyle name="40 % - Markeringsfarve4 2 3 2 2" xfId="7406" xr:uid="{00000000-0005-0000-0000-000064020000}"/>
    <cellStyle name="40 % - Markeringsfarve4 2 3 2 2 2" xfId="10161" xr:uid="{00000000-0005-0000-0000-000065020000}"/>
    <cellStyle name="40 % - Markeringsfarve4 2 3 2 3" xfId="8799" xr:uid="{00000000-0005-0000-0000-000066020000}"/>
    <cellStyle name="40 % - Markeringsfarve4 2 3 3" xfId="6783" xr:uid="{00000000-0005-0000-0000-000067020000}"/>
    <cellStyle name="40 % - Markeringsfarve4 2 3 3 2" xfId="9538" xr:uid="{00000000-0005-0000-0000-000068020000}"/>
    <cellStyle name="40 % - Markeringsfarve4 2 3 4" xfId="8176" xr:uid="{00000000-0005-0000-0000-000069020000}"/>
    <cellStyle name="40 % - Markeringsfarve4 2 4" xfId="4236" xr:uid="{00000000-0005-0000-0000-00006A020000}"/>
    <cellStyle name="40 % - Markeringsfarve4 2 4 2" xfId="7404" xr:uid="{00000000-0005-0000-0000-00006B020000}"/>
    <cellStyle name="40 % - Markeringsfarve4 2 4 2 2" xfId="10159" xr:uid="{00000000-0005-0000-0000-00006C020000}"/>
    <cellStyle name="40 % - Markeringsfarve4 2 4 3" xfId="8797" xr:uid="{00000000-0005-0000-0000-00006D020000}"/>
    <cellStyle name="40 % - Markeringsfarve4 2 5" xfId="6781" xr:uid="{00000000-0005-0000-0000-00006E020000}"/>
    <cellStyle name="40 % - Markeringsfarve4 2 5 2" xfId="9536" xr:uid="{00000000-0005-0000-0000-00006F020000}"/>
    <cellStyle name="40 % - Markeringsfarve4 2 6" xfId="8174" xr:uid="{00000000-0005-0000-0000-000070020000}"/>
    <cellStyle name="40 % - Markeringsfarve4 3" xfId="3597" xr:uid="{00000000-0005-0000-0000-000071020000}"/>
    <cellStyle name="40 % - Markeringsfarve4 3 2" xfId="4239" xr:uid="{00000000-0005-0000-0000-000072020000}"/>
    <cellStyle name="40 % - Markeringsfarve4 3 2 2" xfId="7407" xr:uid="{00000000-0005-0000-0000-000073020000}"/>
    <cellStyle name="40 % - Markeringsfarve4 3 2 2 2" xfId="10162" xr:uid="{00000000-0005-0000-0000-000074020000}"/>
    <cellStyle name="40 % - Markeringsfarve4 3 2 3" xfId="8800" xr:uid="{00000000-0005-0000-0000-000075020000}"/>
    <cellStyle name="40 % - Markeringsfarve4 3 3" xfId="6784" xr:uid="{00000000-0005-0000-0000-000076020000}"/>
    <cellStyle name="40 % - Markeringsfarve4 3 3 2" xfId="9539" xr:uid="{00000000-0005-0000-0000-000077020000}"/>
    <cellStyle name="40 % - Markeringsfarve4 3 4" xfId="8177" xr:uid="{00000000-0005-0000-0000-000078020000}"/>
    <cellStyle name="40 % - Markeringsfarve4 4" xfId="3598" xr:uid="{00000000-0005-0000-0000-000079020000}"/>
    <cellStyle name="40 % - Markeringsfarve4 4 2" xfId="4240" xr:uid="{00000000-0005-0000-0000-00007A020000}"/>
    <cellStyle name="40 % - Markeringsfarve4 4 2 2" xfId="7408" xr:uid="{00000000-0005-0000-0000-00007B020000}"/>
    <cellStyle name="40 % - Markeringsfarve4 4 2 2 2" xfId="10163" xr:uid="{00000000-0005-0000-0000-00007C020000}"/>
    <cellStyle name="40 % - Markeringsfarve4 4 2 3" xfId="8801" xr:uid="{00000000-0005-0000-0000-00007D020000}"/>
    <cellStyle name="40 % - Markeringsfarve4 4 3" xfId="6785" xr:uid="{00000000-0005-0000-0000-00007E020000}"/>
    <cellStyle name="40 % - Markeringsfarve4 4 3 2" xfId="9540" xr:uid="{00000000-0005-0000-0000-00007F020000}"/>
    <cellStyle name="40 % - Markeringsfarve4 4 4" xfId="8178" xr:uid="{00000000-0005-0000-0000-000080020000}"/>
    <cellStyle name="40 % - Markeringsfarve4 5" xfId="3599" xr:uid="{00000000-0005-0000-0000-000081020000}"/>
    <cellStyle name="40 % - Markeringsfarve4 5 2" xfId="4241" xr:uid="{00000000-0005-0000-0000-000082020000}"/>
    <cellStyle name="40 % - Markeringsfarve4 5 2 2" xfId="7409" xr:uid="{00000000-0005-0000-0000-000083020000}"/>
    <cellStyle name="40 % - Markeringsfarve4 5 2 2 2" xfId="10164" xr:uid="{00000000-0005-0000-0000-000084020000}"/>
    <cellStyle name="40 % - Markeringsfarve4 5 2 3" xfId="8802" xr:uid="{00000000-0005-0000-0000-000085020000}"/>
    <cellStyle name="40 % - Markeringsfarve4 5 3" xfId="6786" xr:uid="{00000000-0005-0000-0000-000086020000}"/>
    <cellStyle name="40 % - Markeringsfarve4 5 3 2" xfId="9541" xr:uid="{00000000-0005-0000-0000-000087020000}"/>
    <cellStyle name="40 % - Markeringsfarve4 5 4" xfId="8179" xr:uid="{00000000-0005-0000-0000-000088020000}"/>
    <cellStyle name="40 % - Markeringsfarve4 6" xfId="3600" xr:uid="{00000000-0005-0000-0000-000089020000}"/>
    <cellStyle name="40 % - Markeringsfarve4 6 2" xfId="4242" xr:uid="{00000000-0005-0000-0000-00008A020000}"/>
    <cellStyle name="40 % - Markeringsfarve4 6 2 2" xfId="7410" xr:uid="{00000000-0005-0000-0000-00008B020000}"/>
    <cellStyle name="40 % - Markeringsfarve4 6 2 2 2" xfId="10165" xr:uid="{00000000-0005-0000-0000-00008C020000}"/>
    <cellStyle name="40 % - Markeringsfarve4 6 2 3" xfId="8803" xr:uid="{00000000-0005-0000-0000-00008D020000}"/>
    <cellStyle name="40 % - Markeringsfarve4 6 3" xfId="6787" xr:uid="{00000000-0005-0000-0000-00008E020000}"/>
    <cellStyle name="40 % - Markeringsfarve4 6 3 2" xfId="9542" xr:uid="{00000000-0005-0000-0000-00008F020000}"/>
    <cellStyle name="40 % - Markeringsfarve4 6 4" xfId="8180" xr:uid="{00000000-0005-0000-0000-000090020000}"/>
    <cellStyle name="40 % - Markeringsfarve4 7" xfId="4166" xr:uid="{00000000-0005-0000-0000-000091020000}"/>
    <cellStyle name="40 % - Markeringsfarve4 7 2" xfId="7334" xr:uid="{00000000-0005-0000-0000-000092020000}"/>
    <cellStyle name="40 % - Markeringsfarve4 7 2 2" xfId="10089" xr:uid="{00000000-0005-0000-0000-000093020000}"/>
    <cellStyle name="40 % - Markeringsfarve4 7 3" xfId="8727" xr:uid="{00000000-0005-0000-0000-000094020000}"/>
    <cellStyle name="40 % - Markeringsfarve5 2" xfId="3601" xr:uid="{00000000-0005-0000-0000-000096020000}"/>
    <cellStyle name="40 % - Markeringsfarve5 2 2" xfId="3602" xr:uid="{00000000-0005-0000-0000-000097020000}"/>
    <cellStyle name="40 % - Markeringsfarve5 2 2 2" xfId="4244" xr:uid="{00000000-0005-0000-0000-000098020000}"/>
    <cellStyle name="40 % - Markeringsfarve5 2 2 2 2" xfId="7412" xr:uid="{00000000-0005-0000-0000-000099020000}"/>
    <cellStyle name="40 % - Markeringsfarve5 2 2 2 2 2" xfId="10167" xr:uid="{00000000-0005-0000-0000-00009A020000}"/>
    <cellStyle name="40 % - Markeringsfarve5 2 2 2 3" xfId="8805" xr:uid="{00000000-0005-0000-0000-00009B020000}"/>
    <cellStyle name="40 % - Markeringsfarve5 2 2 3" xfId="6789" xr:uid="{00000000-0005-0000-0000-00009C020000}"/>
    <cellStyle name="40 % - Markeringsfarve5 2 2 3 2" xfId="9544" xr:uid="{00000000-0005-0000-0000-00009D020000}"/>
    <cellStyle name="40 % - Markeringsfarve5 2 2 4" xfId="8182" xr:uid="{00000000-0005-0000-0000-00009E020000}"/>
    <cellStyle name="40 % - Markeringsfarve5 2 3" xfId="3603" xr:uid="{00000000-0005-0000-0000-00009F020000}"/>
    <cellStyle name="40 % - Markeringsfarve5 2 3 2" xfId="4245" xr:uid="{00000000-0005-0000-0000-0000A0020000}"/>
    <cellStyle name="40 % - Markeringsfarve5 2 3 2 2" xfId="7413" xr:uid="{00000000-0005-0000-0000-0000A1020000}"/>
    <cellStyle name="40 % - Markeringsfarve5 2 3 2 2 2" xfId="10168" xr:uid="{00000000-0005-0000-0000-0000A2020000}"/>
    <cellStyle name="40 % - Markeringsfarve5 2 3 2 3" xfId="8806" xr:uid="{00000000-0005-0000-0000-0000A3020000}"/>
    <cellStyle name="40 % - Markeringsfarve5 2 3 3" xfId="6790" xr:uid="{00000000-0005-0000-0000-0000A4020000}"/>
    <cellStyle name="40 % - Markeringsfarve5 2 3 3 2" xfId="9545" xr:uid="{00000000-0005-0000-0000-0000A5020000}"/>
    <cellStyle name="40 % - Markeringsfarve5 2 3 4" xfId="8183" xr:uid="{00000000-0005-0000-0000-0000A6020000}"/>
    <cellStyle name="40 % - Markeringsfarve5 2 4" xfId="4243" xr:uid="{00000000-0005-0000-0000-0000A7020000}"/>
    <cellStyle name="40 % - Markeringsfarve5 2 4 2" xfId="7411" xr:uid="{00000000-0005-0000-0000-0000A8020000}"/>
    <cellStyle name="40 % - Markeringsfarve5 2 4 2 2" xfId="10166" xr:uid="{00000000-0005-0000-0000-0000A9020000}"/>
    <cellStyle name="40 % - Markeringsfarve5 2 4 3" xfId="8804" xr:uid="{00000000-0005-0000-0000-0000AA020000}"/>
    <cellStyle name="40 % - Markeringsfarve5 2 5" xfId="6788" xr:uid="{00000000-0005-0000-0000-0000AB020000}"/>
    <cellStyle name="40 % - Markeringsfarve5 2 5 2" xfId="9543" xr:uid="{00000000-0005-0000-0000-0000AC020000}"/>
    <cellStyle name="40 % - Markeringsfarve5 2 6" xfId="8181" xr:uid="{00000000-0005-0000-0000-0000AD020000}"/>
    <cellStyle name="40 % - Markeringsfarve5 3" xfId="3604" xr:uid="{00000000-0005-0000-0000-0000AE020000}"/>
    <cellStyle name="40 % - Markeringsfarve5 3 2" xfId="4246" xr:uid="{00000000-0005-0000-0000-0000AF020000}"/>
    <cellStyle name="40 % - Markeringsfarve5 3 2 2" xfId="7414" xr:uid="{00000000-0005-0000-0000-0000B0020000}"/>
    <cellStyle name="40 % - Markeringsfarve5 3 2 2 2" xfId="10169" xr:uid="{00000000-0005-0000-0000-0000B1020000}"/>
    <cellStyle name="40 % - Markeringsfarve5 3 2 3" xfId="8807" xr:uid="{00000000-0005-0000-0000-0000B2020000}"/>
    <cellStyle name="40 % - Markeringsfarve5 3 3" xfId="6791" xr:uid="{00000000-0005-0000-0000-0000B3020000}"/>
    <cellStyle name="40 % - Markeringsfarve5 3 3 2" xfId="9546" xr:uid="{00000000-0005-0000-0000-0000B4020000}"/>
    <cellStyle name="40 % - Markeringsfarve5 3 4" xfId="8184" xr:uid="{00000000-0005-0000-0000-0000B5020000}"/>
    <cellStyle name="40 % - Markeringsfarve5 4" xfId="3605" xr:uid="{00000000-0005-0000-0000-0000B6020000}"/>
    <cellStyle name="40 % - Markeringsfarve5 4 2" xfId="4247" xr:uid="{00000000-0005-0000-0000-0000B7020000}"/>
    <cellStyle name="40 % - Markeringsfarve5 4 2 2" xfId="7415" xr:uid="{00000000-0005-0000-0000-0000B8020000}"/>
    <cellStyle name="40 % - Markeringsfarve5 4 2 2 2" xfId="10170" xr:uid="{00000000-0005-0000-0000-0000B9020000}"/>
    <cellStyle name="40 % - Markeringsfarve5 4 2 3" xfId="8808" xr:uid="{00000000-0005-0000-0000-0000BA020000}"/>
    <cellStyle name="40 % - Markeringsfarve5 4 3" xfId="6792" xr:uid="{00000000-0005-0000-0000-0000BB020000}"/>
    <cellStyle name="40 % - Markeringsfarve5 4 3 2" xfId="9547" xr:uid="{00000000-0005-0000-0000-0000BC020000}"/>
    <cellStyle name="40 % - Markeringsfarve5 4 4" xfId="8185" xr:uid="{00000000-0005-0000-0000-0000BD020000}"/>
    <cellStyle name="40 % - Markeringsfarve5 5" xfId="3606" xr:uid="{00000000-0005-0000-0000-0000BE020000}"/>
    <cellStyle name="40 % - Markeringsfarve5 5 2" xfId="4248" xr:uid="{00000000-0005-0000-0000-0000BF020000}"/>
    <cellStyle name="40 % - Markeringsfarve5 5 2 2" xfId="7416" xr:uid="{00000000-0005-0000-0000-0000C0020000}"/>
    <cellStyle name="40 % - Markeringsfarve5 5 2 2 2" xfId="10171" xr:uid="{00000000-0005-0000-0000-0000C1020000}"/>
    <cellStyle name="40 % - Markeringsfarve5 5 2 3" xfId="8809" xr:uid="{00000000-0005-0000-0000-0000C2020000}"/>
    <cellStyle name="40 % - Markeringsfarve5 5 3" xfId="6793" xr:uid="{00000000-0005-0000-0000-0000C3020000}"/>
    <cellStyle name="40 % - Markeringsfarve5 5 3 2" xfId="9548" xr:uid="{00000000-0005-0000-0000-0000C4020000}"/>
    <cellStyle name="40 % - Markeringsfarve5 5 4" xfId="8186" xr:uid="{00000000-0005-0000-0000-0000C5020000}"/>
    <cellStyle name="40 % - Markeringsfarve5 6" xfId="3607" xr:uid="{00000000-0005-0000-0000-0000C6020000}"/>
    <cellStyle name="40 % - Markeringsfarve5 6 2" xfId="4249" xr:uid="{00000000-0005-0000-0000-0000C7020000}"/>
    <cellStyle name="40 % - Markeringsfarve5 6 2 2" xfId="7417" xr:uid="{00000000-0005-0000-0000-0000C8020000}"/>
    <cellStyle name="40 % - Markeringsfarve5 6 2 2 2" xfId="10172" xr:uid="{00000000-0005-0000-0000-0000C9020000}"/>
    <cellStyle name="40 % - Markeringsfarve5 6 2 3" xfId="8810" xr:uid="{00000000-0005-0000-0000-0000CA020000}"/>
    <cellStyle name="40 % - Markeringsfarve5 6 3" xfId="6794" xr:uid="{00000000-0005-0000-0000-0000CB020000}"/>
    <cellStyle name="40 % - Markeringsfarve5 6 3 2" xfId="9549" xr:uid="{00000000-0005-0000-0000-0000CC020000}"/>
    <cellStyle name="40 % - Markeringsfarve5 6 4" xfId="8187" xr:uid="{00000000-0005-0000-0000-0000CD020000}"/>
    <cellStyle name="40 % - Markeringsfarve5 7" xfId="4168" xr:uid="{00000000-0005-0000-0000-0000CE020000}"/>
    <cellStyle name="40 % - Markeringsfarve5 7 2" xfId="7336" xr:uid="{00000000-0005-0000-0000-0000CF020000}"/>
    <cellStyle name="40 % - Markeringsfarve5 7 2 2" xfId="10091" xr:uid="{00000000-0005-0000-0000-0000D0020000}"/>
    <cellStyle name="40 % - Markeringsfarve5 7 3" xfId="8729" xr:uid="{00000000-0005-0000-0000-0000D1020000}"/>
    <cellStyle name="40 % - Markeringsfarve6 2" xfId="3608" xr:uid="{00000000-0005-0000-0000-0000D3020000}"/>
    <cellStyle name="40 % - Markeringsfarve6 2 2" xfId="3609" xr:uid="{00000000-0005-0000-0000-0000D4020000}"/>
    <cellStyle name="40 % - Markeringsfarve6 2 2 2" xfId="4251" xr:uid="{00000000-0005-0000-0000-0000D5020000}"/>
    <cellStyle name="40 % - Markeringsfarve6 2 2 2 2" xfId="7419" xr:uid="{00000000-0005-0000-0000-0000D6020000}"/>
    <cellStyle name="40 % - Markeringsfarve6 2 2 2 2 2" xfId="10174" xr:uid="{00000000-0005-0000-0000-0000D7020000}"/>
    <cellStyle name="40 % - Markeringsfarve6 2 2 2 3" xfId="8812" xr:uid="{00000000-0005-0000-0000-0000D8020000}"/>
    <cellStyle name="40 % - Markeringsfarve6 2 2 3" xfId="6796" xr:uid="{00000000-0005-0000-0000-0000D9020000}"/>
    <cellStyle name="40 % - Markeringsfarve6 2 2 3 2" xfId="9551" xr:uid="{00000000-0005-0000-0000-0000DA020000}"/>
    <cellStyle name="40 % - Markeringsfarve6 2 2 4" xfId="8189" xr:uid="{00000000-0005-0000-0000-0000DB020000}"/>
    <cellStyle name="40 % - Markeringsfarve6 2 3" xfId="3610" xr:uid="{00000000-0005-0000-0000-0000DC020000}"/>
    <cellStyle name="40 % - Markeringsfarve6 2 3 2" xfId="4252" xr:uid="{00000000-0005-0000-0000-0000DD020000}"/>
    <cellStyle name="40 % - Markeringsfarve6 2 3 2 2" xfId="7420" xr:uid="{00000000-0005-0000-0000-0000DE020000}"/>
    <cellStyle name="40 % - Markeringsfarve6 2 3 2 2 2" xfId="10175" xr:uid="{00000000-0005-0000-0000-0000DF020000}"/>
    <cellStyle name="40 % - Markeringsfarve6 2 3 2 3" xfId="8813" xr:uid="{00000000-0005-0000-0000-0000E0020000}"/>
    <cellStyle name="40 % - Markeringsfarve6 2 3 3" xfId="6797" xr:uid="{00000000-0005-0000-0000-0000E1020000}"/>
    <cellStyle name="40 % - Markeringsfarve6 2 3 3 2" xfId="9552" xr:uid="{00000000-0005-0000-0000-0000E2020000}"/>
    <cellStyle name="40 % - Markeringsfarve6 2 3 4" xfId="8190" xr:uid="{00000000-0005-0000-0000-0000E3020000}"/>
    <cellStyle name="40 % - Markeringsfarve6 2 4" xfId="4250" xr:uid="{00000000-0005-0000-0000-0000E4020000}"/>
    <cellStyle name="40 % - Markeringsfarve6 2 4 2" xfId="7418" xr:uid="{00000000-0005-0000-0000-0000E5020000}"/>
    <cellStyle name="40 % - Markeringsfarve6 2 4 2 2" xfId="10173" xr:uid="{00000000-0005-0000-0000-0000E6020000}"/>
    <cellStyle name="40 % - Markeringsfarve6 2 4 3" xfId="8811" xr:uid="{00000000-0005-0000-0000-0000E7020000}"/>
    <cellStyle name="40 % - Markeringsfarve6 2 5" xfId="6795" xr:uid="{00000000-0005-0000-0000-0000E8020000}"/>
    <cellStyle name="40 % - Markeringsfarve6 2 5 2" xfId="9550" xr:uid="{00000000-0005-0000-0000-0000E9020000}"/>
    <cellStyle name="40 % - Markeringsfarve6 2 6" xfId="8188" xr:uid="{00000000-0005-0000-0000-0000EA020000}"/>
    <cellStyle name="40 % - Markeringsfarve6 3" xfId="3611" xr:uid="{00000000-0005-0000-0000-0000EB020000}"/>
    <cellStyle name="40 % - Markeringsfarve6 3 2" xfId="4253" xr:uid="{00000000-0005-0000-0000-0000EC020000}"/>
    <cellStyle name="40 % - Markeringsfarve6 3 2 2" xfId="7421" xr:uid="{00000000-0005-0000-0000-0000ED020000}"/>
    <cellStyle name="40 % - Markeringsfarve6 3 2 2 2" xfId="10176" xr:uid="{00000000-0005-0000-0000-0000EE020000}"/>
    <cellStyle name="40 % - Markeringsfarve6 3 2 3" xfId="8814" xr:uid="{00000000-0005-0000-0000-0000EF020000}"/>
    <cellStyle name="40 % - Markeringsfarve6 3 3" xfId="6798" xr:uid="{00000000-0005-0000-0000-0000F0020000}"/>
    <cellStyle name="40 % - Markeringsfarve6 3 3 2" xfId="9553" xr:uid="{00000000-0005-0000-0000-0000F1020000}"/>
    <cellStyle name="40 % - Markeringsfarve6 3 4" xfId="8191" xr:uid="{00000000-0005-0000-0000-0000F2020000}"/>
    <cellStyle name="40 % - Markeringsfarve6 4" xfId="3612" xr:uid="{00000000-0005-0000-0000-0000F3020000}"/>
    <cellStyle name="40 % - Markeringsfarve6 4 2" xfId="4254" xr:uid="{00000000-0005-0000-0000-0000F4020000}"/>
    <cellStyle name="40 % - Markeringsfarve6 4 2 2" xfId="7422" xr:uid="{00000000-0005-0000-0000-0000F5020000}"/>
    <cellStyle name="40 % - Markeringsfarve6 4 2 2 2" xfId="10177" xr:uid="{00000000-0005-0000-0000-0000F6020000}"/>
    <cellStyle name="40 % - Markeringsfarve6 4 2 3" xfId="8815" xr:uid="{00000000-0005-0000-0000-0000F7020000}"/>
    <cellStyle name="40 % - Markeringsfarve6 4 3" xfId="6799" xr:uid="{00000000-0005-0000-0000-0000F8020000}"/>
    <cellStyle name="40 % - Markeringsfarve6 4 3 2" xfId="9554" xr:uid="{00000000-0005-0000-0000-0000F9020000}"/>
    <cellStyle name="40 % - Markeringsfarve6 4 4" xfId="8192" xr:uid="{00000000-0005-0000-0000-0000FA020000}"/>
    <cellStyle name="40 % - Markeringsfarve6 5" xfId="3613" xr:uid="{00000000-0005-0000-0000-0000FB020000}"/>
    <cellStyle name="40 % - Markeringsfarve6 5 2" xfId="4255" xr:uid="{00000000-0005-0000-0000-0000FC020000}"/>
    <cellStyle name="40 % - Markeringsfarve6 5 2 2" xfId="7423" xr:uid="{00000000-0005-0000-0000-0000FD020000}"/>
    <cellStyle name="40 % - Markeringsfarve6 5 2 2 2" xfId="10178" xr:uid="{00000000-0005-0000-0000-0000FE020000}"/>
    <cellStyle name="40 % - Markeringsfarve6 5 2 3" xfId="8816" xr:uid="{00000000-0005-0000-0000-0000FF020000}"/>
    <cellStyle name="40 % - Markeringsfarve6 5 3" xfId="6800" xr:uid="{00000000-0005-0000-0000-000000030000}"/>
    <cellStyle name="40 % - Markeringsfarve6 5 3 2" xfId="9555" xr:uid="{00000000-0005-0000-0000-000001030000}"/>
    <cellStyle name="40 % - Markeringsfarve6 5 4" xfId="8193" xr:uid="{00000000-0005-0000-0000-000002030000}"/>
    <cellStyle name="40 % - Markeringsfarve6 6" xfId="3614" xr:uid="{00000000-0005-0000-0000-000003030000}"/>
    <cellStyle name="40 % - Markeringsfarve6 6 2" xfId="4256" xr:uid="{00000000-0005-0000-0000-000004030000}"/>
    <cellStyle name="40 % - Markeringsfarve6 6 2 2" xfId="7424" xr:uid="{00000000-0005-0000-0000-000005030000}"/>
    <cellStyle name="40 % - Markeringsfarve6 6 2 2 2" xfId="10179" xr:uid="{00000000-0005-0000-0000-000006030000}"/>
    <cellStyle name="40 % - Markeringsfarve6 6 2 3" xfId="8817" xr:uid="{00000000-0005-0000-0000-000007030000}"/>
    <cellStyle name="40 % - Markeringsfarve6 6 3" xfId="6801" xr:uid="{00000000-0005-0000-0000-000008030000}"/>
    <cellStyle name="40 % - Markeringsfarve6 6 3 2" xfId="9556" xr:uid="{00000000-0005-0000-0000-000009030000}"/>
    <cellStyle name="40 % - Markeringsfarve6 6 4" xfId="8194" xr:uid="{00000000-0005-0000-0000-00000A030000}"/>
    <cellStyle name="40 % - Markeringsfarve6 7" xfId="4170" xr:uid="{00000000-0005-0000-0000-00000B030000}"/>
    <cellStyle name="40 % - Markeringsfarve6 7 2" xfId="7338" xr:uid="{00000000-0005-0000-0000-00000C030000}"/>
    <cellStyle name="40 % - Markeringsfarve6 7 2 2" xfId="10093" xr:uid="{00000000-0005-0000-0000-00000D030000}"/>
    <cellStyle name="40 % - Markeringsfarve6 7 3" xfId="8731" xr:uid="{00000000-0005-0000-0000-00000E030000}"/>
    <cellStyle name="40% - Accent1 2" xfId="3396" xr:uid="{00000000-0005-0000-0000-00000F030000}"/>
    <cellStyle name="40% - Accent1 3" xfId="6635" xr:uid="{00000000-0005-0000-0000-000010030000}"/>
    <cellStyle name="40% - Accent1 3 2" xfId="9399" xr:uid="{00000000-0005-0000-0000-000011030000}"/>
    <cellStyle name="40% - Accent1 4" xfId="8028" xr:uid="{00000000-0005-0000-0000-000012030000}"/>
    <cellStyle name="40% - Accent2 2" xfId="3397" xr:uid="{00000000-0005-0000-0000-000013030000}"/>
    <cellStyle name="40% - Accent2 3" xfId="6637" xr:uid="{00000000-0005-0000-0000-000014030000}"/>
    <cellStyle name="40% - Accent2 3 2" xfId="9401" xr:uid="{00000000-0005-0000-0000-000015030000}"/>
    <cellStyle name="40% - Accent2 4" xfId="8030" xr:uid="{00000000-0005-0000-0000-000016030000}"/>
    <cellStyle name="40% - Accent3 2" xfId="3398" xr:uid="{00000000-0005-0000-0000-000017030000}"/>
    <cellStyle name="40% - Accent3 3" xfId="6639" xr:uid="{00000000-0005-0000-0000-000018030000}"/>
    <cellStyle name="40% - Accent3 3 2" xfId="9403" xr:uid="{00000000-0005-0000-0000-000019030000}"/>
    <cellStyle name="40% - Accent3 4" xfId="8032" xr:uid="{00000000-0005-0000-0000-00001A030000}"/>
    <cellStyle name="40% - Accent4 2" xfId="3399" xr:uid="{00000000-0005-0000-0000-00001B030000}"/>
    <cellStyle name="40% - Accent4 3" xfId="6641" xr:uid="{00000000-0005-0000-0000-00001C030000}"/>
    <cellStyle name="40% - Accent4 3 2" xfId="9405" xr:uid="{00000000-0005-0000-0000-00001D030000}"/>
    <cellStyle name="40% - Accent4 4" xfId="8034" xr:uid="{00000000-0005-0000-0000-00001E030000}"/>
    <cellStyle name="40% - Accent5 2" xfId="3400" xr:uid="{00000000-0005-0000-0000-00001F030000}"/>
    <cellStyle name="40% - Accent5 3" xfId="6643" xr:uid="{00000000-0005-0000-0000-000020030000}"/>
    <cellStyle name="40% - Accent5 3 2" xfId="9407" xr:uid="{00000000-0005-0000-0000-000021030000}"/>
    <cellStyle name="40% - Accent5 4" xfId="8036" xr:uid="{00000000-0005-0000-0000-000022030000}"/>
    <cellStyle name="40% - Accent6 2" xfId="3401" xr:uid="{00000000-0005-0000-0000-000023030000}"/>
    <cellStyle name="40% - Accent6 3" xfId="6645" xr:uid="{00000000-0005-0000-0000-000024030000}"/>
    <cellStyle name="40% - Accent6 3 2" xfId="9409" xr:uid="{00000000-0005-0000-0000-000025030000}"/>
    <cellStyle name="40% - Accent6 4" xfId="8038" xr:uid="{00000000-0005-0000-0000-000026030000}"/>
    <cellStyle name="40% - Colore 1" xfId="9" xr:uid="{00000000-0005-0000-0000-000027030000}"/>
    <cellStyle name="40% - Colore 2" xfId="10" xr:uid="{00000000-0005-0000-0000-000028030000}"/>
    <cellStyle name="40% - Colore 3" xfId="11" xr:uid="{00000000-0005-0000-0000-000029030000}"/>
    <cellStyle name="40% - Colore 4" xfId="12" xr:uid="{00000000-0005-0000-0000-00002A030000}"/>
    <cellStyle name="40% - Colore 5" xfId="13" xr:uid="{00000000-0005-0000-0000-00002B030000}"/>
    <cellStyle name="40% - Colore 6" xfId="14" xr:uid="{00000000-0005-0000-0000-00002C030000}"/>
    <cellStyle name="5x indented GHG Textfiels" xfId="15" xr:uid="{00000000-0005-0000-0000-00002D030000}"/>
    <cellStyle name="5x indented GHG Textfiels 2" xfId="2075" xr:uid="{00000000-0005-0000-0000-00002E030000}"/>
    <cellStyle name="60 % - Farve1" xfId="3341" builtinId="32" customBuiltin="1"/>
    <cellStyle name="60 % - Farve2" xfId="3345" builtinId="36" customBuiltin="1"/>
    <cellStyle name="60 % - Farve3" xfId="3349" builtinId="40" customBuiltin="1"/>
    <cellStyle name="60 % - Farve4" xfId="3353" builtinId="44" customBuiltin="1"/>
    <cellStyle name="60 % - Farve5" xfId="3357" builtinId="48" customBuiltin="1"/>
    <cellStyle name="60 % - Farve6" xfId="3361" builtinId="52" customBuiltin="1"/>
    <cellStyle name="60% - Accent1 2" xfId="3402" xr:uid="{00000000-0005-0000-0000-000035030000}"/>
    <cellStyle name="60% - Accent2 2" xfId="3403" xr:uid="{00000000-0005-0000-0000-000036030000}"/>
    <cellStyle name="60% - Accent3 2" xfId="3404" xr:uid="{00000000-0005-0000-0000-000037030000}"/>
    <cellStyle name="60% - Accent4 2" xfId="3405" xr:uid="{00000000-0005-0000-0000-000038030000}"/>
    <cellStyle name="60% - Accent5 2" xfId="3406" xr:uid="{00000000-0005-0000-0000-000039030000}"/>
    <cellStyle name="60% - Accent6 2" xfId="3407" xr:uid="{00000000-0005-0000-0000-00003A030000}"/>
    <cellStyle name="60% - Colore 1" xfId="16" xr:uid="{00000000-0005-0000-0000-00003B030000}"/>
    <cellStyle name="60% - Colore 2" xfId="17" xr:uid="{00000000-0005-0000-0000-00003C030000}"/>
    <cellStyle name="60% - Colore 3" xfId="18" xr:uid="{00000000-0005-0000-0000-00003D030000}"/>
    <cellStyle name="60% - Colore 4" xfId="19" xr:uid="{00000000-0005-0000-0000-00003E030000}"/>
    <cellStyle name="60% - Colore 5" xfId="20" xr:uid="{00000000-0005-0000-0000-00003F030000}"/>
    <cellStyle name="60% - Colore 6" xfId="21" xr:uid="{00000000-0005-0000-0000-000040030000}"/>
    <cellStyle name="Accent1 2" xfId="3408" xr:uid="{00000000-0005-0000-0000-000041030000}"/>
    <cellStyle name="Accent2 2" xfId="3409" xr:uid="{00000000-0005-0000-0000-000042030000}"/>
    <cellStyle name="Accent3 2" xfId="3410" xr:uid="{00000000-0005-0000-0000-000043030000}"/>
    <cellStyle name="Accent4 2" xfId="3411" xr:uid="{00000000-0005-0000-0000-000044030000}"/>
    <cellStyle name="Accent5 2" xfId="3412" xr:uid="{00000000-0005-0000-0000-000045030000}"/>
    <cellStyle name="Accent6 2" xfId="3413" xr:uid="{00000000-0005-0000-0000-000046030000}"/>
    <cellStyle name="Advarselstekst" xfId="3335" builtinId="11" customBuiltin="1"/>
    <cellStyle name="AggOrange_CRFReport-template" xfId="22" xr:uid="{00000000-0005-0000-0000-000048030000}"/>
    <cellStyle name="AggOrange9_CRFReport-template" xfId="23" xr:uid="{00000000-0005-0000-0000-000049030000}"/>
    <cellStyle name="Bad 2" xfId="24" xr:uid="{00000000-0005-0000-0000-00004A030000}"/>
    <cellStyle name="Bad 2 2" xfId="3414" xr:uid="{00000000-0005-0000-0000-00004B030000}"/>
    <cellStyle name="Bad 3" xfId="2008" xr:uid="{00000000-0005-0000-0000-00004C030000}"/>
    <cellStyle name="Bemærk! 2" xfId="3615" xr:uid="{00000000-0005-0000-0000-00004D030000}"/>
    <cellStyle name="Bemærk! 2 10" xfId="8195" xr:uid="{00000000-0005-0000-0000-00004E030000}"/>
    <cellStyle name="Bemærk! 2 2" xfId="3616" xr:uid="{00000000-0005-0000-0000-00004F030000}"/>
    <cellStyle name="Bemærk! 2 2 2" xfId="3617" xr:uid="{00000000-0005-0000-0000-000050030000}"/>
    <cellStyle name="Bemærk! 2 2 2 2" xfId="4259" xr:uid="{00000000-0005-0000-0000-000051030000}"/>
    <cellStyle name="Bemærk! 2 2 2 2 2" xfId="7427" xr:uid="{00000000-0005-0000-0000-000052030000}"/>
    <cellStyle name="Bemærk! 2 2 2 2 2 2" xfId="10182" xr:uid="{00000000-0005-0000-0000-000053030000}"/>
    <cellStyle name="Bemærk! 2 2 2 2 3" xfId="8820" xr:uid="{00000000-0005-0000-0000-000054030000}"/>
    <cellStyle name="Bemærk! 2 2 2 3" xfId="6804" xr:uid="{00000000-0005-0000-0000-000055030000}"/>
    <cellStyle name="Bemærk! 2 2 2 3 2" xfId="9559" xr:uid="{00000000-0005-0000-0000-000056030000}"/>
    <cellStyle name="Bemærk! 2 2 2 4" xfId="8197" xr:uid="{00000000-0005-0000-0000-000057030000}"/>
    <cellStyle name="Bemærk! 2 2 3" xfId="3618" xr:uid="{00000000-0005-0000-0000-000058030000}"/>
    <cellStyle name="Bemærk! 2 2 3 2" xfId="4260" xr:uid="{00000000-0005-0000-0000-000059030000}"/>
    <cellStyle name="Bemærk! 2 2 3 2 2" xfId="7428" xr:uid="{00000000-0005-0000-0000-00005A030000}"/>
    <cellStyle name="Bemærk! 2 2 3 2 2 2" xfId="10183" xr:uid="{00000000-0005-0000-0000-00005B030000}"/>
    <cellStyle name="Bemærk! 2 2 3 2 3" xfId="8821" xr:uid="{00000000-0005-0000-0000-00005C030000}"/>
    <cellStyle name="Bemærk! 2 2 3 3" xfId="6805" xr:uid="{00000000-0005-0000-0000-00005D030000}"/>
    <cellStyle name="Bemærk! 2 2 3 3 2" xfId="9560" xr:uid="{00000000-0005-0000-0000-00005E030000}"/>
    <cellStyle name="Bemærk! 2 2 3 4" xfId="8198" xr:uid="{00000000-0005-0000-0000-00005F030000}"/>
    <cellStyle name="Bemærk! 2 2 4" xfId="4258" xr:uid="{00000000-0005-0000-0000-000060030000}"/>
    <cellStyle name="Bemærk! 2 2 4 2" xfId="7426" xr:uid="{00000000-0005-0000-0000-000061030000}"/>
    <cellStyle name="Bemærk! 2 2 4 2 2" xfId="10181" xr:uid="{00000000-0005-0000-0000-000062030000}"/>
    <cellStyle name="Bemærk! 2 2 4 3" xfId="8819" xr:uid="{00000000-0005-0000-0000-000063030000}"/>
    <cellStyle name="Bemærk! 2 2 5" xfId="6803" xr:uid="{00000000-0005-0000-0000-000064030000}"/>
    <cellStyle name="Bemærk! 2 2 5 2" xfId="9558" xr:uid="{00000000-0005-0000-0000-000065030000}"/>
    <cellStyle name="Bemærk! 2 2 6" xfId="8196" xr:uid="{00000000-0005-0000-0000-000066030000}"/>
    <cellStyle name="Bemærk! 2 3" xfId="3619" xr:uid="{00000000-0005-0000-0000-000067030000}"/>
    <cellStyle name="Bemærk! 2 3 2" xfId="4261" xr:uid="{00000000-0005-0000-0000-000068030000}"/>
    <cellStyle name="Bemærk! 2 3 2 2" xfId="7429" xr:uid="{00000000-0005-0000-0000-000069030000}"/>
    <cellStyle name="Bemærk! 2 3 2 2 2" xfId="10184" xr:uid="{00000000-0005-0000-0000-00006A030000}"/>
    <cellStyle name="Bemærk! 2 3 2 3" xfId="8822" xr:uid="{00000000-0005-0000-0000-00006B030000}"/>
    <cellStyle name="Bemærk! 2 3 3" xfId="6806" xr:uid="{00000000-0005-0000-0000-00006C030000}"/>
    <cellStyle name="Bemærk! 2 3 3 2" xfId="9561" xr:uid="{00000000-0005-0000-0000-00006D030000}"/>
    <cellStyle name="Bemærk! 2 3 4" xfId="8199" xr:uid="{00000000-0005-0000-0000-00006E030000}"/>
    <cellStyle name="Bemærk! 2 4" xfId="3620" xr:uid="{00000000-0005-0000-0000-00006F030000}"/>
    <cellStyle name="Bemærk! 2 4 2" xfId="4262" xr:uid="{00000000-0005-0000-0000-000070030000}"/>
    <cellStyle name="Bemærk! 2 4 2 2" xfId="7430" xr:uid="{00000000-0005-0000-0000-000071030000}"/>
    <cellStyle name="Bemærk! 2 4 2 2 2" xfId="10185" xr:uid="{00000000-0005-0000-0000-000072030000}"/>
    <cellStyle name="Bemærk! 2 4 2 3" xfId="8823" xr:uid="{00000000-0005-0000-0000-000073030000}"/>
    <cellStyle name="Bemærk! 2 4 3" xfId="6807" xr:uid="{00000000-0005-0000-0000-000074030000}"/>
    <cellStyle name="Bemærk! 2 4 3 2" xfId="9562" xr:uid="{00000000-0005-0000-0000-000075030000}"/>
    <cellStyle name="Bemærk! 2 4 4" xfId="8200" xr:uid="{00000000-0005-0000-0000-000076030000}"/>
    <cellStyle name="Bemærk! 2 5" xfId="3621" xr:uid="{00000000-0005-0000-0000-000077030000}"/>
    <cellStyle name="Bemærk! 2 5 2" xfId="4263" xr:uid="{00000000-0005-0000-0000-000078030000}"/>
    <cellStyle name="Bemærk! 2 5 2 2" xfId="7431" xr:uid="{00000000-0005-0000-0000-000079030000}"/>
    <cellStyle name="Bemærk! 2 5 2 2 2" xfId="10186" xr:uid="{00000000-0005-0000-0000-00007A030000}"/>
    <cellStyle name="Bemærk! 2 5 2 3" xfId="8824" xr:uid="{00000000-0005-0000-0000-00007B030000}"/>
    <cellStyle name="Bemærk! 2 5 3" xfId="6808" xr:uid="{00000000-0005-0000-0000-00007C030000}"/>
    <cellStyle name="Bemærk! 2 5 3 2" xfId="9563" xr:uid="{00000000-0005-0000-0000-00007D030000}"/>
    <cellStyle name="Bemærk! 2 5 4" xfId="8201" xr:uid="{00000000-0005-0000-0000-00007E030000}"/>
    <cellStyle name="Bemærk! 2 6" xfId="3622" xr:uid="{00000000-0005-0000-0000-00007F030000}"/>
    <cellStyle name="Bemærk! 2 7" xfId="3623" xr:uid="{00000000-0005-0000-0000-000080030000}"/>
    <cellStyle name="Bemærk! 2 7 2" xfId="4264" xr:uid="{00000000-0005-0000-0000-000081030000}"/>
    <cellStyle name="Bemærk! 2 7 2 2" xfId="7432" xr:uid="{00000000-0005-0000-0000-000082030000}"/>
    <cellStyle name="Bemærk! 2 7 2 2 2" xfId="10187" xr:uid="{00000000-0005-0000-0000-000083030000}"/>
    <cellStyle name="Bemærk! 2 7 2 3" xfId="8825" xr:uid="{00000000-0005-0000-0000-000084030000}"/>
    <cellStyle name="Bemærk! 2 7 3" xfId="6809" xr:uid="{00000000-0005-0000-0000-000085030000}"/>
    <cellStyle name="Bemærk! 2 7 3 2" xfId="9564" xr:uid="{00000000-0005-0000-0000-000086030000}"/>
    <cellStyle name="Bemærk! 2 7 4" xfId="8202" xr:uid="{00000000-0005-0000-0000-000087030000}"/>
    <cellStyle name="Bemærk! 2 8" xfId="4257" xr:uid="{00000000-0005-0000-0000-000088030000}"/>
    <cellStyle name="Bemærk! 2 8 2" xfId="7425" xr:uid="{00000000-0005-0000-0000-000089030000}"/>
    <cellStyle name="Bemærk! 2 8 2 2" xfId="10180" xr:uid="{00000000-0005-0000-0000-00008A030000}"/>
    <cellStyle name="Bemærk! 2 8 3" xfId="8818" xr:uid="{00000000-0005-0000-0000-00008B030000}"/>
    <cellStyle name="Bemærk! 2 9" xfId="6802" xr:uid="{00000000-0005-0000-0000-00008C030000}"/>
    <cellStyle name="Bemærk! 2 9 2" xfId="9557" xr:uid="{00000000-0005-0000-0000-00008D030000}"/>
    <cellStyle name="Bemærk! 3" xfId="3624" xr:uid="{00000000-0005-0000-0000-00008E030000}"/>
    <cellStyle name="Bemærk! 4" xfId="3625" xr:uid="{00000000-0005-0000-0000-00008F030000}"/>
    <cellStyle name="Bemærk! 4 2" xfId="3626" xr:uid="{00000000-0005-0000-0000-000090030000}"/>
    <cellStyle name="Bemærk! 4 2 2" xfId="4265" xr:uid="{00000000-0005-0000-0000-000091030000}"/>
    <cellStyle name="Bemærk! 4 2 2 2" xfId="7433" xr:uid="{00000000-0005-0000-0000-000092030000}"/>
    <cellStyle name="Bemærk! 4 2 2 2 2" xfId="10188" xr:uid="{00000000-0005-0000-0000-000093030000}"/>
    <cellStyle name="Bemærk! 4 2 2 3" xfId="8826" xr:uid="{00000000-0005-0000-0000-000094030000}"/>
    <cellStyle name="Bemærk! 4 2 3" xfId="6810" xr:uid="{00000000-0005-0000-0000-000095030000}"/>
    <cellStyle name="Bemærk! 4 2 3 2" xfId="9565" xr:uid="{00000000-0005-0000-0000-000096030000}"/>
    <cellStyle name="Bemærk! 4 2 4" xfId="8203" xr:uid="{00000000-0005-0000-0000-000097030000}"/>
    <cellStyle name="Bemærk! 5" xfId="3627" xr:uid="{00000000-0005-0000-0000-000098030000}"/>
    <cellStyle name="Bemærk! 6" xfId="3628" xr:uid="{00000000-0005-0000-0000-000099030000}"/>
    <cellStyle name="Bemærk! 6 2" xfId="4266" xr:uid="{00000000-0005-0000-0000-00009A030000}"/>
    <cellStyle name="Bemærk! 6 2 2" xfId="7434" xr:uid="{00000000-0005-0000-0000-00009B030000}"/>
    <cellStyle name="Bemærk! 6 2 2 2" xfId="10189" xr:uid="{00000000-0005-0000-0000-00009C030000}"/>
    <cellStyle name="Bemærk! 6 2 3" xfId="8827" xr:uid="{00000000-0005-0000-0000-00009D030000}"/>
    <cellStyle name="Bemærk! 6 3" xfId="6811" xr:uid="{00000000-0005-0000-0000-00009E030000}"/>
    <cellStyle name="Bemærk! 6 3 2" xfId="9566" xr:uid="{00000000-0005-0000-0000-00009F030000}"/>
    <cellStyle name="Bemærk! 6 4" xfId="8204" xr:uid="{00000000-0005-0000-0000-0000A0030000}"/>
    <cellStyle name="Beregning" xfId="27" builtinId="22" customBuiltin="1"/>
    <cellStyle name="Bruger data" xfId="25" xr:uid="{00000000-0005-0000-0000-0000A2030000}"/>
    <cellStyle name="C01_Main head" xfId="3415" xr:uid="{00000000-0005-0000-0000-0000A3030000}"/>
    <cellStyle name="C02_Column heads" xfId="3416" xr:uid="{00000000-0005-0000-0000-0000A4030000}"/>
    <cellStyle name="C03_Sub head bold" xfId="3417" xr:uid="{00000000-0005-0000-0000-0000A5030000}"/>
    <cellStyle name="C03a_Sub head" xfId="3418" xr:uid="{00000000-0005-0000-0000-0000A6030000}"/>
    <cellStyle name="C04_Total text white bold" xfId="3419" xr:uid="{00000000-0005-0000-0000-0000A7030000}"/>
    <cellStyle name="C04a_Total text black with rule" xfId="3420" xr:uid="{00000000-0005-0000-0000-0000A8030000}"/>
    <cellStyle name="C05_Main text" xfId="3421" xr:uid="{00000000-0005-0000-0000-0000A9030000}"/>
    <cellStyle name="C06_Figs" xfId="3422" xr:uid="{00000000-0005-0000-0000-0000AA030000}"/>
    <cellStyle name="C07_Figs 1 dec percent" xfId="3423" xr:uid="{00000000-0005-0000-0000-0000AB030000}"/>
    <cellStyle name="C08_Figs 1 decimal" xfId="3424" xr:uid="{00000000-0005-0000-0000-0000AC030000}"/>
    <cellStyle name="C09_Notes" xfId="3425" xr:uid="{00000000-0005-0000-0000-0000AD030000}"/>
    <cellStyle name="Calcolo" xfId="26" xr:uid="{00000000-0005-0000-0000-0000AE030000}"/>
    <cellStyle name="Calcolo 2" xfId="7896" xr:uid="{00000000-0005-0000-0000-0000AF030000}"/>
    <cellStyle name="Calcolo 3" xfId="7990" xr:uid="{00000000-0005-0000-0000-0000B0030000}"/>
    <cellStyle name="Calcolo 4" xfId="9292" xr:uid="{00000000-0005-0000-0000-0000B1030000}"/>
    <cellStyle name="Calcolo 5" xfId="10664" xr:uid="{00000000-0005-0000-0000-0000B2030000}"/>
    <cellStyle name="Calcolo 6" xfId="10665" xr:uid="{00000000-0005-0000-0000-0000B3030000}"/>
    <cellStyle name="Calculation 2" xfId="2009" xr:uid="{00000000-0005-0000-0000-0000B4030000}"/>
    <cellStyle name="Calculation 2 2" xfId="3520" xr:uid="{00000000-0005-0000-0000-0000B5030000}"/>
    <cellStyle name="Calculation 2 2 2" xfId="8104" xr:uid="{00000000-0005-0000-0000-0000B6030000}"/>
    <cellStyle name="Calculation 2 2 3" xfId="9351" xr:uid="{00000000-0005-0000-0000-0000B7030000}"/>
    <cellStyle name="Calculation 2 2 4" xfId="10678" xr:uid="{00000000-0005-0000-0000-0000B8030000}"/>
    <cellStyle name="Calculation 2 2 5" xfId="9333" xr:uid="{00000000-0005-0000-0000-0000B9030000}"/>
    <cellStyle name="Calculation 2 2 6" xfId="10671" xr:uid="{00000000-0005-0000-0000-0000BA030000}"/>
    <cellStyle name="Calculation 2 3" xfId="3426" xr:uid="{00000000-0005-0000-0000-0000BB030000}"/>
    <cellStyle name="Calculation 2 3 2" xfId="8048" xr:uid="{00000000-0005-0000-0000-0000BC030000}"/>
    <cellStyle name="Calculation 2 3 3" xfId="7912" xr:uid="{00000000-0005-0000-0000-0000BD030000}"/>
    <cellStyle name="Calculation 2 3 4" xfId="7908" xr:uid="{00000000-0005-0000-0000-0000BE030000}"/>
    <cellStyle name="Calculation 2 3 5" xfId="10662" xr:uid="{00000000-0005-0000-0000-0000BF030000}"/>
    <cellStyle name="Calculation 2 3 6" xfId="7959" xr:uid="{00000000-0005-0000-0000-0000C0030000}"/>
    <cellStyle name="Calculations" xfId="28" xr:uid="{00000000-0005-0000-0000-0000C1030000}"/>
    <cellStyle name="Cella collegata" xfId="29" xr:uid="{00000000-0005-0000-0000-0000C2030000}"/>
    <cellStyle name="Cella da controllare" xfId="30" xr:uid="{00000000-0005-0000-0000-0000C3030000}"/>
    <cellStyle name="Check Cell 2" xfId="3427" xr:uid="{00000000-0005-0000-0000-0000C4030000}"/>
    <cellStyle name="Colore 1" xfId="31" xr:uid="{00000000-0005-0000-0000-0000C5030000}"/>
    <cellStyle name="Colore 2" xfId="32" xr:uid="{00000000-0005-0000-0000-0000C6030000}"/>
    <cellStyle name="Colore 3" xfId="33" xr:uid="{00000000-0005-0000-0000-0000C7030000}"/>
    <cellStyle name="Colore 4" xfId="34" xr:uid="{00000000-0005-0000-0000-0000C8030000}"/>
    <cellStyle name="Colore 5" xfId="35" xr:uid="{00000000-0005-0000-0000-0000C9030000}"/>
    <cellStyle name="Colore 6" xfId="36" xr:uid="{00000000-0005-0000-0000-0000CA030000}"/>
    <cellStyle name="Comma 10" xfId="3428" xr:uid="{00000000-0005-0000-0000-0000CB030000}"/>
    <cellStyle name="Comma 11" xfId="10693" xr:uid="{00000000-0005-0000-0000-0000CC030000}"/>
    <cellStyle name="Comma 2" xfId="37" xr:uid="{00000000-0005-0000-0000-0000CD030000}"/>
    <cellStyle name="Comma 2 10" xfId="3375" xr:uid="{00000000-0005-0000-0000-0000CE030000}"/>
    <cellStyle name="Comma 2 11" xfId="4861" xr:uid="{00000000-0005-0000-0000-0000CF030000}"/>
    <cellStyle name="Comma 2 11 2" xfId="9294" xr:uid="{00000000-0005-0000-0000-0000D0030000}"/>
    <cellStyle name="Comma 2 2" xfId="38" xr:uid="{00000000-0005-0000-0000-0000D1030000}"/>
    <cellStyle name="Comma 2 2 2" xfId="39" xr:uid="{00000000-0005-0000-0000-0000D2030000}"/>
    <cellStyle name="Comma 2 2 2 2" xfId="2076" xr:uid="{00000000-0005-0000-0000-0000D3030000}"/>
    <cellStyle name="Comma 2 2 2 2 2" xfId="3293" xr:uid="{00000000-0005-0000-0000-0000D4030000}"/>
    <cellStyle name="Comma 2 2 2 3" xfId="3265" xr:uid="{00000000-0005-0000-0000-0000D5030000}"/>
    <cellStyle name="Comma 2 2 3" xfId="3264" xr:uid="{00000000-0005-0000-0000-0000D6030000}"/>
    <cellStyle name="Comma 2 2 4" xfId="3368" xr:uid="{00000000-0005-0000-0000-0000D7030000}"/>
    <cellStyle name="Comma 2 2 5" xfId="3429" xr:uid="{00000000-0005-0000-0000-0000D8030000}"/>
    <cellStyle name="Comma 2 2 5 2" xfId="6656" xr:uid="{00000000-0005-0000-0000-0000D9030000}"/>
    <cellStyle name="Comma 2 3" xfId="40" xr:uid="{00000000-0005-0000-0000-0000DA030000}"/>
    <cellStyle name="Comma 2 3 2" xfId="41" xr:uid="{00000000-0005-0000-0000-0000DB030000}"/>
    <cellStyle name="Comma 2 3 2 2" xfId="3267" xr:uid="{00000000-0005-0000-0000-0000DC030000}"/>
    <cellStyle name="Comma 2 3 3" xfId="42" xr:uid="{00000000-0005-0000-0000-0000DD030000}"/>
    <cellStyle name="Comma 2 3 3 2" xfId="2078" xr:uid="{00000000-0005-0000-0000-0000DE030000}"/>
    <cellStyle name="Comma 2 3 3 2 2" xfId="3295" xr:uid="{00000000-0005-0000-0000-0000DF030000}"/>
    <cellStyle name="Comma 2 3 3 3" xfId="3268" xr:uid="{00000000-0005-0000-0000-0000E0030000}"/>
    <cellStyle name="Comma 2 3 4" xfId="2077" xr:uid="{00000000-0005-0000-0000-0000E1030000}"/>
    <cellStyle name="Comma 2 3 4 2" xfId="3294" xr:uid="{00000000-0005-0000-0000-0000E2030000}"/>
    <cellStyle name="Comma 2 3 5" xfId="3266" xr:uid="{00000000-0005-0000-0000-0000E3030000}"/>
    <cellStyle name="Comma 2 4" xfId="43" xr:uid="{00000000-0005-0000-0000-0000E4030000}"/>
    <cellStyle name="Comma 2 4 2" xfId="3269" xr:uid="{00000000-0005-0000-0000-0000E5030000}"/>
    <cellStyle name="Comma 2 5" xfId="44" xr:uid="{00000000-0005-0000-0000-0000E6030000}"/>
    <cellStyle name="Comma 2 5 2" xfId="3270" xr:uid="{00000000-0005-0000-0000-0000E7030000}"/>
    <cellStyle name="Comma 2 5 2 2" xfId="6600" xr:uid="{00000000-0005-0000-0000-0000E8030000}"/>
    <cellStyle name="Comma 2 5 3" xfId="4927" xr:uid="{00000000-0005-0000-0000-0000E9030000}"/>
    <cellStyle name="Comma 2 6" xfId="45" xr:uid="{00000000-0005-0000-0000-0000EA030000}"/>
    <cellStyle name="Comma 2 6 2" xfId="46" xr:uid="{00000000-0005-0000-0000-0000EB030000}"/>
    <cellStyle name="Comma 2 6 2 2" xfId="4929" xr:uid="{00000000-0005-0000-0000-0000EC030000}"/>
    <cellStyle name="Comma 2 6 2 3" xfId="5679" xr:uid="{00000000-0005-0000-0000-0000ED030000}"/>
    <cellStyle name="Comma 2 6 3" xfId="4928" xr:uid="{00000000-0005-0000-0000-0000EE030000}"/>
    <cellStyle name="Comma 2 6 4" xfId="5678" xr:uid="{00000000-0005-0000-0000-0000EF030000}"/>
    <cellStyle name="Comma 2 7" xfId="3314" xr:uid="{00000000-0005-0000-0000-0000F0030000}"/>
    <cellStyle name="Comma 2 7 2" xfId="4926" xr:uid="{00000000-0005-0000-0000-0000F1030000}"/>
    <cellStyle name="Comma 2 7 3" xfId="6623" xr:uid="{00000000-0005-0000-0000-0000F2030000}"/>
    <cellStyle name="Comma 2 7 3 2" xfId="9387" xr:uid="{00000000-0005-0000-0000-0000F3030000}"/>
    <cellStyle name="Comma 2 7 4" xfId="8016" xr:uid="{00000000-0005-0000-0000-0000F4030000}"/>
    <cellStyle name="Comma 2 8" xfId="3263" xr:uid="{00000000-0005-0000-0000-0000F5030000}"/>
    <cellStyle name="Comma 2 9" xfId="3365" xr:uid="{00000000-0005-0000-0000-0000F6030000}"/>
    <cellStyle name="Comma 2 9 2" xfId="6649" xr:uid="{00000000-0005-0000-0000-0000F7030000}"/>
    <cellStyle name="Comma 22" xfId="10655" xr:uid="{00000000-0005-0000-0000-0000F8030000}"/>
    <cellStyle name="Comma 3" xfId="47" xr:uid="{00000000-0005-0000-0000-0000F9030000}"/>
    <cellStyle name="Comma 3 2" xfId="48" xr:uid="{00000000-0005-0000-0000-0000FA030000}"/>
    <cellStyle name="Comma 3 2 2" xfId="49" xr:uid="{00000000-0005-0000-0000-0000FB030000}"/>
    <cellStyle name="Comma 3 2 2 2" xfId="3273" xr:uid="{00000000-0005-0000-0000-0000FC030000}"/>
    <cellStyle name="Comma 3 2 3" xfId="3272" xr:uid="{00000000-0005-0000-0000-0000FD030000}"/>
    <cellStyle name="Comma 3 2 4" xfId="3430" xr:uid="{00000000-0005-0000-0000-0000FE030000}"/>
    <cellStyle name="Comma 3 2 4 2" xfId="6657" xr:uid="{00000000-0005-0000-0000-0000FF030000}"/>
    <cellStyle name="Comma 3 3" xfId="50" xr:uid="{00000000-0005-0000-0000-000000040000}"/>
    <cellStyle name="Comma 3 3 2" xfId="2080" xr:uid="{00000000-0005-0000-0000-000001040000}"/>
    <cellStyle name="Comma 3 3 2 2" xfId="3297" xr:uid="{00000000-0005-0000-0000-000002040000}"/>
    <cellStyle name="Comma 3 3 2 2 2" xfId="6611" xr:uid="{00000000-0005-0000-0000-000003040000}"/>
    <cellStyle name="Comma 3 3 2 2 2 2" xfId="9375" xr:uid="{00000000-0005-0000-0000-000004040000}"/>
    <cellStyle name="Comma 3 3 2 2 3" xfId="8004" xr:uid="{00000000-0005-0000-0000-000005040000}"/>
    <cellStyle name="Comma 3 3 2 3" xfId="5369" xr:uid="{00000000-0005-0000-0000-000006040000}"/>
    <cellStyle name="Comma 3 3 2 3 2" xfId="9314" xr:uid="{00000000-0005-0000-0000-000007040000}"/>
    <cellStyle name="Comma 3 3 2 4" xfId="6291" xr:uid="{00000000-0005-0000-0000-000008040000}"/>
    <cellStyle name="Comma 3 3 2 4 2" xfId="9348" xr:uid="{00000000-0005-0000-0000-000009040000}"/>
    <cellStyle name="Comma 3 3 2 5" xfId="7957" xr:uid="{00000000-0005-0000-0000-00000A040000}"/>
    <cellStyle name="Comma 3 3 3" xfId="3274" xr:uid="{00000000-0005-0000-0000-00000B040000}"/>
    <cellStyle name="Comma 3 3 3 2" xfId="6601" xr:uid="{00000000-0005-0000-0000-00000C040000}"/>
    <cellStyle name="Comma 3 3 3 2 2" xfId="9365" xr:uid="{00000000-0005-0000-0000-00000D040000}"/>
    <cellStyle name="Comma 3 3 3 3" xfId="7994" xr:uid="{00000000-0005-0000-0000-00000E040000}"/>
    <cellStyle name="Comma 3 3 4" xfId="4931" xr:uid="{00000000-0005-0000-0000-00000F040000}"/>
    <cellStyle name="Comma 3 3 4 2" xfId="9297" xr:uid="{00000000-0005-0000-0000-000010040000}"/>
    <cellStyle name="Comma 3 3 5" xfId="5680" xr:uid="{00000000-0005-0000-0000-000011040000}"/>
    <cellStyle name="Comma 3 3 5 2" xfId="9328" xr:uid="{00000000-0005-0000-0000-000012040000}"/>
    <cellStyle name="Comma 3 3 6" xfId="7897" xr:uid="{00000000-0005-0000-0000-000013040000}"/>
    <cellStyle name="Comma 3 4" xfId="2079" xr:uid="{00000000-0005-0000-0000-000014040000}"/>
    <cellStyle name="Comma 3 4 2" xfId="3296" xr:uid="{00000000-0005-0000-0000-000015040000}"/>
    <cellStyle name="Comma 3 5" xfId="3316" xr:uid="{00000000-0005-0000-0000-000016040000}"/>
    <cellStyle name="Comma 3 5 2" xfId="4930" xr:uid="{00000000-0005-0000-0000-000017040000}"/>
    <cellStyle name="Comma 3 5 3" xfId="6625" xr:uid="{00000000-0005-0000-0000-000018040000}"/>
    <cellStyle name="Comma 3 5 3 2" xfId="9389" xr:uid="{00000000-0005-0000-0000-000019040000}"/>
    <cellStyle name="Comma 3 5 4" xfId="8018" xr:uid="{00000000-0005-0000-0000-00001A040000}"/>
    <cellStyle name="Comma 3 6" xfId="3271" xr:uid="{00000000-0005-0000-0000-00001B040000}"/>
    <cellStyle name="Comma 3 7" xfId="3366" xr:uid="{00000000-0005-0000-0000-00001C040000}"/>
    <cellStyle name="Comma 3 7 2" xfId="6650" xr:uid="{00000000-0005-0000-0000-00001D040000}"/>
    <cellStyle name="Comma 3 7 2 2" xfId="9413" xr:uid="{00000000-0005-0000-0000-00001E040000}"/>
    <cellStyle name="Comma 3 7 3" xfId="8042" xr:uid="{00000000-0005-0000-0000-00001F040000}"/>
    <cellStyle name="Comma 3 8" xfId="3374" xr:uid="{00000000-0005-0000-0000-000020040000}"/>
    <cellStyle name="Comma 3 9" xfId="4862" xr:uid="{00000000-0005-0000-0000-000021040000}"/>
    <cellStyle name="Comma 3 9 2" xfId="9295" xr:uid="{00000000-0005-0000-0000-000022040000}"/>
    <cellStyle name="Comma 4" xfId="51" xr:uid="{00000000-0005-0000-0000-000023040000}"/>
    <cellStyle name="Comma 4 2" xfId="52" xr:uid="{00000000-0005-0000-0000-000024040000}"/>
    <cellStyle name="Comma 4 2 2" xfId="53" xr:uid="{00000000-0005-0000-0000-000025040000}"/>
    <cellStyle name="Comma 4 2 2 2" xfId="3277" xr:uid="{00000000-0005-0000-0000-000026040000}"/>
    <cellStyle name="Comma 4 2 3" xfId="3276" xr:uid="{00000000-0005-0000-0000-000027040000}"/>
    <cellStyle name="Comma 4 2 4" xfId="3431" xr:uid="{00000000-0005-0000-0000-000028040000}"/>
    <cellStyle name="Comma 4 2 4 2" xfId="6658" xr:uid="{00000000-0005-0000-0000-000029040000}"/>
    <cellStyle name="Comma 4 3" xfId="54" xr:uid="{00000000-0005-0000-0000-00002A040000}"/>
    <cellStyle name="Comma 4 3 2" xfId="2082" xr:uid="{00000000-0005-0000-0000-00002B040000}"/>
    <cellStyle name="Comma 4 3 2 2" xfId="3299" xr:uid="{00000000-0005-0000-0000-00002C040000}"/>
    <cellStyle name="Comma 4 3 2 2 2" xfId="6612" xr:uid="{00000000-0005-0000-0000-00002D040000}"/>
    <cellStyle name="Comma 4 3 2 2 2 2" xfId="9376" xr:uid="{00000000-0005-0000-0000-00002E040000}"/>
    <cellStyle name="Comma 4 3 2 2 3" xfId="8005" xr:uid="{00000000-0005-0000-0000-00002F040000}"/>
    <cellStyle name="Comma 4 3 2 3" xfId="5370" xr:uid="{00000000-0005-0000-0000-000030040000}"/>
    <cellStyle name="Comma 4 3 2 3 2" xfId="9315" xr:uid="{00000000-0005-0000-0000-000031040000}"/>
    <cellStyle name="Comma 4 3 2 4" xfId="6292" xr:uid="{00000000-0005-0000-0000-000032040000}"/>
    <cellStyle name="Comma 4 3 2 4 2" xfId="9349" xr:uid="{00000000-0005-0000-0000-000033040000}"/>
    <cellStyle name="Comma 4 3 2 5" xfId="7958" xr:uid="{00000000-0005-0000-0000-000034040000}"/>
    <cellStyle name="Comma 4 3 3" xfId="3278" xr:uid="{00000000-0005-0000-0000-000035040000}"/>
    <cellStyle name="Comma 4 3 3 2" xfId="6602" xr:uid="{00000000-0005-0000-0000-000036040000}"/>
    <cellStyle name="Comma 4 3 3 2 2" xfId="9366" xr:uid="{00000000-0005-0000-0000-000037040000}"/>
    <cellStyle name="Comma 4 3 3 3" xfId="7995" xr:uid="{00000000-0005-0000-0000-000038040000}"/>
    <cellStyle name="Comma 4 3 4" xfId="4932" xr:uid="{00000000-0005-0000-0000-000039040000}"/>
    <cellStyle name="Comma 4 3 4 2" xfId="9298" xr:uid="{00000000-0005-0000-0000-00003A040000}"/>
    <cellStyle name="Comma 4 3 5" xfId="5681" xr:uid="{00000000-0005-0000-0000-00003B040000}"/>
    <cellStyle name="Comma 4 3 5 2" xfId="9329" xr:uid="{00000000-0005-0000-0000-00003C040000}"/>
    <cellStyle name="Comma 4 3 6" xfId="7898" xr:uid="{00000000-0005-0000-0000-00003D040000}"/>
    <cellStyle name="Comma 4 4" xfId="55" xr:uid="{00000000-0005-0000-0000-00003E040000}"/>
    <cellStyle name="Comma 4 4 2" xfId="2083" xr:uid="{00000000-0005-0000-0000-00003F040000}"/>
    <cellStyle name="Comma 4 4 2 2" xfId="3300" xr:uid="{00000000-0005-0000-0000-000040040000}"/>
    <cellStyle name="Comma 4 4 3" xfId="3279" xr:uid="{00000000-0005-0000-0000-000041040000}"/>
    <cellStyle name="Comma 4 5" xfId="2081" xr:uid="{00000000-0005-0000-0000-000042040000}"/>
    <cellStyle name="Comma 4 5 2" xfId="3298" xr:uid="{00000000-0005-0000-0000-000043040000}"/>
    <cellStyle name="Comma 4 6" xfId="3275" xr:uid="{00000000-0005-0000-0000-000044040000}"/>
    <cellStyle name="Comma 4 7" xfId="3367" xr:uid="{00000000-0005-0000-0000-000045040000}"/>
    <cellStyle name="Comma 4 7 2" xfId="6651" xr:uid="{00000000-0005-0000-0000-000046040000}"/>
    <cellStyle name="Comma 4 7 2 2" xfId="9414" xr:uid="{00000000-0005-0000-0000-000047040000}"/>
    <cellStyle name="Comma 4 7 3" xfId="8043" xr:uid="{00000000-0005-0000-0000-000048040000}"/>
    <cellStyle name="Comma 4 8" xfId="3376" xr:uid="{00000000-0005-0000-0000-000049040000}"/>
    <cellStyle name="Comma 5" xfId="56" xr:uid="{00000000-0005-0000-0000-00004A040000}"/>
    <cellStyle name="Comma 5 2" xfId="2084" xr:uid="{00000000-0005-0000-0000-00004B040000}"/>
    <cellStyle name="Comma 5 2 2" xfId="3301" xr:uid="{00000000-0005-0000-0000-00004C040000}"/>
    <cellStyle name="Comma 5 2 3" xfId="3432" xr:uid="{00000000-0005-0000-0000-00004D040000}"/>
    <cellStyle name="Comma 5 2 3 2" xfId="6659" xr:uid="{00000000-0005-0000-0000-00004E040000}"/>
    <cellStyle name="Comma 5 3" xfId="3280" xr:uid="{00000000-0005-0000-0000-00004F040000}"/>
    <cellStyle name="Comma 5 4" xfId="3369" xr:uid="{00000000-0005-0000-0000-000050040000}"/>
    <cellStyle name="Comma 5 5" xfId="3377" xr:uid="{00000000-0005-0000-0000-000051040000}"/>
    <cellStyle name="Comma 6" xfId="57" xr:uid="{00000000-0005-0000-0000-000052040000}"/>
    <cellStyle name="Comma 6 2" xfId="2085" xr:uid="{00000000-0005-0000-0000-000053040000}"/>
    <cellStyle name="Comma 6 2 2" xfId="3302" xr:uid="{00000000-0005-0000-0000-000054040000}"/>
    <cellStyle name="Comma 6 2 3" xfId="3433" xr:uid="{00000000-0005-0000-0000-000055040000}"/>
    <cellStyle name="Comma 6 2 3 2" xfId="6660" xr:uid="{00000000-0005-0000-0000-000056040000}"/>
    <cellStyle name="Comma 6 3" xfId="3281" xr:uid="{00000000-0005-0000-0000-000057040000}"/>
    <cellStyle name="Comma 6 4" xfId="3373" xr:uid="{00000000-0005-0000-0000-000058040000}"/>
    <cellStyle name="Comma 7" xfId="2006" xr:uid="{00000000-0005-0000-0000-000059040000}"/>
    <cellStyle name="Comma 7 2" xfId="3262" xr:uid="{00000000-0005-0000-0000-00005A040000}"/>
    <cellStyle name="Comma 7 2 2" xfId="3311" xr:uid="{00000000-0005-0000-0000-00005B040000}"/>
    <cellStyle name="Comma 7 2 2 2" xfId="6620" xr:uid="{00000000-0005-0000-0000-00005C040000}"/>
    <cellStyle name="Comma 7 2 2 2 2" xfId="9384" xr:uid="{00000000-0005-0000-0000-00005D040000}"/>
    <cellStyle name="Comma 7 2 2 3" xfId="8013" xr:uid="{00000000-0005-0000-0000-00005E040000}"/>
    <cellStyle name="Comma 7 2 3" xfId="5677" xr:uid="{00000000-0005-0000-0000-00005F040000}"/>
    <cellStyle name="Comma 7 2 3 2" xfId="9327" xr:uid="{00000000-0005-0000-0000-000060040000}"/>
    <cellStyle name="Comma 7 2 4" xfId="6599" xr:uid="{00000000-0005-0000-0000-000061040000}"/>
    <cellStyle name="Comma 7 2 4 2" xfId="9363" xr:uid="{00000000-0005-0000-0000-000062040000}"/>
    <cellStyle name="Comma 7 2 5" xfId="7993" xr:uid="{00000000-0005-0000-0000-000063040000}"/>
    <cellStyle name="Comma 7 3" xfId="3292" xr:uid="{00000000-0005-0000-0000-000064040000}"/>
    <cellStyle name="Comma 7 3 2" xfId="6610" xr:uid="{00000000-0005-0000-0000-000065040000}"/>
    <cellStyle name="Comma 7 3 2 2" xfId="9374" xr:uid="{00000000-0005-0000-0000-000066040000}"/>
    <cellStyle name="Comma 7 3 3" xfId="8003" xr:uid="{00000000-0005-0000-0000-000067040000}"/>
    <cellStyle name="Comma 7 4" xfId="3434" xr:uid="{00000000-0005-0000-0000-000068040000}"/>
    <cellStyle name="Comma 7 4 2" xfId="6661" xr:uid="{00000000-0005-0000-0000-000069040000}"/>
    <cellStyle name="Comma 7 5" xfId="5308" xr:uid="{00000000-0005-0000-0000-00006A040000}"/>
    <cellStyle name="Comma 7 5 2" xfId="9313" xr:uid="{00000000-0005-0000-0000-00006B040000}"/>
    <cellStyle name="Comma 7 6" xfId="6230" xr:uid="{00000000-0005-0000-0000-00006C040000}"/>
    <cellStyle name="Comma 7 6 2" xfId="9346" xr:uid="{00000000-0005-0000-0000-00006D040000}"/>
    <cellStyle name="Comma 7 7" xfId="7955" xr:uid="{00000000-0005-0000-0000-00006E040000}"/>
    <cellStyle name="Comma 8" xfId="3435" xr:uid="{00000000-0005-0000-0000-00006F040000}"/>
    <cellStyle name="Comma 8 2" xfId="6662" xr:uid="{00000000-0005-0000-0000-000070040000}"/>
    <cellStyle name="Comma 9" xfId="3436" xr:uid="{00000000-0005-0000-0000-000071040000}"/>
    <cellStyle name="Comma 9 2" xfId="3464" xr:uid="{00000000-0005-0000-0000-000072040000}"/>
    <cellStyle name="Comma 9 2 2" xfId="3480" xr:uid="{00000000-0005-0000-0000-000073040000}"/>
    <cellStyle name="Comma 9 2 2 2" xfId="4131" xr:uid="{00000000-0005-0000-0000-000074040000}"/>
    <cellStyle name="Comma 9 2 2 2 2" xfId="7299" xr:uid="{00000000-0005-0000-0000-000075040000}"/>
    <cellStyle name="Comma 9 2 2 2 2 2" xfId="10054" xr:uid="{00000000-0005-0000-0000-000076040000}"/>
    <cellStyle name="Comma 9 2 2 2 3" xfId="8692" xr:uid="{00000000-0005-0000-0000-000077040000}"/>
    <cellStyle name="Comma 9 2 2 3" xfId="6688" xr:uid="{00000000-0005-0000-0000-000078040000}"/>
    <cellStyle name="Comma 9 2 2 3 2" xfId="9443" xr:uid="{00000000-0005-0000-0000-000079040000}"/>
    <cellStyle name="Comma 9 2 2 4" xfId="8076" xr:uid="{00000000-0005-0000-0000-00007A040000}"/>
    <cellStyle name="Comma 9 2 3" xfId="3496" xr:uid="{00000000-0005-0000-0000-00007B040000}"/>
    <cellStyle name="Comma 9 2 3 2" xfId="4147" xr:uid="{00000000-0005-0000-0000-00007C040000}"/>
    <cellStyle name="Comma 9 2 3 2 2" xfId="7315" xr:uid="{00000000-0005-0000-0000-00007D040000}"/>
    <cellStyle name="Comma 9 2 3 2 2 2" xfId="10070" xr:uid="{00000000-0005-0000-0000-00007E040000}"/>
    <cellStyle name="Comma 9 2 3 2 3" xfId="8708" xr:uid="{00000000-0005-0000-0000-00007F040000}"/>
    <cellStyle name="Comma 9 2 3 3" xfId="6704" xr:uid="{00000000-0005-0000-0000-000080040000}"/>
    <cellStyle name="Comma 9 2 3 3 2" xfId="9459" xr:uid="{00000000-0005-0000-0000-000081040000}"/>
    <cellStyle name="Comma 9 2 3 4" xfId="8092" xr:uid="{00000000-0005-0000-0000-000082040000}"/>
    <cellStyle name="Comma 9 2 4" xfId="4115" xr:uid="{00000000-0005-0000-0000-000083040000}"/>
    <cellStyle name="Comma 9 2 4 2" xfId="7283" xr:uid="{00000000-0005-0000-0000-000084040000}"/>
    <cellStyle name="Comma 9 2 4 2 2" xfId="10038" xr:uid="{00000000-0005-0000-0000-000085040000}"/>
    <cellStyle name="Comma 9 2 4 3" xfId="8676" xr:uid="{00000000-0005-0000-0000-000086040000}"/>
    <cellStyle name="Comma 9 2 5" xfId="6672" xr:uid="{00000000-0005-0000-0000-000087040000}"/>
    <cellStyle name="Comma 9 2 5 2" xfId="9427" xr:uid="{00000000-0005-0000-0000-000088040000}"/>
    <cellStyle name="Comma 9 2 6" xfId="8060" xr:uid="{00000000-0005-0000-0000-000089040000}"/>
    <cellStyle name="Comma 9 3" xfId="3472" xr:uid="{00000000-0005-0000-0000-00008A040000}"/>
    <cellStyle name="Comma 9 3 2" xfId="4123" xr:uid="{00000000-0005-0000-0000-00008B040000}"/>
    <cellStyle name="Comma 9 3 2 2" xfId="7291" xr:uid="{00000000-0005-0000-0000-00008C040000}"/>
    <cellStyle name="Comma 9 3 2 2 2" xfId="10046" xr:uid="{00000000-0005-0000-0000-00008D040000}"/>
    <cellStyle name="Comma 9 3 2 3" xfId="8684" xr:uid="{00000000-0005-0000-0000-00008E040000}"/>
    <cellStyle name="Comma 9 3 3" xfId="6680" xr:uid="{00000000-0005-0000-0000-00008F040000}"/>
    <cellStyle name="Comma 9 3 3 2" xfId="9435" xr:uid="{00000000-0005-0000-0000-000090040000}"/>
    <cellStyle name="Comma 9 3 4" xfId="8068" xr:uid="{00000000-0005-0000-0000-000091040000}"/>
    <cellStyle name="Comma 9 4" xfId="3488" xr:uid="{00000000-0005-0000-0000-000092040000}"/>
    <cellStyle name="Comma 9 4 2" xfId="4139" xr:uid="{00000000-0005-0000-0000-000093040000}"/>
    <cellStyle name="Comma 9 4 2 2" xfId="7307" xr:uid="{00000000-0005-0000-0000-000094040000}"/>
    <cellStyle name="Comma 9 4 2 2 2" xfId="10062" xr:uid="{00000000-0005-0000-0000-000095040000}"/>
    <cellStyle name="Comma 9 4 2 3" xfId="8700" xr:uid="{00000000-0005-0000-0000-000096040000}"/>
    <cellStyle name="Comma 9 4 3" xfId="6696" xr:uid="{00000000-0005-0000-0000-000097040000}"/>
    <cellStyle name="Comma 9 4 3 2" xfId="9451" xr:uid="{00000000-0005-0000-0000-000098040000}"/>
    <cellStyle name="Comma 9 4 4" xfId="8084" xr:uid="{00000000-0005-0000-0000-000099040000}"/>
    <cellStyle name="Comma 9 5" xfId="3516" xr:uid="{00000000-0005-0000-0000-00009A040000}"/>
    <cellStyle name="Comma 9 5 2" xfId="4157" xr:uid="{00000000-0005-0000-0000-00009B040000}"/>
    <cellStyle name="Comma 9 5 2 2" xfId="7325" xr:uid="{00000000-0005-0000-0000-00009C040000}"/>
    <cellStyle name="Comma 9 5 2 2 2" xfId="10080" xr:uid="{00000000-0005-0000-0000-00009D040000}"/>
    <cellStyle name="Comma 9 5 2 3" xfId="8718" xr:uid="{00000000-0005-0000-0000-00009E040000}"/>
    <cellStyle name="Comma 9 5 3" xfId="6714" xr:uid="{00000000-0005-0000-0000-00009F040000}"/>
    <cellStyle name="Comma 9 5 3 2" xfId="9469" xr:uid="{00000000-0005-0000-0000-0000A0040000}"/>
    <cellStyle name="Comma 9 5 4" xfId="8102" xr:uid="{00000000-0005-0000-0000-0000A1040000}"/>
    <cellStyle name="Comma 9 6" xfId="4107" xr:uid="{00000000-0005-0000-0000-0000A2040000}"/>
    <cellStyle name="Comma 9 6 2" xfId="7275" xr:uid="{00000000-0005-0000-0000-0000A3040000}"/>
    <cellStyle name="Comma 9 6 2 2" xfId="10030" xr:uid="{00000000-0005-0000-0000-0000A4040000}"/>
    <cellStyle name="Comma 9 6 3" xfId="8668" xr:uid="{00000000-0005-0000-0000-0000A5040000}"/>
    <cellStyle name="Comma 9 7" xfId="6663" xr:uid="{00000000-0005-0000-0000-0000A6040000}"/>
    <cellStyle name="Comma 9 7 2" xfId="9419" xr:uid="{00000000-0005-0000-0000-0000A7040000}"/>
    <cellStyle name="Comma 9 8" xfId="8049" xr:uid="{00000000-0005-0000-0000-0000A8040000}"/>
    <cellStyle name="Comma0 - Type3" xfId="58" xr:uid="{00000000-0005-0000-0000-0000A9040000}"/>
    <cellStyle name="CustomizationCells" xfId="59" xr:uid="{00000000-0005-0000-0000-0000AA040000}"/>
    <cellStyle name="CustomizationCells 2" xfId="7899" xr:uid="{00000000-0005-0000-0000-0000AB040000}"/>
    <cellStyle name="CustomizationCells 3" xfId="7950" xr:uid="{00000000-0005-0000-0000-0000AC040000}"/>
    <cellStyle name="CustomizationCells 4" xfId="10676" xr:uid="{00000000-0005-0000-0000-0000AD040000}"/>
    <cellStyle name="CustomizationCells 5" xfId="10666" xr:uid="{00000000-0005-0000-0000-0000AE040000}"/>
    <cellStyle name="Euro" xfId="60" xr:uid="{00000000-0005-0000-0000-0000AF040000}"/>
    <cellStyle name="Euro 10" xfId="61" xr:uid="{00000000-0005-0000-0000-0000B0040000}"/>
    <cellStyle name="Euro 10 2" xfId="62" xr:uid="{00000000-0005-0000-0000-0000B1040000}"/>
    <cellStyle name="Euro 10 2 2" xfId="2086" xr:uid="{00000000-0005-0000-0000-0000B2040000}"/>
    <cellStyle name="Euro 10 3" xfId="63" xr:uid="{00000000-0005-0000-0000-0000B3040000}"/>
    <cellStyle name="Euro 10 3 2" xfId="64" xr:uid="{00000000-0005-0000-0000-0000B4040000}"/>
    <cellStyle name="Euro 10 3 3" xfId="65" xr:uid="{00000000-0005-0000-0000-0000B5040000}"/>
    <cellStyle name="Euro 10 3 3 2" xfId="2088" xr:uid="{00000000-0005-0000-0000-0000B6040000}"/>
    <cellStyle name="Euro 10 3 4" xfId="2087" xr:uid="{00000000-0005-0000-0000-0000B7040000}"/>
    <cellStyle name="Euro 10 4" xfId="66" xr:uid="{00000000-0005-0000-0000-0000B8040000}"/>
    <cellStyle name="Euro 10 4 2" xfId="67" xr:uid="{00000000-0005-0000-0000-0000B9040000}"/>
    <cellStyle name="Euro 10 4 2 2" xfId="2090" xr:uid="{00000000-0005-0000-0000-0000BA040000}"/>
    <cellStyle name="Euro 10 4 3" xfId="2089" xr:uid="{00000000-0005-0000-0000-0000BB040000}"/>
    <cellStyle name="Euro 10 5" xfId="68" xr:uid="{00000000-0005-0000-0000-0000BC040000}"/>
    <cellStyle name="Euro 11" xfId="69" xr:uid="{00000000-0005-0000-0000-0000BD040000}"/>
    <cellStyle name="Euro 11 2" xfId="70" xr:uid="{00000000-0005-0000-0000-0000BE040000}"/>
    <cellStyle name="Euro 11 2 2" xfId="2091" xr:uid="{00000000-0005-0000-0000-0000BF040000}"/>
    <cellStyle name="Euro 11 3" xfId="71" xr:uid="{00000000-0005-0000-0000-0000C0040000}"/>
    <cellStyle name="Euro 11 3 2" xfId="72" xr:uid="{00000000-0005-0000-0000-0000C1040000}"/>
    <cellStyle name="Euro 11 3 3" xfId="73" xr:uid="{00000000-0005-0000-0000-0000C2040000}"/>
    <cellStyle name="Euro 11 3 3 2" xfId="2093" xr:uid="{00000000-0005-0000-0000-0000C3040000}"/>
    <cellStyle name="Euro 11 3 4" xfId="2092" xr:uid="{00000000-0005-0000-0000-0000C4040000}"/>
    <cellStyle name="Euro 11 4" xfId="74" xr:uid="{00000000-0005-0000-0000-0000C5040000}"/>
    <cellStyle name="Euro 11 4 2" xfId="75" xr:uid="{00000000-0005-0000-0000-0000C6040000}"/>
    <cellStyle name="Euro 11 4 2 2" xfId="2095" xr:uid="{00000000-0005-0000-0000-0000C7040000}"/>
    <cellStyle name="Euro 11 4 3" xfId="2094" xr:uid="{00000000-0005-0000-0000-0000C8040000}"/>
    <cellStyle name="Euro 11 5" xfId="76" xr:uid="{00000000-0005-0000-0000-0000C9040000}"/>
    <cellStyle name="Euro 12" xfId="77" xr:uid="{00000000-0005-0000-0000-0000CA040000}"/>
    <cellStyle name="Euro 12 2" xfId="78" xr:uid="{00000000-0005-0000-0000-0000CB040000}"/>
    <cellStyle name="Euro 12 2 2" xfId="2096" xr:uid="{00000000-0005-0000-0000-0000CC040000}"/>
    <cellStyle name="Euro 12 3" xfId="79" xr:uid="{00000000-0005-0000-0000-0000CD040000}"/>
    <cellStyle name="Euro 12 3 2" xfId="80" xr:uid="{00000000-0005-0000-0000-0000CE040000}"/>
    <cellStyle name="Euro 12 3 3" xfId="81" xr:uid="{00000000-0005-0000-0000-0000CF040000}"/>
    <cellStyle name="Euro 12 3 3 2" xfId="2098" xr:uid="{00000000-0005-0000-0000-0000D0040000}"/>
    <cellStyle name="Euro 12 3 4" xfId="2097" xr:uid="{00000000-0005-0000-0000-0000D1040000}"/>
    <cellStyle name="Euro 12 4" xfId="82" xr:uid="{00000000-0005-0000-0000-0000D2040000}"/>
    <cellStyle name="Euro 12 4 2" xfId="83" xr:uid="{00000000-0005-0000-0000-0000D3040000}"/>
    <cellStyle name="Euro 12 4 2 2" xfId="2100" xr:uid="{00000000-0005-0000-0000-0000D4040000}"/>
    <cellStyle name="Euro 12 4 3" xfId="2099" xr:uid="{00000000-0005-0000-0000-0000D5040000}"/>
    <cellStyle name="Euro 12 5" xfId="84" xr:uid="{00000000-0005-0000-0000-0000D6040000}"/>
    <cellStyle name="Euro 13" xfId="85" xr:uid="{00000000-0005-0000-0000-0000D7040000}"/>
    <cellStyle name="Euro 13 2" xfId="86" xr:uid="{00000000-0005-0000-0000-0000D8040000}"/>
    <cellStyle name="Euro 13 2 2" xfId="2101" xr:uid="{00000000-0005-0000-0000-0000D9040000}"/>
    <cellStyle name="Euro 13 3" xfId="87" xr:uid="{00000000-0005-0000-0000-0000DA040000}"/>
    <cellStyle name="Euro 13 3 2" xfId="88" xr:uid="{00000000-0005-0000-0000-0000DB040000}"/>
    <cellStyle name="Euro 13 3 3" xfId="89" xr:uid="{00000000-0005-0000-0000-0000DC040000}"/>
    <cellStyle name="Euro 13 3 3 2" xfId="2103" xr:uid="{00000000-0005-0000-0000-0000DD040000}"/>
    <cellStyle name="Euro 13 3 4" xfId="2102" xr:uid="{00000000-0005-0000-0000-0000DE040000}"/>
    <cellStyle name="Euro 13 4" xfId="90" xr:uid="{00000000-0005-0000-0000-0000DF040000}"/>
    <cellStyle name="Euro 13 4 2" xfId="91" xr:uid="{00000000-0005-0000-0000-0000E0040000}"/>
    <cellStyle name="Euro 13 4 2 2" xfId="2105" xr:uid="{00000000-0005-0000-0000-0000E1040000}"/>
    <cellStyle name="Euro 13 4 3" xfId="2104" xr:uid="{00000000-0005-0000-0000-0000E2040000}"/>
    <cellStyle name="Euro 13 5" xfId="92" xr:uid="{00000000-0005-0000-0000-0000E3040000}"/>
    <cellStyle name="Euro 14" xfId="93" xr:uid="{00000000-0005-0000-0000-0000E4040000}"/>
    <cellStyle name="Euro 14 2" xfId="94" xr:uid="{00000000-0005-0000-0000-0000E5040000}"/>
    <cellStyle name="Euro 14 2 2" xfId="2106" xr:uid="{00000000-0005-0000-0000-0000E6040000}"/>
    <cellStyle name="Euro 14 3" xfId="95" xr:uid="{00000000-0005-0000-0000-0000E7040000}"/>
    <cellStyle name="Euro 14 3 2" xfId="96" xr:uid="{00000000-0005-0000-0000-0000E8040000}"/>
    <cellStyle name="Euro 14 3 3" xfId="97" xr:uid="{00000000-0005-0000-0000-0000E9040000}"/>
    <cellStyle name="Euro 14 3 3 2" xfId="2108" xr:uid="{00000000-0005-0000-0000-0000EA040000}"/>
    <cellStyle name="Euro 14 3 4" xfId="2107" xr:uid="{00000000-0005-0000-0000-0000EB040000}"/>
    <cellStyle name="Euro 14 4" xfId="98" xr:uid="{00000000-0005-0000-0000-0000EC040000}"/>
    <cellStyle name="Euro 14 4 2" xfId="99" xr:uid="{00000000-0005-0000-0000-0000ED040000}"/>
    <cellStyle name="Euro 14 4 2 2" xfId="2110" xr:uid="{00000000-0005-0000-0000-0000EE040000}"/>
    <cellStyle name="Euro 14 4 3" xfId="2109" xr:uid="{00000000-0005-0000-0000-0000EF040000}"/>
    <cellStyle name="Euro 14 5" xfId="100" xr:uid="{00000000-0005-0000-0000-0000F0040000}"/>
    <cellStyle name="Euro 15" xfId="101" xr:uid="{00000000-0005-0000-0000-0000F1040000}"/>
    <cellStyle name="Euro 15 2" xfId="102" xr:uid="{00000000-0005-0000-0000-0000F2040000}"/>
    <cellStyle name="Euro 15 2 2" xfId="2111" xr:uid="{00000000-0005-0000-0000-0000F3040000}"/>
    <cellStyle name="Euro 15 3" xfId="103" xr:uid="{00000000-0005-0000-0000-0000F4040000}"/>
    <cellStyle name="Euro 15 3 2" xfId="104" xr:uid="{00000000-0005-0000-0000-0000F5040000}"/>
    <cellStyle name="Euro 15 3 3" xfId="105" xr:uid="{00000000-0005-0000-0000-0000F6040000}"/>
    <cellStyle name="Euro 15 3 3 2" xfId="2113" xr:uid="{00000000-0005-0000-0000-0000F7040000}"/>
    <cellStyle name="Euro 15 3 4" xfId="2112" xr:uid="{00000000-0005-0000-0000-0000F8040000}"/>
    <cellStyle name="Euro 15 4" xfId="106" xr:uid="{00000000-0005-0000-0000-0000F9040000}"/>
    <cellStyle name="Euro 15 4 2" xfId="107" xr:uid="{00000000-0005-0000-0000-0000FA040000}"/>
    <cellStyle name="Euro 15 4 2 2" xfId="2115" xr:uid="{00000000-0005-0000-0000-0000FB040000}"/>
    <cellStyle name="Euro 15 4 3" xfId="2114" xr:uid="{00000000-0005-0000-0000-0000FC040000}"/>
    <cellStyle name="Euro 15 5" xfId="108" xr:uid="{00000000-0005-0000-0000-0000FD040000}"/>
    <cellStyle name="Euro 16" xfId="109" xr:uid="{00000000-0005-0000-0000-0000FE040000}"/>
    <cellStyle name="Euro 16 2" xfId="110" xr:uid="{00000000-0005-0000-0000-0000FF040000}"/>
    <cellStyle name="Euro 16 2 2" xfId="2116" xr:uid="{00000000-0005-0000-0000-000000050000}"/>
    <cellStyle name="Euro 16 3" xfId="111" xr:uid="{00000000-0005-0000-0000-000001050000}"/>
    <cellStyle name="Euro 16 3 2" xfId="112" xr:uid="{00000000-0005-0000-0000-000002050000}"/>
    <cellStyle name="Euro 16 3 3" xfId="113" xr:uid="{00000000-0005-0000-0000-000003050000}"/>
    <cellStyle name="Euro 16 3 3 2" xfId="2118" xr:uid="{00000000-0005-0000-0000-000004050000}"/>
    <cellStyle name="Euro 16 3 4" xfId="2117" xr:uid="{00000000-0005-0000-0000-000005050000}"/>
    <cellStyle name="Euro 16 4" xfId="114" xr:uid="{00000000-0005-0000-0000-000006050000}"/>
    <cellStyle name="Euro 16 4 2" xfId="115" xr:uid="{00000000-0005-0000-0000-000007050000}"/>
    <cellStyle name="Euro 16 4 2 2" xfId="2120" xr:uid="{00000000-0005-0000-0000-000008050000}"/>
    <cellStyle name="Euro 16 4 3" xfId="2119" xr:uid="{00000000-0005-0000-0000-000009050000}"/>
    <cellStyle name="Euro 16 5" xfId="116" xr:uid="{00000000-0005-0000-0000-00000A050000}"/>
    <cellStyle name="Euro 17" xfId="117" xr:uid="{00000000-0005-0000-0000-00000B050000}"/>
    <cellStyle name="Euro 17 2" xfId="118" xr:uid="{00000000-0005-0000-0000-00000C050000}"/>
    <cellStyle name="Euro 17 2 2" xfId="2121" xr:uid="{00000000-0005-0000-0000-00000D050000}"/>
    <cellStyle name="Euro 17 3" xfId="119" xr:uid="{00000000-0005-0000-0000-00000E050000}"/>
    <cellStyle name="Euro 17 3 2" xfId="120" xr:uid="{00000000-0005-0000-0000-00000F050000}"/>
    <cellStyle name="Euro 17 3 3" xfId="121" xr:uid="{00000000-0005-0000-0000-000010050000}"/>
    <cellStyle name="Euro 17 3 3 2" xfId="2123" xr:uid="{00000000-0005-0000-0000-000011050000}"/>
    <cellStyle name="Euro 17 3 4" xfId="2122" xr:uid="{00000000-0005-0000-0000-000012050000}"/>
    <cellStyle name="Euro 17 4" xfId="122" xr:uid="{00000000-0005-0000-0000-000013050000}"/>
    <cellStyle name="Euro 17 4 2" xfId="123" xr:uid="{00000000-0005-0000-0000-000014050000}"/>
    <cellStyle name="Euro 17 4 2 2" xfId="2125" xr:uid="{00000000-0005-0000-0000-000015050000}"/>
    <cellStyle name="Euro 17 4 3" xfId="2124" xr:uid="{00000000-0005-0000-0000-000016050000}"/>
    <cellStyle name="Euro 17 5" xfId="124" xr:uid="{00000000-0005-0000-0000-000017050000}"/>
    <cellStyle name="Euro 18" xfId="125" xr:uid="{00000000-0005-0000-0000-000018050000}"/>
    <cellStyle name="Euro 18 2" xfId="126" xr:uid="{00000000-0005-0000-0000-000019050000}"/>
    <cellStyle name="Euro 18 2 2" xfId="2126" xr:uid="{00000000-0005-0000-0000-00001A050000}"/>
    <cellStyle name="Euro 18 3" xfId="127" xr:uid="{00000000-0005-0000-0000-00001B050000}"/>
    <cellStyle name="Euro 18 3 2" xfId="128" xr:uid="{00000000-0005-0000-0000-00001C050000}"/>
    <cellStyle name="Euro 18 3 3" xfId="129" xr:uid="{00000000-0005-0000-0000-00001D050000}"/>
    <cellStyle name="Euro 18 3 3 2" xfId="2128" xr:uid="{00000000-0005-0000-0000-00001E050000}"/>
    <cellStyle name="Euro 18 3 4" xfId="2127" xr:uid="{00000000-0005-0000-0000-00001F050000}"/>
    <cellStyle name="Euro 18 4" xfId="130" xr:uid="{00000000-0005-0000-0000-000020050000}"/>
    <cellStyle name="Euro 18 4 2" xfId="131" xr:uid="{00000000-0005-0000-0000-000021050000}"/>
    <cellStyle name="Euro 18 4 2 2" xfId="2130" xr:uid="{00000000-0005-0000-0000-000022050000}"/>
    <cellStyle name="Euro 18 4 3" xfId="2129" xr:uid="{00000000-0005-0000-0000-000023050000}"/>
    <cellStyle name="Euro 18 5" xfId="132" xr:uid="{00000000-0005-0000-0000-000024050000}"/>
    <cellStyle name="Euro 19" xfId="133" xr:uid="{00000000-0005-0000-0000-000025050000}"/>
    <cellStyle name="Euro 19 2" xfId="134" xr:uid="{00000000-0005-0000-0000-000026050000}"/>
    <cellStyle name="Euro 19 2 2" xfId="2131" xr:uid="{00000000-0005-0000-0000-000027050000}"/>
    <cellStyle name="Euro 19 3" xfId="135" xr:uid="{00000000-0005-0000-0000-000028050000}"/>
    <cellStyle name="Euro 19 3 2" xfId="136" xr:uid="{00000000-0005-0000-0000-000029050000}"/>
    <cellStyle name="Euro 19 3 3" xfId="137" xr:uid="{00000000-0005-0000-0000-00002A050000}"/>
    <cellStyle name="Euro 19 3 3 2" xfId="2133" xr:uid="{00000000-0005-0000-0000-00002B050000}"/>
    <cellStyle name="Euro 19 3 4" xfId="2132" xr:uid="{00000000-0005-0000-0000-00002C050000}"/>
    <cellStyle name="Euro 19 4" xfId="138" xr:uid="{00000000-0005-0000-0000-00002D050000}"/>
    <cellStyle name="Euro 19 4 2" xfId="139" xr:uid="{00000000-0005-0000-0000-00002E050000}"/>
    <cellStyle name="Euro 19 4 2 2" xfId="2135" xr:uid="{00000000-0005-0000-0000-00002F050000}"/>
    <cellStyle name="Euro 19 4 3" xfId="2134" xr:uid="{00000000-0005-0000-0000-000030050000}"/>
    <cellStyle name="Euro 19 5" xfId="140" xr:uid="{00000000-0005-0000-0000-000031050000}"/>
    <cellStyle name="Euro 2" xfId="141" xr:uid="{00000000-0005-0000-0000-000032050000}"/>
    <cellStyle name="Euro 2 2" xfId="142" xr:uid="{00000000-0005-0000-0000-000033050000}"/>
    <cellStyle name="Euro 2 2 2" xfId="2136" xr:uid="{00000000-0005-0000-0000-000034050000}"/>
    <cellStyle name="Euro 2 3" xfId="143" xr:uid="{00000000-0005-0000-0000-000035050000}"/>
    <cellStyle name="Euro 2 3 2" xfId="144" xr:uid="{00000000-0005-0000-0000-000036050000}"/>
    <cellStyle name="Euro 2 3 3" xfId="145" xr:uid="{00000000-0005-0000-0000-000037050000}"/>
    <cellStyle name="Euro 2 3 3 2" xfId="2138" xr:uid="{00000000-0005-0000-0000-000038050000}"/>
    <cellStyle name="Euro 2 3 4" xfId="2137" xr:uid="{00000000-0005-0000-0000-000039050000}"/>
    <cellStyle name="Euro 2 4" xfId="146" xr:uid="{00000000-0005-0000-0000-00003A050000}"/>
    <cellStyle name="Euro 2 4 2" xfId="147" xr:uid="{00000000-0005-0000-0000-00003B050000}"/>
    <cellStyle name="Euro 2 4 2 2" xfId="2140" xr:uid="{00000000-0005-0000-0000-00003C050000}"/>
    <cellStyle name="Euro 2 4 3" xfId="2139" xr:uid="{00000000-0005-0000-0000-00003D050000}"/>
    <cellStyle name="Euro 2 5" xfId="148" xr:uid="{00000000-0005-0000-0000-00003E050000}"/>
    <cellStyle name="Euro 20" xfId="149" xr:uid="{00000000-0005-0000-0000-00003F050000}"/>
    <cellStyle name="Euro 20 2" xfId="150" xr:uid="{00000000-0005-0000-0000-000040050000}"/>
    <cellStyle name="Euro 20 2 2" xfId="2141" xr:uid="{00000000-0005-0000-0000-000041050000}"/>
    <cellStyle name="Euro 20 3" xfId="151" xr:uid="{00000000-0005-0000-0000-000042050000}"/>
    <cellStyle name="Euro 20 3 2" xfId="152" xr:uid="{00000000-0005-0000-0000-000043050000}"/>
    <cellStyle name="Euro 20 3 3" xfId="153" xr:uid="{00000000-0005-0000-0000-000044050000}"/>
    <cellStyle name="Euro 20 3 3 2" xfId="2143" xr:uid="{00000000-0005-0000-0000-000045050000}"/>
    <cellStyle name="Euro 20 3 4" xfId="2142" xr:uid="{00000000-0005-0000-0000-000046050000}"/>
    <cellStyle name="Euro 20 4" xfId="154" xr:uid="{00000000-0005-0000-0000-000047050000}"/>
    <cellStyle name="Euro 20 4 2" xfId="155" xr:uid="{00000000-0005-0000-0000-000048050000}"/>
    <cellStyle name="Euro 20 4 2 2" xfId="2145" xr:uid="{00000000-0005-0000-0000-000049050000}"/>
    <cellStyle name="Euro 20 4 3" xfId="2144" xr:uid="{00000000-0005-0000-0000-00004A050000}"/>
    <cellStyle name="Euro 20 5" xfId="156" xr:uid="{00000000-0005-0000-0000-00004B050000}"/>
    <cellStyle name="Euro 21" xfId="157" xr:uid="{00000000-0005-0000-0000-00004C050000}"/>
    <cellStyle name="Euro 21 2" xfId="158" xr:uid="{00000000-0005-0000-0000-00004D050000}"/>
    <cellStyle name="Euro 21 2 2" xfId="2146" xr:uid="{00000000-0005-0000-0000-00004E050000}"/>
    <cellStyle name="Euro 21 3" xfId="159" xr:uid="{00000000-0005-0000-0000-00004F050000}"/>
    <cellStyle name="Euro 21 3 2" xfId="160" xr:uid="{00000000-0005-0000-0000-000050050000}"/>
    <cellStyle name="Euro 21 3 3" xfId="161" xr:uid="{00000000-0005-0000-0000-000051050000}"/>
    <cellStyle name="Euro 21 3 3 2" xfId="2148" xr:uid="{00000000-0005-0000-0000-000052050000}"/>
    <cellStyle name="Euro 21 3 4" xfId="2147" xr:uid="{00000000-0005-0000-0000-000053050000}"/>
    <cellStyle name="Euro 21 4" xfId="162" xr:uid="{00000000-0005-0000-0000-000054050000}"/>
    <cellStyle name="Euro 21 4 2" xfId="163" xr:uid="{00000000-0005-0000-0000-000055050000}"/>
    <cellStyle name="Euro 21 4 2 2" xfId="2150" xr:uid="{00000000-0005-0000-0000-000056050000}"/>
    <cellStyle name="Euro 21 4 3" xfId="2149" xr:uid="{00000000-0005-0000-0000-000057050000}"/>
    <cellStyle name="Euro 21 5" xfId="164" xr:uid="{00000000-0005-0000-0000-000058050000}"/>
    <cellStyle name="Euro 22" xfId="165" xr:uid="{00000000-0005-0000-0000-000059050000}"/>
    <cellStyle name="Euro 22 2" xfId="166" xr:uid="{00000000-0005-0000-0000-00005A050000}"/>
    <cellStyle name="Euro 22 2 2" xfId="2151" xr:uid="{00000000-0005-0000-0000-00005B050000}"/>
    <cellStyle name="Euro 22 3" xfId="167" xr:uid="{00000000-0005-0000-0000-00005C050000}"/>
    <cellStyle name="Euro 22 3 2" xfId="168" xr:uid="{00000000-0005-0000-0000-00005D050000}"/>
    <cellStyle name="Euro 22 3 3" xfId="169" xr:uid="{00000000-0005-0000-0000-00005E050000}"/>
    <cellStyle name="Euro 22 3 3 2" xfId="2153" xr:uid="{00000000-0005-0000-0000-00005F050000}"/>
    <cellStyle name="Euro 22 3 4" xfId="2152" xr:uid="{00000000-0005-0000-0000-000060050000}"/>
    <cellStyle name="Euro 22 4" xfId="170" xr:uid="{00000000-0005-0000-0000-000061050000}"/>
    <cellStyle name="Euro 22 4 2" xfId="171" xr:uid="{00000000-0005-0000-0000-000062050000}"/>
    <cellStyle name="Euro 22 4 2 2" xfId="2155" xr:uid="{00000000-0005-0000-0000-000063050000}"/>
    <cellStyle name="Euro 22 4 3" xfId="2154" xr:uid="{00000000-0005-0000-0000-000064050000}"/>
    <cellStyle name="Euro 22 5" xfId="172" xr:uid="{00000000-0005-0000-0000-000065050000}"/>
    <cellStyle name="Euro 23" xfId="173" xr:uid="{00000000-0005-0000-0000-000066050000}"/>
    <cellStyle name="Euro 23 2" xfId="174" xr:uid="{00000000-0005-0000-0000-000067050000}"/>
    <cellStyle name="Euro 23 2 2" xfId="2156" xr:uid="{00000000-0005-0000-0000-000068050000}"/>
    <cellStyle name="Euro 23 3" xfId="175" xr:uid="{00000000-0005-0000-0000-000069050000}"/>
    <cellStyle name="Euro 23 3 2" xfId="176" xr:uid="{00000000-0005-0000-0000-00006A050000}"/>
    <cellStyle name="Euro 23 3 3" xfId="177" xr:uid="{00000000-0005-0000-0000-00006B050000}"/>
    <cellStyle name="Euro 23 3 3 2" xfId="2158" xr:uid="{00000000-0005-0000-0000-00006C050000}"/>
    <cellStyle name="Euro 23 3 4" xfId="2157" xr:uid="{00000000-0005-0000-0000-00006D050000}"/>
    <cellStyle name="Euro 23 4" xfId="178" xr:uid="{00000000-0005-0000-0000-00006E050000}"/>
    <cellStyle name="Euro 23 4 2" xfId="179" xr:uid="{00000000-0005-0000-0000-00006F050000}"/>
    <cellStyle name="Euro 23 4 2 2" xfId="2160" xr:uid="{00000000-0005-0000-0000-000070050000}"/>
    <cellStyle name="Euro 23 4 3" xfId="2159" xr:uid="{00000000-0005-0000-0000-000071050000}"/>
    <cellStyle name="Euro 23 5" xfId="180" xr:uid="{00000000-0005-0000-0000-000072050000}"/>
    <cellStyle name="Euro 24" xfId="181" xr:uid="{00000000-0005-0000-0000-000073050000}"/>
    <cellStyle name="Euro 24 2" xfId="182" xr:uid="{00000000-0005-0000-0000-000074050000}"/>
    <cellStyle name="Euro 24 2 2" xfId="2161" xr:uid="{00000000-0005-0000-0000-000075050000}"/>
    <cellStyle name="Euro 24 3" xfId="183" xr:uid="{00000000-0005-0000-0000-000076050000}"/>
    <cellStyle name="Euro 24 3 2" xfId="184" xr:uid="{00000000-0005-0000-0000-000077050000}"/>
    <cellStyle name="Euro 24 3 3" xfId="185" xr:uid="{00000000-0005-0000-0000-000078050000}"/>
    <cellStyle name="Euro 24 3 3 2" xfId="2163" xr:uid="{00000000-0005-0000-0000-000079050000}"/>
    <cellStyle name="Euro 24 3 4" xfId="2162" xr:uid="{00000000-0005-0000-0000-00007A050000}"/>
    <cellStyle name="Euro 24 4" xfId="186" xr:uid="{00000000-0005-0000-0000-00007B050000}"/>
    <cellStyle name="Euro 24 4 2" xfId="187" xr:uid="{00000000-0005-0000-0000-00007C050000}"/>
    <cellStyle name="Euro 24 4 2 2" xfId="2165" xr:uid="{00000000-0005-0000-0000-00007D050000}"/>
    <cellStyle name="Euro 24 4 3" xfId="2164" xr:uid="{00000000-0005-0000-0000-00007E050000}"/>
    <cellStyle name="Euro 24 5" xfId="188" xr:uid="{00000000-0005-0000-0000-00007F050000}"/>
    <cellStyle name="Euro 25" xfId="189" xr:uid="{00000000-0005-0000-0000-000080050000}"/>
    <cellStyle name="Euro 25 2" xfId="190" xr:uid="{00000000-0005-0000-0000-000081050000}"/>
    <cellStyle name="Euro 25 2 2" xfId="2166" xr:uid="{00000000-0005-0000-0000-000082050000}"/>
    <cellStyle name="Euro 25 3" xfId="191" xr:uid="{00000000-0005-0000-0000-000083050000}"/>
    <cellStyle name="Euro 25 3 2" xfId="192" xr:uid="{00000000-0005-0000-0000-000084050000}"/>
    <cellStyle name="Euro 25 3 3" xfId="193" xr:uid="{00000000-0005-0000-0000-000085050000}"/>
    <cellStyle name="Euro 25 3 3 2" xfId="2168" xr:uid="{00000000-0005-0000-0000-000086050000}"/>
    <cellStyle name="Euro 25 3 4" xfId="2167" xr:uid="{00000000-0005-0000-0000-000087050000}"/>
    <cellStyle name="Euro 25 4" xfId="194" xr:uid="{00000000-0005-0000-0000-000088050000}"/>
    <cellStyle name="Euro 25 4 2" xfId="195" xr:uid="{00000000-0005-0000-0000-000089050000}"/>
    <cellStyle name="Euro 25 4 2 2" xfId="2170" xr:uid="{00000000-0005-0000-0000-00008A050000}"/>
    <cellStyle name="Euro 25 4 3" xfId="2169" xr:uid="{00000000-0005-0000-0000-00008B050000}"/>
    <cellStyle name="Euro 25 5" xfId="196" xr:uid="{00000000-0005-0000-0000-00008C050000}"/>
    <cellStyle name="Euro 26" xfId="197" xr:uid="{00000000-0005-0000-0000-00008D050000}"/>
    <cellStyle name="Euro 26 2" xfId="198" xr:uid="{00000000-0005-0000-0000-00008E050000}"/>
    <cellStyle name="Euro 26 2 2" xfId="2171" xr:uid="{00000000-0005-0000-0000-00008F050000}"/>
    <cellStyle name="Euro 26 3" xfId="199" xr:uid="{00000000-0005-0000-0000-000090050000}"/>
    <cellStyle name="Euro 26 3 2" xfId="200" xr:uid="{00000000-0005-0000-0000-000091050000}"/>
    <cellStyle name="Euro 26 3 3" xfId="201" xr:uid="{00000000-0005-0000-0000-000092050000}"/>
    <cellStyle name="Euro 26 3 3 2" xfId="2173" xr:uid="{00000000-0005-0000-0000-000093050000}"/>
    <cellStyle name="Euro 26 3 4" xfId="2172" xr:uid="{00000000-0005-0000-0000-000094050000}"/>
    <cellStyle name="Euro 26 4" xfId="202" xr:uid="{00000000-0005-0000-0000-000095050000}"/>
    <cellStyle name="Euro 26 4 2" xfId="203" xr:uid="{00000000-0005-0000-0000-000096050000}"/>
    <cellStyle name="Euro 26 4 2 2" xfId="2175" xr:uid="{00000000-0005-0000-0000-000097050000}"/>
    <cellStyle name="Euro 26 4 3" xfId="2174" xr:uid="{00000000-0005-0000-0000-000098050000}"/>
    <cellStyle name="Euro 26 5" xfId="204" xr:uid="{00000000-0005-0000-0000-000099050000}"/>
    <cellStyle name="Euro 27" xfId="205" xr:uid="{00000000-0005-0000-0000-00009A050000}"/>
    <cellStyle name="Euro 27 2" xfId="206" xr:uid="{00000000-0005-0000-0000-00009B050000}"/>
    <cellStyle name="Euro 27 2 2" xfId="2176" xr:uid="{00000000-0005-0000-0000-00009C050000}"/>
    <cellStyle name="Euro 27 3" xfId="207" xr:uid="{00000000-0005-0000-0000-00009D050000}"/>
    <cellStyle name="Euro 27 3 2" xfId="208" xr:uid="{00000000-0005-0000-0000-00009E050000}"/>
    <cellStyle name="Euro 27 3 3" xfId="209" xr:uid="{00000000-0005-0000-0000-00009F050000}"/>
    <cellStyle name="Euro 27 3 3 2" xfId="2178" xr:uid="{00000000-0005-0000-0000-0000A0050000}"/>
    <cellStyle name="Euro 27 3 4" xfId="2177" xr:uid="{00000000-0005-0000-0000-0000A1050000}"/>
    <cellStyle name="Euro 27 4" xfId="210" xr:uid="{00000000-0005-0000-0000-0000A2050000}"/>
    <cellStyle name="Euro 27 4 2" xfId="211" xr:uid="{00000000-0005-0000-0000-0000A3050000}"/>
    <cellStyle name="Euro 27 4 2 2" xfId="2180" xr:uid="{00000000-0005-0000-0000-0000A4050000}"/>
    <cellStyle name="Euro 27 4 3" xfId="2179" xr:uid="{00000000-0005-0000-0000-0000A5050000}"/>
    <cellStyle name="Euro 27 5" xfId="212" xr:uid="{00000000-0005-0000-0000-0000A6050000}"/>
    <cellStyle name="Euro 28" xfId="213" xr:uid="{00000000-0005-0000-0000-0000A7050000}"/>
    <cellStyle name="Euro 28 2" xfId="214" xr:uid="{00000000-0005-0000-0000-0000A8050000}"/>
    <cellStyle name="Euro 28 2 2" xfId="2181" xr:uid="{00000000-0005-0000-0000-0000A9050000}"/>
    <cellStyle name="Euro 28 3" xfId="215" xr:uid="{00000000-0005-0000-0000-0000AA050000}"/>
    <cellStyle name="Euro 28 3 2" xfId="216" xr:uid="{00000000-0005-0000-0000-0000AB050000}"/>
    <cellStyle name="Euro 28 3 3" xfId="217" xr:uid="{00000000-0005-0000-0000-0000AC050000}"/>
    <cellStyle name="Euro 28 3 3 2" xfId="2183" xr:uid="{00000000-0005-0000-0000-0000AD050000}"/>
    <cellStyle name="Euro 28 3 4" xfId="2182" xr:uid="{00000000-0005-0000-0000-0000AE050000}"/>
    <cellStyle name="Euro 28 4" xfId="218" xr:uid="{00000000-0005-0000-0000-0000AF050000}"/>
    <cellStyle name="Euro 28 4 2" xfId="219" xr:uid="{00000000-0005-0000-0000-0000B0050000}"/>
    <cellStyle name="Euro 28 4 2 2" xfId="2185" xr:uid="{00000000-0005-0000-0000-0000B1050000}"/>
    <cellStyle name="Euro 28 4 3" xfId="2184" xr:uid="{00000000-0005-0000-0000-0000B2050000}"/>
    <cellStyle name="Euro 28 5" xfId="220" xr:uid="{00000000-0005-0000-0000-0000B3050000}"/>
    <cellStyle name="Euro 29" xfId="221" xr:uid="{00000000-0005-0000-0000-0000B4050000}"/>
    <cellStyle name="Euro 29 2" xfId="222" xr:uid="{00000000-0005-0000-0000-0000B5050000}"/>
    <cellStyle name="Euro 29 2 2" xfId="2186" xr:uid="{00000000-0005-0000-0000-0000B6050000}"/>
    <cellStyle name="Euro 29 3" xfId="223" xr:uid="{00000000-0005-0000-0000-0000B7050000}"/>
    <cellStyle name="Euro 29 3 2" xfId="224" xr:uid="{00000000-0005-0000-0000-0000B8050000}"/>
    <cellStyle name="Euro 29 3 3" xfId="225" xr:uid="{00000000-0005-0000-0000-0000B9050000}"/>
    <cellStyle name="Euro 29 3 3 2" xfId="2188" xr:uid="{00000000-0005-0000-0000-0000BA050000}"/>
    <cellStyle name="Euro 29 3 4" xfId="2187" xr:uid="{00000000-0005-0000-0000-0000BB050000}"/>
    <cellStyle name="Euro 29 4" xfId="226" xr:uid="{00000000-0005-0000-0000-0000BC050000}"/>
    <cellStyle name="Euro 29 4 2" xfId="227" xr:uid="{00000000-0005-0000-0000-0000BD050000}"/>
    <cellStyle name="Euro 29 4 2 2" xfId="2190" xr:uid="{00000000-0005-0000-0000-0000BE050000}"/>
    <cellStyle name="Euro 29 4 3" xfId="2189" xr:uid="{00000000-0005-0000-0000-0000BF050000}"/>
    <cellStyle name="Euro 29 5" xfId="228" xr:uid="{00000000-0005-0000-0000-0000C0050000}"/>
    <cellStyle name="Euro 3" xfId="229" xr:uid="{00000000-0005-0000-0000-0000C1050000}"/>
    <cellStyle name="Euro 3 2" xfId="230" xr:uid="{00000000-0005-0000-0000-0000C2050000}"/>
    <cellStyle name="Euro 3 2 2" xfId="2191" xr:uid="{00000000-0005-0000-0000-0000C3050000}"/>
    <cellStyle name="Euro 3 3" xfId="231" xr:uid="{00000000-0005-0000-0000-0000C4050000}"/>
    <cellStyle name="Euro 3 3 2" xfId="232" xr:uid="{00000000-0005-0000-0000-0000C5050000}"/>
    <cellStyle name="Euro 3 3 3" xfId="233" xr:uid="{00000000-0005-0000-0000-0000C6050000}"/>
    <cellStyle name="Euro 3 3 3 2" xfId="2193" xr:uid="{00000000-0005-0000-0000-0000C7050000}"/>
    <cellStyle name="Euro 3 3 4" xfId="2192" xr:uid="{00000000-0005-0000-0000-0000C8050000}"/>
    <cellStyle name="Euro 3 4" xfId="234" xr:uid="{00000000-0005-0000-0000-0000C9050000}"/>
    <cellStyle name="Euro 3 4 2" xfId="235" xr:uid="{00000000-0005-0000-0000-0000CA050000}"/>
    <cellStyle name="Euro 3 4 2 2" xfId="2195" xr:uid="{00000000-0005-0000-0000-0000CB050000}"/>
    <cellStyle name="Euro 3 4 3" xfId="2194" xr:uid="{00000000-0005-0000-0000-0000CC050000}"/>
    <cellStyle name="Euro 3 5" xfId="236" xr:uid="{00000000-0005-0000-0000-0000CD050000}"/>
    <cellStyle name="Euro 30" xfId="237" xr:uid="{00000000-0005-0000-0000-0000CE050000}"/>
    <cellStyle name="Euro 30 2" xfId="238" xr:uid="{00000000-0005-0000-0000-0000CF050000}"/>
    <cellStyle name="Euro 30 2 2" xfId="2196" xr:uid="{00000000-0005-0000-0000-0000D0050000}"/>
    <cellStyle name="Euro 30 3" xfId="239" xr:uid="{00000000-0005-0000-0000-0000D1050000}"/>
    <cellStyle name="Euro 30 3 2" xfId="240" xr:uid="{00000000-0005-0000-0000-0000D2050000}"/>
    <cellStyle name="Euro 30 3 3" xfId="241" xr:uid="{00000000-0005-0000-0000-0000D3050000}"/>
    <cellStyle name="Euro 30 3 3 2" xfId="2198" xr:uid="{00000000-0005-0000-0000-0000D4050000}"/>
    <cellStyle name="Euro 30 3 4" xfId="2197" xr:uid="{00000000-0005-0000-0000-0000D5050000}"/>
    <cellStyle name="Euro 30 4" xfId="242" xr:uid="{00000000-0005-0000-0000-0000D6050000}"/>
    <cellStyle name="Euro 30 4 2" xfId="243" xr:uid="{00000000-0005-0000-0000-0000D7050000}"/>
    <cellStyle name="Euro 30 4 2 2" xfId="2200" xr:uid="{00000000-0005-0000-0000-0000D8050000}"/>
    <cellStyle name="Euro 30 4 3" xfId="2199" xr:uid="{00000000-0005-0000-0000-0000D9050000}"/>
    <cellStyle name="Euro 30 5" xfId="244" xr:uid="{00000000-0005-0000-0000-0000DA050000}"/>
    <cellStyle name="Euro 31" xfId="245" xr:uid="{00000000-0005-0000-0000-0000DB050000}"/>
    <cellStyle name="Euro 31 2" xfId="246" xr:uid="{00000000-0005-0000-0000-0000DC050000}"/>
    <cellStyle name="Euro 31 2 2" xfId="2201" xr:uid="{00000000-0005-0000-0000-0000DD050000}"/>
    <cellStyle name="Euro 31 3" xfId="247" xr:uid="{00000000-0005-0000-0000-0000DE050000}"/>
    <cellStyle name="Euro 31 3 2" xfId="248" xr:uid="{00000000-0005-0000-0000-0000DF050000}"/>
    <cellStyle name="Euro 31 3 3" xfId="249" xr:uid="{00000000-0005-0000-0000-0000E0050000}"/>
    <cellStyle name="Euro 31 3 3 2" xfId="2203" xr:uid="{00000000-0005-0000-0000-0000E1050000}"/>
    <cellStyle name="Euro 31 3 4" xfId="2202" xr:uid="{00000000-0005-0000-0000-0000E2050000}"/>
    <cellStyle name="Euro 31 4" xfId="250" xr:uid="{00000000-0005-0000-0000-0000E3050000}"/>
    <cellStyle name="Euro 31 4 2" xfId="251" xr:uid="{00000000-0005-0000-0000-0000E4050000}"/>
    <cellStyle name="Euro 31 4 2 2" xfId="2205" xr:uid="{00000000-0005-0000-0000-0000E5050000}"/>
    <cellStyle name="Euro 31 4 3" xfId="2204" xr:uid="{00000000-0005-0000-0000-0000E6050000}"/>
    <cellStyle name="Euro 31 5" xfId="252" xr:uid="{00000000-0005-0000-0000-0000E7050000}"/>
    <cellStyle name="Euro 32" xfId="253" xr:uid="{00000000-0005-0000-0000-0000E8050000}"/>
    <cellStyle name="Euro 32 2" xfId="254" xr:uid="{00000000-0005-0000-0000-0000E9050000}"/>
    <cellStyle name="Euro 32 2 2" xfId="2206" xr:uid="{00000000-0005-0000-0000-0000EA050000}"/>
    <cellStyle name="Euro 32 3" xfId="255" xr:uid="{00000000-0005-0000-0000-0000EB050000}"/>
    <cellStyle name="Euro 32 3 2" xfId="256" xr:uid="{00000000-0005-0000-0000-0000EC050000}"/>
    <cellStyle name="Euro 32 3 3" xfId="257" xr:uid="{00000000-0005-0000-0000-0000ED050000}"/>
    <cellStyle name="Euro 32 3 3 2" xfId="2208" xr:uid="{00000000-0005-0000-0000-0000EE050000}"/>
    <cellStyle name="Euro 32 3 4" xfId="2207" xr:uid="{00000000-0005-0000-0000-0000EF050000}"/>
    <cellStyle name="Euro 32 4" xfId="258" xr:uid="{00000000-0005-0000-0000-0000F0050000}"/>
    <cellStyle name="Euro 32 4 2" xfId="259" xr:uid="{00000000-0005-0000-0000-0000F1050000}"/>
    <cellStyle name="Euro 32 4 2 2" xfId="2210" xr:uid="{00000000-0005-0000-0000-0000F2050000}"/>
    <cellStyle name="Euro 32 4 3" xfId="2209" xr:uid="{00000000-0005-0000-0000-0000F3050000}"/>
    <cellStyle name="Euro 32 5" xfId="260" xr:uid="{00000000-0005-0000-0000-0000F4050000}"/>
    <cellStyle name="Euro 33" xfId="261" xr:uid="{00000000-0005-0000-0000-0000F5050000}"/>
    <cellStyle name="Euro 33 2" xfId="262" xr:uid="{00000000-0005-0000-0000-0000F6050000}"/>
    <cellStyle name="Euro 33 2 2" xfId="2211" xr:uid="{00000000-0005-0000-0000-0000F7050000}"/>
    <cellStyle name="Euro 33 3" xfId="263" xr:uid="{00000000-0005-0000-0000-0000F8050000}"/>
    <cellStyle name="Euro 33 3 2" xfId="264" xr:uid="{00000000-0005-0000-0000-0000F9050000}"/>
    <cellStyle name="Euro 33 3 3" xfId="265" xr:uid="{00000000-0005-0000-0000-0000FA050000}"/>
    <cellStyle name="Euro 33 3 3 2" xfId="2213" xr:uid="{00000000-0005-0000-0000-0000FB050000}"/>
    <cellStyle name="Euro 33 3 4" xfId="2212" xr:uid="{00000000-0005-0000-0000-0000FC050000}"/>
    <cellStyle name="Euro 33 4" xfId="266" xr:uid="{00000000-0005-0000-0000-0000FD050000}"/>
    <cellStyle name="Euro 33 4 2" xfId="267" xr:uid="{00000000-0005-0000-0000-0000FE050000}"/>
    <cellStyle name="Euro 33 4 2 2" xfId="2215" xr:uid="{00000000-0005-0000-0000-0000FF050000}"/>
    <cellStyle name="Euro 33 4 3" xfId="2214" xr:uid="{00000000-0005-0000-0000-000000060000}"/>
    <cellStyle name="Euro 33 5" xfId="268" xr:uid="{00000000-0005-0000-0000-000001060000}"/>
    <cellStyle name="Euro 34" xfId="269" xr:uid="{00000000-0005-0000-0000-000002060000}"/>
    <cellStyle name="Euro 34 2" xfId="270" xr:uid="{00000000-0005-0000-0000-000003060000}"/>
    <cellStyle name="Euro 34 2 2" xfId="2216" xr:uid="{00000000-0005-0000-0000-000004060000}"/>
    <cellStyle name="Euro 34 3" xfId="271" xr:uid="{00000000-0005-0000-0000-000005060000}"/>
    <cellStyle name="Euro 34 3 2" xfId="272" xr:uid="{00000000-0005-0000-0000-000006060000}"/>
    <cellStyle name="Euro 34 3 3" xfId="273" xr:uid="{00000000-0005-0000-0000-000007060000}"/>
    <cellStyle name="Euro 34 3 3 2" xfId="2218" xr:uid="{00000000-0005-0000-0000-000008060000}"/>
    <cellStyle name="Euro 34 3 4" xfId="2217" xr:uid="{00000000-0005-0000-0000-000009060000}"/>
    <cellStyle name="Euro 34 4" xfId="274" xr:uid="{00000000-0005-0000-0000-00000A060000}"/>
    <cellStyle name="Euro 34 4 2" xfId="275" xr:uid="{00000000-0005-0000-0000-00000B060000}"/>
    <cellStyle name="Euro 34 4 2 2" xfId="2220" xr:uid="{00000000-0005-0000-0000-00000C060000}"/>
    <cellStyle name="Euro 34 4 3" xfId="2219" xr:uid="{00000000-0005-0000-0000-00000D060000}"/>
    <cellStyle name="Euro 34 5" xfId="276" xr:uid="{00000000-0005-0000-0000-00000E060000}"/>
    <cellStyle name="Euro 35" xfId="277" xr:uid="{00000000-0005-0000-0000-00000F060000}"/>
    <cellStyle name="Euro 35 2" xfId="278" xr:uid="{00000000-0005-0000-0000-000010060000}"/>
    <cellStyle name="Euro 35 2 2" xfId="2221" xr:uid="{00000000-0005-0000-0000-000011060000}"/>
    <cellStyle name="Euro 35 3" xfId="279" xr:uid="{00000000-0005-0000-0000-000012060000}"/>
    <cellStyle name="Euro 35 3 2" xfId="280" xr:uid="{00000000-0005-0000-0000-000013060000}"/>
    <cellStyle name="Euro 35 3 3" xfId="281" xr:uid="{00000000-0005-0000-0000-000014060000}"/>
    <cellStyle name="Euro 35 3 3 2" xfId="2223" xr:uid="{00000000-0005-0000-0000-000015060000}"/>
    <cellStyle name="Euro 35 3 4" xfId="2222" xr:uid="{00000000-0005-0000-0000-000016060000}"/>
    <cellStyle name="Euro 35 4" xfId="282" xr:uid="{00000000-0005-0000-0000-000017060000}"/>
    <cellStyle name="Euro 35 4 2" xfId="283" xr:uid="{00000000-0005-0000-0000-000018060000}"/>
    <cellStyle name="Euro 35 4 2 2" xfId="2225" xr:uid="{00000000-0005-0000-0000-000019060000}"/>
    <cellStyle name="Euro 35 4 3" xfId="2224" xr:uid="{00000000-0005-0000-0000-00001A060000}"/>
    <cellStyle name="Euro 35 5" xfId="284" xr:uid="{00000000-0005-0000-0000-00001B060000}"/>
    <cellStyle name="Euro 36" xfId="285" xr:uid="{00000000-0005-0000-0000-00001C060000}"/>
    <cellStyle name="Euro 36 2" xfId="286" xr:uid="{00000000-0005-0000-0000-00001D060000}"/>
    <cellStyle name="Euro 36 2 2" xfId="2226" xr:uid="{00000000-0005-0000-0000-00001E060000}"/>
    <cellStyle name="Euro 36 3" xfId="287" xr:uid="{00000000-0005-0000-0000-00001F060000}"/>
    <cellStyle name="Euro 36 3 2" xfId="288" xr:uid="{00000000-0005-0000-0000-000020060000}"/>
    <cellStyle name="Euro 36 3 3" xfId="289" xr:uid="{00000000-0005-0000-0000-000021060000}"/>
    <cellStyle name="Euro 36 3 3 2" xfId="2228" xr:uid="{00000000-0005-0000-0000-000022060000}"/>
    <cellStyle name="Euro 36 3 4" xfId="2227" xr:uid="{00000000-0005-0000-0000-000023060000}"/>
    <cellStyle name="Euro 36 4" xfId="290" xr:uid="{00000000-0005-0000-0000-000024060000}"/>
    <cellStyle name="Euro 36 4 2" xfId="291" xr:uid="{00000000-0005-0000-0000-000025060000}"/>
    <cellStyle name="Euro 36 4 2 2" xfId="2230" xr:uid="{00000000-0005-0000-0000-000026060000}"/>
    <cellStyle name="Euro 36 4 3" xfId="2229" xr:uid="{00000000-0005-0000-0000-000027060000}"/>
    <cellStyle name="Euro 36 5" xfId="292" xr:uid="{00000000-0005-0000-0000-000028060000}"/>
    <cellStyle name="Euro 37" xfId="293" xr:uid="{00000000-0005-0000-0000-000029060000}"/>
    <cellStyle name="Euro 37 2" xfId="294" xr:uid="{00000000-0005-0000-0000-00002A060000}"/>
    <cellStyle name="Euro 37 2 2" xfId="2231" xr:uid="{00000000-0005-0000-0000-00002B060000}"/>
    <cellStyle name="Euro 37 3" xfId="295" xr:uid="{00000000-0005-0000-0000-00002C060000}"/>
    <cellStyle name="Euro 37 3 2" xfId="296" xr:uid="{00000000-0005-0000-0000-00002D060000}"/>
    <cellStyle name="Euro 37 3 3" xfId="297" xr:uid="{00000000-0005-0000-0000-00002E060000}"/>
    <cellStyle name="Euro 37 3 3 2" xfId="2233" xr:uid="{00000000-0005-0000-0000-00002F060000}"/>
    <cellStyle name="Euro 37 3 4" xfId="2232" xr:uid="{00000000-0005-0000-0000-000030060000}"/>
    <cellStyle name="Euro 37 4" xfId="298" xr:uid="{00000000-0005-0000-0000-000031060000}"/>
    <cellStyle name="Euro 37 4 2" xfId="299" xr:uid="{00000000-0005-0000-0000-000032060000}"/>
    <cellStyle name="Euro 37 4 2 2" xfId="2235" xr:uid="{00000000-0005-0000-0000-000033060000}"/>
    <cellStyle name="Euro 37 4 3" xfId="2234" xr:uid="{00000000-0005-0000-0000-000034060000}"/>
    <cellStyle name="Euro 37 5" xfId="300" xr:uid="{00000000-0005-0000-0000-000035060000}"/>
    <cellStyle name="Euro 38" xfId="301" xr:uid="{00000000-0005-0000-0000-000036060000}"/>
    <cellStyle name="Euro 38 2" xfId="302" xr:uid="{00000000-0005-0000-0000-000037060000}"/>
    <cellStyle name="Euro 38 2 2" xfId="2236" xr:uid="{00000000-0005-0000-0000-000038060000}"/>
    <cellStyle name="Euro 38 3" xfId="303" xr:uid="{00000000-0005-0000-0000-000039060000}"/>
    <cellStyle name="Euro 38 3 2" xfId="304" xr:uid="{00000000-0005-0000-0000-00003A060000}"/>
    <cellStyle name="Euro 38 3 3" xfId="305" xr:uid="{00000000-0005-0000-0000-00003B060000}"/>
    <cellStyle name="Euro 38 3 3 2" xfId="2238" xr:uid="{00000000-0005-0000-0000-00003C060000}"/>
    <cellStyle name="Euro 38 3 4" xfId="2237" xr:uid="{00000000-0005-0000-0000-00003D060000}"/>
    <cellStyle name="Euro 38 4" xfId="306" xr:uid="{00000000-0005-0000-0000-00003E060000}"/>
    <cellStyle name="Euro 38 4 2" xfId="307" xr:uid="{00000000-0005-0000-0000-00003F060000}"/>
    <cellStyle name="Euro 38 4 2 2" xfId="2240" xr:uid="{00000000-0005-0000-0000-000040060000}"/>
    <cellStyle name="Euro 38 4 3" xfId="2239" xr:uid="{00000000-0005-0000-0000-000041060000}"/>
    <cellStyle name="Euro 38 5" xfId="308" xr:uid="{00000000-0005-0000-0000-000042060000}"/>
    <cellStyle name="Euro 39" xfId="309" xr:uid="{00000000-0005-0000-0000-000043060000}"/>
    <cellStyle name="Euro 39 2" xfId="310" xr:uid="{00000000-0005-0000-0000-000044060000}"/>
    <cellStyle name="Euro 39 2 2" xfId="2241" xr:uid="{00000000-0005-0000-0000-000045060000}"/>
    <cellStyle name="Euro 39 3" xfId="311" xr:uid="{00000000-0005-0000-0000-000046060000}"/>
    <cellStyle name="Euro 39 3 2" xfId="312" xr:uid="{00000000-0005-0000-0000-000047060000}"/>
    <cellStyle name="Euro 39 3 3" xfId="313" xr:uid="{00000000-0005-0000-0000-000048060000}"/>
    <cellStyle name="Euro 39 3 3 2" xfId="2243" xr:uid="{00000000-0005-0000-0000-000049060000}"/>
    <cellStyle name="Euro 39 3 4" xfId="2242" xr:uid="{00000000-0005-0000-0000-00004A060000}"/>
    <cellStyle name="Euro 39 4" xfId="314" xr:uid="{00000000-0005-0000-0000-00004B060000}"/>
    <cellStyle name="Euro 39 4 2" xfId="315" xr:uid="{00000000-0005-0000-0000-00004C060000}"/>
    <cellStyle name="Euro 39 4 2 2" xfId="2245" xr:uid="{00000000-0005-0000-0000-00004D060000}"/>
    <cellStyle name="Euro 39 4 3" xfId="2244" xr:uid="{00000000-0005-0000-0000-00004E060000}"/>
    <cellStyle name="Euro 39 5" xfId="316" xr:uid="{00000000-0005-0000-0000-00004F060000}"/>
    <cellStyle name="Euro 4" xfId="317" xr:uid="{00000000-0005-0000-0000-000050060000}"/>
    <cellStyle name="Euro 4 2" xfId="318" xr:uid="{00000000-0005-0000-0000-000051060000}"/>
    <cellStyle name="Euro 4 2 2" xfId="2246" xr:uid="{00000000-0005-0000-0000-000052060000}"/>
    <cellStyle name="Euro 4 3" xfId="319" xr:uid="{00000000-0005-0000-0000-000053060000}"/>
    <cellStyle name="Euro 4 3 2" xfId="320" xr:uid="{00000000-0005-0000-0000-000054060000}"/>
    <cellStyle name="Euro 4 3 3" xfId="321" xr:uid="{00000000-0005-0000-0000-000055060000}"/>
    <cellStyle name="Euro 4 3 3 2" xfId="2248" xr:uid="{00000000-0005-0000-0000-000056060000}"/>
    <cellStyle name="Euro 4 3 4" xfId="2247" xr:uid="{00000000-0005-0000-0000-000057060000}"/>
    <cellStyle name="Euro 4 4" xfId="322" xr:uid="{00000000-0005-0000-0000-000058060000}"/>
    <cellStyle name="Euro 4 4 2" xfId="323" xr:uid="{00000000-0005-0000-0000-000059060000}"/>
    <cellStyle name="Euro 4 4 2 2" xfId="2250" xr:uid="{00000000-0005-0000-0000-00005A060000}"/>
    <cellStyle name="Euro 4 4 3" xfId="2249" xr:uid="{00000000-0005-0000-0000-00005B060000}"/>
    <cellStyle name="Euro 4 5" xfId="324" xr:uid="{00000000-0005-0000-0000-00005C060000}"/>
    <cellStyle name="Euro 40" xfId="325" xr:uid="{00000000-0005-0000-0000-00005D060000}"/>
    <cellStyle name="Euro 40 2" xfId="326" xr:uid="{00000000-0005-0000-0000-00005E060000}"/>
    <cellStyle name="Euro 40 2 2" xfId="2251" xr:uid="{00000000-0005-0000-0000-00005F060000}"/>
    <cellStyle name="Euro 40 3" xfId="327" xr:uid="{00000000-0005-0000-0000-000060060000}"/>
    <cellStyle name="Euro 40 3 2" xfId="328" xr:uid="{00000000-0005-0000-0000-000061060000}"/>
    <cellStyle name="Euro 40 3 3" xfId="329" xr:uid="{00000000-0005-0000-0000-000062060000}"/>
    <cellStyle name="Euro 40 3 3 2" xfId="2253" xr:uid="{00000000-0005-0000-0000-000063060000}"/>
    <cellStyle name="Euro 40 3 4" xfId="2252" xr:uid="{00000000-0005-0000-0000-000064060000}"/>
    <cellStyle name="Euro 40 4" xfId="330" xr:uid="{00000000-0005-0000-0000-000065060000}"/>
    <cellStyle name="Euro 40 4 2" xfId="331" xr:uid="{00000000-0005-0000-0000-000066060000}"/>
    <cellStyle name="Euro 40 4 2 2" xfId="2255" xr:uid="{00000000-0005-0000-0000-000067060000}"/>
    <cellStyle name="Euro 40 4 3" xfId="2254" xr:uid="{00000000-0005-0000-0000-000068060000}"/>
    <cellStyle name="Euro 40 5" xfId="332" xr:uid="{00000000-0005-0000-0000-000069060000}"/>
    <cellStyle name="Euro 41" xfId="333" xr:uid="{00000000-0005-0000-0000-00006A060000}"/>
    <cellStyle name="Euro 41 2" xfId="334" xr:uid="{00000000-0005-0000-0000-00006B060000}"/>
    <cellStyle name="Euro 41 2 2" xfId="2256" xr:uid="{00000000-0005-0000-0000-00006C060000}"/>
    <cellStyle name="Euro 41 3" xfId="335" xr:uid="{00000000-0005-0000-0000-00006D060000}"/>
    <cellStyle name="Euro 41 3 2" xfId="336" xr:uid="{00000000-0005-0000-0000-00006E060000}"/>
    <cellStyle name="Euro 41 3 3" xfId="337" xr:uid="{00000000-0005-0000-0000-00006F060000}"/>
    <cellStyle name="Euro 41 3 3 2" xfId="2258" xr:uid="{00000000-0005-0000-0000-000070060000}"/>
    <cellStyle name="Euro 41 3 4" xfId="2257" xr:uid="{00000000-0005-0000-0000-000071060000}"/>
    <cellStyle name="Euro 41 4" xfId="338" xr:uid="{00000000-0005-0000-0000-000072060000}"/>
    <cellStyle name="Euro 41 4 2" xfId="339" xr:uid="{00000000-0005-0000-0000-000073060000}"/>
    <cellStyle name="Euro 41 4 2 2" xfId="2260" xr:uid="{00000000-0005-0000-0000-000074060000}"/>
    <cellStyle name="Euro 41 4 3" xfId="2259" xr:uid="{00000000-0005-0000-0000-000075060000}"/>
    <cellStyle name="Euro 41 5" xfId="340" xr:uid="{00000000-0005-0000-0000-000076060000}"/>
    <cellStyle name="Euro 42" xfId="341" xr:uid="{00000000-0005-0000-0000-000077060000}"/>
    <cellStyle name="Euro 42 2" xfId="342" xr:uid="{00000000-0005-0000-0000-000078060000}"/>
    <cellStyle name="Euro 42 2 2" xfId="2261" xr:uid="{00000000-0005-0000-0000-000079060000}"/>
    <cellStyle name="Euro 42 3" xfId="343" xr:uid="{00000000-0005-0000-0000-00007A060000}"/>
    <cellStyle name="Euro 42 3 2" xfId="344" xr:uid="{00000000-0005-0000-0000-00007B060000}"/>
    <cellStyle name="Euro 42 3 3" xfId="345" xr:uid="{00000000-0005-0000-0000-00007C060000}"/>
    <cellStyle name="Euro 42 3 3 2" xfId="2263" xr:uid="{00000000-0005-0000-0000-00007D060000}"/>
    <cellStyle name="Euro 42 3 4" xfId="2262" xr:uid="{00000000-0005-0000-0000-00007E060000}"/>
    <cellStyle name="Euro 42 4" xfId="346" xr:uid="{00000000-0005-0000-0000-00007F060000}"/>
    <cellStyle name="Euro 42 4 2" xfId="347" xr:uid="{00000000-0005-0000-0000-000080060000}"/>
    <cellStyle name="Euro 42 4 2 2" xfId="2265" xr:uid="{00000000-0005-0000-0000-000081060000}"/>
    <cellStyle name="Euro 42 4 3" xfId="2264" xr:uid="{00000000-0005-0000-0000-000082060000}"/>
    <cellStyle name="Euro 42 5" xfId="348" xr:uid="{00000000-0005-0000-0000-000083060000}"/>
    <cellStyle name="Euro 43" xfId="349" xr:uid="{00000000-0005-0000-0000-000084060000}"/>
    <cellStyle name="Euro 43 2" xfId="350" xr:uid="{00000000-0005-0000-0000-000085060000}"/>
    <cellStyle name="Euro 43 2 2" xfId="2266" xr:uid="{00000000-0005-0000-0000-000086060000}"/>
    <cellStyle name="Euro 43 3" xfId="351" xr:uid="{00000000-0005-0000-0000-000087060000}"/>
    <cellStyle name="Euro 43 3 2" xfId="352" xr:uid="{00000000-0005-0000-0000-000088060000}"/>
    <cellStyle name="Euro 43 3 3" xfId="353" xr:uid="{00000000-0005-0000-0000-000089060000}"/>
    <cellStyle name="Euro 43 3 3 2" xfId="2268" xr:uid="{00000000-0005-0000-0000-00008A060000}"/>
    <cellStyle name="Euro 43 3 4" xfId="2267" xr:uid="{00000000-0005-0000-0000-00008B060000}"/>
    <cellStyle name="Euro 43 4" xfId="354" xr:uid="{00000000-0005-0000-0000-00008C060000}"/>
    <cellStyle name="Euro 43 4 2" xfId="355" xr:uid="{00000000-0005-0000-0000-00008D060000}"/>
    <cellStyle name="Euro 43 4 2 2" xfId="2270" xr:uid="{00000000-0005-0000-0000-00008E060000}"/>
    <cellStyle name="Euro 43 4 3" xfId="2269" xr:uid="{00000000-0005-0000-0000-00008F060000}"/>
    <cellStyle name="Euro 43 5" xfId="356" xr:uid="{00000000-0005-0000-0000-000090060000}"/>
    <cellStyle name="Euro 44" xfId="357" xr:uid="{00000000-0005-0000-0000-000091060000}"/>
    <cellStyle name="Euro 44 2" xfId="358" xr:uid="{00000000-0005-0000-0000-000092060000}"/>
    <cellStyle name="Euro 44 2 2" xfId="2271" xr:uid="{00000000-0005-0000-0000-000093060000}"/>
    <cellStyle name="Euro 44 3" xfId="359" xr:uid="{00000000-0005-0000-0000-000094060000}"/>
    <cellStyle name="Euro 44 3 2" xfId="360" xr:uid="{00000000-0005-0000-0000-000095060000}"/>
    <cellStyle name="Euro 44 3 3" xfId="361" xr:uid="{00000000-0005-0000-0000-000096060000}"/>
    <cellStyle name="Euro 44 3 3 2" xfId="2273" xr:uid="{00000000-0005-0000-0000-000097060000}"/>
    <cellStyle name="Euro 44 3 4" xfId="2272" xr:uid="{00000000-0005-0000-0000-000098060000}"/>
    <cellStyle name="Euro 44 4" xfId="362" xr:uid="{00000000-0005-0000-0000-000099060000}"/>
    <cellStyle name="Euro 44 4 2" xfId="363" xr:uid="{00000000-0005-0000-0000-00009A060000}"/>
    <cellStyle name="Euro 44 4 2 2" xfId="2275" xr:uid="{00000000-0005-0000-0000-00009B060000}"/>
    <cellStyle name="Euro 44 4 3" xfId="2274" xr:uid="{00000000-0005-0000-0000-00009C060000}"/>
    <cellStyle name="Euro 44 5" xfId="364" xr:uid="{00000000-0005-0000-0000-00009D060000}"/>
    <cellStyle name="Euro 45" xfId="365" xr:uid="{00000000-0005-0000-0000-00009E060000}"/>
    <cellStyle name="Euro 45 2" xfId="366" xr:uid="{00000000-0005-0000-0000-00009F060000}"/>
    <cellStyle name="Euro 45 2 2" xfId="2277" xr:uid="{00000000-0005-0000-0000-0000A0060000}"/>
    <cellStyle name="Euro 45 3" xfId="2276" xr:uid="{00000000-0005-0000-0000-0000A1060000}"/>
    <cellStyle name="Euro 45 4" xfId="4933" xr:uid="{00000000-0005-0000-0000-0000A2060000}"/>
    <cellStyle name="Euro 46" xfId="367" xr:uid="{00000000-0005-0000-0000-0000A3060000}"/>
    <cellStyle name="Euro 46 2" xfId="2278" xr:uid="{00000000-0005-0000-0000-0000A4060000}"/>
    <cellStyle name="Euro 47" xfId="368" xr:uid="{00000000-0005-0000-0000-0000A5060000}"/>
    <cellStyle name="Euro 47 2" xfId="369" xr:uid="{00000000-0005-0000-0000-0000A6060000}"/>
    <cellStyle name="Euro 47 3" xfId="370" xr:uid="{00000000-0005-0000-0000-0000A7060000}"/>
    <cellStyle name="Euro 47 3 2" xfId="2280" xr:uid="{00000000-0005-0000-0000-0000A8060000}"/>
    <cellStyle name="Euro 47 4" xfId="2279" xr:uid="{00000000-0005-0000-0000-0000A9060000}"/>
    <cellStyle name="Euro 48" xfId="371" xr:uid="{00000000-0005-0000-0000-0000AA060000}"/>
    <cellStyle name="Euro 48 2" xfId="2281" xr:uid="{00000000-0005-0000-0000-0000AB060000}"/>
    <cellStyle name="Euro 49" xfId="372" xr:uid="{00000000-0005-0000-0000-0000AC060000}"/>
    <cellStyle name="Euro 49 2" xfId="373" xr:uid="{00000000-0005-0000-0000-0000AD060000}"/>
    <cellStyle name="Euro 49 2 2" xfId="2283" xr:uid="{00000000-0005-0000-0000-0000AE060000}"/>
    <cellStyle name="Euro 49 3" xfId="2282" xr:uid="{00000000-0005-0000-0000-0000AF060000}"/>
    <cellStyle name="Euro 5" xfId="374" xr:uid="{00000000-0005-0000-0000-0000B0060000}"/>
    <cellStyle name="Euro 5 2" xfId="375" xr:uid="{00000000-0005-0000-0000-0000B1060000}"/>
    <cellStyle name="Euro 5 2 2" xfId="2284" xr:uid="{00000000-0005-0000-0000-0000B2060000}"/>
    <cellStyle name="Euro 5 3" xfId="376" xr:uid="{00000000-0005-0000-0000-0000B3060000}"/>
    <cellStyle name="Euro 5 3 2" xfId="377" xr:uid="{00000000-0005-0000-0000-0000B4060000}"/>
    <cellStyle name="Euro 5 3 3" xfId="378" xr:uid="{00000000-0005-0000-0000-0000B5060000}"/>
    <cellStyle name="Euro 5 3 3 2" xfId="2286" xr:uid="{00000000-0005-0000-0000-0000B6060000}"/>
    <cellStyle name="Euro 5 3 4" xfId="2285" xr:uid="{00000000-0005-0000-0000-0000B7060000}"/>
    <cellStyle name="Euro 5 4" xfId="379" xr:uid="{00000000-0005-0000-0000-0000B8060000}"/>
    <cellStyle name="Euro 5 4 2" xfId="380" xr:uid="{00000000-0005-0000-0000-0000B9060000}"/>
    <cellStyle name="Euro 5 4 2 2" xfId="2288" xr:uid="{00000000-0005-0000-0000-0000BA060000}"/>
    <cellStyle name="Euro 5 4 3" xfId="2287" xr:uid="{00000000-0005-0000-0000-0000BB060000}"/>
    <cellStyle name="Euro 5 5" xfId="381" xr:uid="{00000000-0005-0000-0000-0000BC060000}"/>
    <cellStyle name="Euro 50" xfId="382" xr:uid="{00000000-0005-0000-0000-0000BD060000}"/>
    <cellStyle name="Euro 51" xfId="383" xr:uid="{00000000-0005-0000-0000-0000BE060000}"/>
    <cellStyle name="Euro 51 2" xfId="2289" xr:uid="{00000000-0005-0000-0000-0000BF060000}"/>
    <cellStyle name="Euro 6" xfId="384" xr:uid="{00000000-0005-0000-0000-0000C0060000}"/>
    <cellStyle name="Euro 6 2" xfId="385" xr:uid="{00000000-0005-0000-0000-0000C1060000}"/>
    <cellStyle name="Euro 6 2 2" xfId="2290" xr:uid="{00000000-0005-0000-0000-0000C2060000}"/>
    <cellStyle name="Euro 6 3" xfId="386" xr:uid="{00000000-0005-0000-0000-0000C3060000}"/>
    <cellStyle name="Euro 6 3 2" xfId="387" xr:uid="{00000000-0005-0000-0000-0000C4060000}"/>
    <cellStyle name="Euro 6 3 3" xfId="388" xr:uid="{00000000-0005-0000-0000-0000C5060000}"/>
    <cellStyle name="Euro 6 3 3 2" xfId="2292" xr:uid="{00000000-0005-0000-0000-0000C6060000}"/>
    <cellStyle name="Euro 6 3 4" xfId="2291" xr:uid="{00000000-0005-0000-0000-0000C7060000}"/>
    <cellStyle name="Euro 6 4" xfId="389" xr:uid="{00000000-0005-0000-0000-0000C8060000}"/>
    <cellStyle name="Euro 6 4 2" xfId="390" xr:uid="{00000000-0005-0000-0000-0000C9060000}"/>
    <cellStyle name="Euro 6 4 2 2" xfId="2294" xr:uid="{00000000-0005-0000-0000-0000CA060000}"/>
    <cellStyle name="Euro 6 4 3" xfId="2293" xr:uid="{00000000-0005-0000-0000-0000CB060000}"/>
    <cellStyle name="Euro 6 5" xfId="391" xr:uid="{00000000-0005-0000-0000-0000CC060000}"/>
    <cellStyle name="Euro 7" xfId="392" xr:uid="{00000000-0005-0000-0000-0000CD060000}"/>
    <cellStyle name="Euro 7 2" xfId="393" xr:uid="{00000000-0005-0000-0000-0000CE060000}"/>
    <cellStyle name="Euro 7 2 2" xfId="2295" xr:uid="{00000000-0005-0000-0000-0000CF060000}"/>
    <cellStyle name="Euro 7 3" xfId="394" xr:uid="{00000000-0005-0000-0000-0000D0060000}"/>
    <cellStyle name="Euro 7 3 2" xfId="395" xr:uid="{00000000-0005-0000-0000-0000D1060000}"/>
    <cellStyle name="Euro 7 3 3" xfId="396" xr:uid="{00000000-0005-0000-0000-0000D2060000}"/>
    <cellStyle name="Euro 7 3 3 2" xfId="2297" xr:uid="{00000000-0005-0000-0000-0000D3060000}"/>
    <cellStyle name="Euro 7 3 4" xfId="2296" xr:uid="{00000000-0005-0000-0000-0000D4060000}"/>
    <cellStyle name="Euro 7 4" xfId="397" xr:uid="{00000000-0005-0000-0000-0000D5060000}"/>
    <cellStyle name="Euro 7 4 2" xfId="398" xr:uid="{00000000-0005-0000-0000-0000D6060000}"/>
    <cellStyle name="Euro 7 4 2 2" xfId="2299" xr:uid="{00000000-0005-0000-0000-0000D7060000}"/>
    <cellStyle name="Euro 7 4 3" xfId="2298" xr:uid="{00000000-0005-0000-0000-0000D8060000}"/>
    <cellStyle name="Euro 7 5" xfId="399" xr:uid="{00000000-0005-0000-0000-0000D9060000}"/>
    <cellStyle name="Euro 8" xfId="400" xr:uid="{00000000-0005-0000-0000-0000DA060000}"/>
    <cellStyle name="Euro 8 2" xfId="401" xr:uid="{00000000-0005-0000-0000-0000DB060000}"/>
    <cellStyle name="Euro 8 2 2" xfId="2300" xr:uid="{00000000-0005-0000-0000-0000DC060000}"/>
    <cellStyle name="Euro 8 3" xfId="402" xr:uid="{00000000-0005-0000-0000-0000DD060000}"/>
    <cellStyle name="Euro 8 3 2" xfId="403" xr:uid="{00000000-0005-0000-0000-0000DE060000}"/>
    <cellStyle name="Euro 8 3 3" xfId="404" xr:uid="{00000000-0005-0000-0000-0000DF060000}"/>
    <cellStyle name="Euro 8 3 3 2" xfId="2302" xr:uid="{00000000-0005-0000-0000-0000E0060000}"/>
    <cellStyle name="Euro 8 3 4" xfId="2301" xr:uid="{00000000-0005-0000-0000-0000E1060000}"/>
    <cellStyle name="Euro 8 4" xfId="405" xr:uid="{00000000-0005-0000-0000-0000E2060000}"/>
    <cellStyle name="Euro 8 4 2" xfId="406" xr:uid="{00000000-0005-0000-0000-0000E3060000}"/>
    <cellStyle name="Euro 8 4 2 2" xfId="2304" xr:uid="{00000000-0005-0000-0000-0000E4060000}"/>
    <cellStyle name="Euro 8 4 3" xfId="2303" xr:uid="{00000000-0005-0000-0000-0000E5060000}"/>
    <cellStyle name="Euro 8 5" xfId="407" xr:uid="{00000000-0005-0000-0000-0000E6060000}"/>
    <cellStyle name="Euro 9" xfId="408" xr:uid="{00000000-0005-0000-0000-0000E7060000}"/>
    <cellStyle name="Euro 9 2" xfId="409" xr:uid="{00000000-0005-0000-0000-0000E8060000}"/>
    <cellStyle name="Euro 9 2 2" xfId="2305" xr:uid="{00000000-0005-0000-0000-0000E9060000}"/>
    <cellStyle name="Euro 9 3" xfId="410" xr:uid="{00000000-0005-0000-0000-0000EA060000}"/>
    <cellStyle name="Euro 9 3 2" xfId="411" xr:uid="{00000000-0005-0000-0000-0000EB060000}"/>
    <cellStyle name="Euro 9 3 3" xfId="412" xr:uid="{00000000-0005-0000-0000-0000EC060000}"/>
    <cellStyle name="Euro 9 3 3 2" xfId="2307" xr:uid="{00000000-0005-0000-0000-0000ED060000}"/>
    <cellStyle name="Euro 9 3 4" xfId="2306" xr:uid="{00000000-0005-0000-0000-0000EE060000}"/>
    <cellStyle name="Euro 9 4" xfId="413" xr:uid="{00000000-0005-0000-0000-0000EF060000}"/>
    <cellStyle name="Euro 9 4 2" xfId="414" xr:uid="{00000000-0005-0000-0000-0000F0060000}"/>
    <cellStyle name="Euro 9 4 2 2" xfId="2309" xr:uid="{00000000-0005-0000-0000-0000F1060000}"/>
    <cellStyle name="Euro 9 4 3" xfId="2308" xr:uid="{00000000-0005-0000-0000-0000F2060000}"/>
    <cellStyle name="Euro 9 5" xfId="415" xr:uid="{00000000-0005-0000-0000-0000F3060000}"/>
    <cellStyle name="Explanatory Text 2" xfId="3437" xr:uid="{00000000-0005-0000-0000-0000F4060000}"/>
    <cellStyle name="Farve1" xfId="3338" builtinId="29" customBuiltin="1"/>
    <cellStyle name="Farve2" xfId="3342" builtinId="33" customBuiltin="1"/>
    <cellStyle name="Farve3" xfId="3346" builtinId="37" customBuiltin="1"/>
    <cellStyle name="Farve4" xfId="3350" builtinId="41" customBuiltin="1"/>
    <cellStyle name="Farve5" xfId="3354" builtinId="45" customBuiltin="1"/>
    <cellStyle name="Farve6" xfId="3358" builtinId="49" customBuiltin="1"/>
    <cellStyle name="Fixed2 - Type2" xfId="416" xr:uid="{00000000-0005-0000-0000-0000F5060000}"/>
    <cellStyle name="Forklarende tekst" xfId="3336" builtinId="53" customBuiltin="1"/>
    <cellStyle name="God" xfId="417" builtinId="26" customBuiltin="1"/>
    <cellStyle name="Good 2" xfId="3438" xr:uid="{00000000-0005-0000-0000-0000F8060000}"/>
    <cellStyle name="Heading 1 2" xfId="3439" xr:uid="{00000000-0005-0000-0000-0000F9060000}"/>
    <cellStyle name="Heading 2 2" xfId="3440" xr:uid="{00000000-0005-0000-0000-0000FA060000}"/>
    <cellStyle name="Heading 3 2" xfId="3441" xr:uid="{00000000-0005-0000-0000-0000FB060000}"/>
    <cellStyle name="Heading 3 2 2" xfId="8050" xr:uid="{00000000-0005-0000-0000-0000FC060000}"/>
    <cellStyle name="Heading 4 2" xfId="3442" xr:uid="{00000000-0005-0000-0000-0000FD060000}"/>
    <cellStyle name="Hyperlink 2" xfId="421" xr:uid="{00000000-0005-0000-0000-0000FE060000}"/>
    <cellStyle name="Hyperlink 2 2" xfId="3443" xr:uid="{00000000-0005-0000-0000-0000FF060000}"/>
    <cellStyle name="Hyperlink 3" xfId="3444" xr:uid="{00000000-0005-0000-0000-000000070000}"/>
    <cellStyle name="Input" xfId="422" builtinId="20" customBuiltin="1"/>
    <cellStyle name="Input 2" xfId="423" xr:uid="{00000000-0005-0000-0000-000002070000}"/>
    <cellStyle name="Input 2 2" xfId="3521" xr:uid="{00000000-0005-0000-0000-000003070000}"/>
    <cellStyle name="Input 2 2 2" xfId="8105" xr:uid="{00000000-0005-0000-0000-000004070000}"/>
    <cellStyle name="Input 2 2 3" xfId="9317" xr:uid="{00000000-0005-0000-0000-000005070000}"/>
    <cellStyle name="Input 2 2 4" xfId="9331" xr:uid="{00000000-0005-0000-0000-000006070000}"/>
    <cellStyle name="Input 2 2 5" xfId="9305" xr:uid="{00000000-0005-0000-0000-000007070000}"/>
    <cellStyle name="Input 2 2 6" xfId="10675" xr:uid="{00000000-0005-0000-0000-000008070000}"/>
    <cellStyle name="Input 2 3" xfId="7906" xr:uid="{00000000-0005-0000-0000-000009070000}"/>
    <cellStyle name="Input 2 4" xfId="7946" xr:uid="{00000000-0005-0000-0000-00000A070000}"/>
    <cellStyle name="Input 2 5" xfId="7909" xr:uid="{00000000-0005-0000-0000-00000B070000}"/>
    <cellStyle name="Input 2 6" xfId="7988" xr:uid="{00000000-0005-0000-0000-00000C070000}"/>
    <cellStyle name="Input 2 7" xfId="7914" xr:uid="{00000000-0005-0000-0000-00000D070000}"/>
    <cellStyle name="Input 3" xfId="424" xr:uid="{00000000-0005-0000-0000-00000E070000}"/>
    <cellStyle name="Input 4" xfId="7905" xr:uid="{00000000-0005-0000-0000-00000F070000}"/>
    <cellStyle name="Input 5" xfId="7947" xr:uid="{00000000-0005-0000-0000-000010070000}"/>
    <cellStyle name="Input 6" xfId="7961" xr:uid="{00000000-0005-0000-0000-000011070000}"/>
    <cellStyle name="Input 7" xfId="7945" xr:uid="{00000000-0005-0000-0000-000012070000}"/>
    <cellStyle name="Input 8" xfId="9335" xr:uid="{00000000-0005-0000-0000-000013070000}"/>
    <cellStyle name="InputCells" xfId="425" xr:uid="{00000000-0005-0000-0000-000014070000}"/>
    <cellStyle name="Komma 10" xfId="3501" xr:uid="{00000000-0005-0000-0000-000015070000}"/>
    <cellStyle name="Komma 10 2" xfId="4151" xr:uid="{00000000-0005-0000-0000-000016070000}"/>
    <cellStyle name="Komma 10 2 2" xfId="7319" xr:uid="{00000000-0005-0000-0000-000017070000}"/>
    <cellStyle name="Komma 10 2 2 2" xfId="10074" xr:uid="{00000000-0005-0000-0000-000018070000}"/>
    <cellStyle name="Komma 10 2 3" xfId="8712" xr:uid="{00000000-0005-0000-0000-000019070000}"/>
    <cellStyle name="Komma 10 3" xfId="6708" xr:uid="{00000000-0005-0000-0000-00001A070000}"/>
    <cellStyle name="Komma 10 3 2" xfId="9463" xr:uid="{00000000-0005-0000-0000-00001B070000}"/>
    <cellStyle name="Komma 10 4" xfId="8096" xr:uid="{00000000-0005-0000-0000-00001C070000}"/>
    <cellStyle name="Komma 11" xfId="3370" xr:uid="{00000000-0005-0000-0000-00001D070000}"/>
    <cellStyle name="Komma 2" xfId="426" xr:uid="{00000000-0005-0000-0000-00001E070000}"/>
    <cellStyle name="Komma 2 2" xfId="427" xr:uid="{00000000-0005-0000-0000-00001F070000}"/>
    <cellStyle name="Komma 2 2 2" xfId="3283" xr:uid="{00000000-0005-0000-0000-000020070000}"/>
    <cellStyle name="Komma 2 2 3" xfId="3504" xr:uid="{00000000-0005-0000-0000-000021070000}"/>
    <cellStyle name="Komma 2 3" xfId="3315" xr:uid="{00000000-0005-0000-0000-000022070000}"/>
    <cellStyle name="Komma 2 3 2" xfId="3629" xr:uid="{00000000-0005-0000-0000-000023070000}"/>
    <cellStyle name="Komma 2 3 3" xfId="4934" xr:uid="{00000000-0005-0000-0000-000024070000}"/>
    <cellStyle name="Komma 2 3 4" xfId="6624" xr:uid="{00000000-0005-0000-0000-000025070000}"/>
    <cellStyle name="Komma 2 3 4 2" xfId="9388" xr:uid="{00000000-0005-0000-0000-000026070000}"/>
    <cellStyle name="Komma 2 3 5" xfId="8017" xr:uid="{00000000-0005-0000-0000-000027070000}"/>
    <cellStyle name="Komma 2 4" xfId="3282" xr:uid="{00000000-0005-0000-0000-000028070000}"/>
    <cellStyle name="Komma 2 4 2" xfId="4154" xr:uid="{00000000-0005-0000-0000-000029070000}"/>
    <cellStyle name="Komma 2 4 2 2" xfId="7322" xr:uid="{00000000-0005-0000-0000-00002A070000}"/>
    <cellStyle name="Komma 2 4 2 2 2" xfId="10077" xr:uid="{00000000-0005-0000-0000-00002B070000}"/>
    <cellStyle name="Komma 2 4 2 3" xfId="8715" xr:uid="{00000000-0005-0000-0000-00002C070000}"/>
    <cellStyle name="Komma 2 4 3" xfId="3513" xr:uid="{00000000-0005-0000-0000-00002D070000}"/>
    <cellStyle name="Komma 2 4 3 2" xfId="6711" xr:uid="{00000000-0005-0000-0000-00002E070000}"/>
    <cellStyle name="Komma 2 4 3 2 2" xfId="9466" xr:uid="{00000000-0005-0000-0000-00002F070000}"/>
    <cellStyle name="Komma 2 4 3 3" xfId="8099" xr:uid="{00000000-0005-0000-0000-000030070000}"/>
    <cellStyle name="Komma 2 5" xfId="3388" xr:uid="{00000000-0005-0000-0000-000031070000}"/>
    <cellStyle name="Komma 2 6" xfId="4863" xr:uid="{00000000-0005-0000-0000-000032070000}"/>
    <cellStyle name="Komma 2 6 2" xfId="9296" xr:uid="{00000000-0005-0000-0000-000033070000}"/>
    <cellStyle name="Komma 3" xfId="428" xr:uid="{00000000-0005-0000-0000-000034070000}"/>
    <cellStyle name="Komma 3 10" xfId="3386" xr:uid="{00000000-0005-0000-0000-000035070000}"/>
    <cellStyle name="Komma 3 10 2" xfId="6654" xr:uid="{00000000-0005-0000-0000-000036070000}"/>
    <cellStyle name="Komma 3 10 2 2" xfId="9417" xr:uid="{00000000-0005-0000-0000-000037070000}"/>
    <cellStyle name="Komma 3 10 3" xfId="8046" xr:uid="{00000000-0005-0000-0000-000038070000}"/>
    <cellStyle name="Komma 3 11" xfId="4864" xr:uid="{00000000-0005-0000-0000-000039070000}"/>
    <cellStyle name="Komma 3 12" xfId="5682" xr:uid="{00000000-0005-0000-0000-00003A070000}"/>
    <cellStyle name="Komma 3 2" xfId="429" xr:uid="{00000000-0005-0000-0000-00003B070000}"/>
    <cellStyle name="Komma 3 2 2" xfId="3478" xr:uid="{00000000-0005-0000-0000-00003C070000}"/>
    <cellStyle name="Komma 3 2 2 2" xfId="3632" xr:uid="{00000000-0005-0000-0000-00003D070000}"/>
    <cellStyle name="Komma 3 2 2 2 2" xfId="4269" xr:uid="{00000000-0005-0000-0000-00003E070000}"/>
    <cellStyle name="Komma 3 2 2 2 2 2" xfId="7437" xr:uid="{00000000-0005-0000-0000-00003F070000}"/>
    <cellStyle name="Komma 3 2 2 2 2 2 2" xfId="10192" xr:uid="{00000000-0005-0000-0000-000040070000}"/>
    <cellStyle name="Komma 3 2 2 2 2 3" xfId="8830" xr:uid="{00000000-0005-0000-0000-000041070000}"/>
    <cellStyle name="Komma 3 2 2 2 3" xfId="6814" xr:uid="{00000000-0005-0000-0000-000042070000}"/>
    <cellStyle name="Komma 3 2 2 2 3 2" xfId="9569" xr:uid="{00000000-0005-0000-0000-000043070000}"/>
    <cellStyle name="Komma 3 2 2 2 4" xfId="8207" xr:uid="{00000000-0005-0000-0000-000044070000}"/>
    <cellStyle name="Komma 3 2 2 3" xfId="4129" xr:uid="{00000000-0005-0000-0000-000045070000}"/>
    <cellStyle name="Komma 3 2 2 3 2" xfId="7297" xr:uid="{00000000-0005-0000-0000-000046070000}"/>
    <cellStyle name="Komma 3 2 2 3 2 2" xfId="10052" xr:uid="{00000000-0005-0000-0000-000047070000}"/>
    <cellStyle name="Komma 3 2 2 3 3" xfId="8690" xr:uid="{00000000-0005-0000-0000-000048070000}"/>
    <cellStyle name="Komma 3 2 2 4" xfId="6686" xr:uid="{00000000-0005-0000-0000-000049070000}"/>
    <cellStyle name="Komma 3 2 2 4 2" xfId="9441" xr:uid="{00000000-0005-0000-0000-00004A070000}"/>
    <cellStyle name="Komma 3 2 2 5" xfId="8074" xr:uid="{00000000-0005-0000-0000-00004B070000}"/>
    <cellStyle name="Komma 3 2 3" xfId="3494" xr:uid="{00000000-0005-0000-0000-00004C070000}"/>
    <cellStyle name="Komma 3 2 3 2" xfId="3633" xr:uid="{00000000-0005-0000-0000-00004D070000}"/>
    <cellStyle name="Komma 3 2 3 2 2" xfId="4270" xr:uid="{00000000-0005-0000-0000-00004E070000}"/>
    <cellStyle name="Komma 3 2 3 2 2 2" xfId="7438" xr:uid="{00000000-0005-0000-0000-00004F070000}"/>
    <cellStyle name="Komma 3 2 3 2 2 2 2" xfId="10193" xr:uid="{00000000-0005-0000-0000-000050070000}"/>
    <cellStyle name="Komma 3 2 3 2 2 3" xfId="8831" xr:uid="{00000000-0005-0000-0000-000051070000}"/>
    <cellStyle name="Komma 3 2 3 2 3" xfId="6815" xr:uid="{00000000-0005-0000-0000-000052070000}"/>
    <cellStyle name="Komma 3 2 3 2 3 2" xfId="9570" xr:uid="{00000000-0005-0000-0000-000053070000}"/>
    <cellStyle name="Komma 3 2 3 2 4" xfId="8208" xr:uid="{00000000-0005-0000-0000-000054070000}"/>
    <cellStyle name="Komma 3 2 3 3" xfId="4145" xr:uid="{00000000-0005-0000-0000-000055070000}"/>
    <cellStyle name="Komma 3 2 3 3 2" xfId="7313" xr:uid="{00000000-0005-0000-0000-000056070000}"/>
    <cellStyle name="Komma 3 2 3 3 2 2" xfId="10068" xr:uid="{00000000-0005-0000-0000-000057070000}"/>
    <cellStyle name="Komma 3 2 3 3 3" xfId="8706" xr:uid="{00000000-0005-0000-0000-000058070000}"/>
    <cellStyle name="Komma 3 2 3 4" xfId="6702" xr:uid="{00000000-0005-0000-0000-000059070000}"/>
    <cellStyle name="Komma 3 2 3 4 2" xfId="9457" xr:uid="{00000000-0005-0000-0000-00005A070000}"/>
    <cellStyle name="Komma 3 2 3 5" xfId="8090" xr:uid="{00000000-0005-0000-0000-00005B070000}"/>
    <cellStyle name="Komma 3 2 4" xfId="3631" xr:uid="{00000000-0005-0000-0000-00005C070000}"/>
    <cellStyle name="Komma 3 2 4 2" xfId="4268" xr:uid="{00000000-0005-0000-0000-00005D070000}"/>
    <cellStyle name="Komma 3 2 4 2 2" xfId="7436" xr:uid="{00000000-0005-0000-0000-00005E070000}"/>
    <cellStyle name="Komma 3 2 4 2 2 2" xfId="10191" xr:uid="{00000000-0005-0000-0000-00005F070000}"/>
    <cellStyle name="Komma 3 2 4 2 3" xfId="8829" xr:uid="{00000000-0005-0000-0000-000060070000}"/>
    <cellStyle name="Komma 3 2 4 3" xfId="6813" xr:uid="{00000000-0005-0000-0000-000061070000}"/>
    <cellStyle name="Komma 3 2 4 3 2" xfId="9568" xr:uid="{00000000-0005-0000-0000-000062070000}"/>
    <cellStyle name="Komma 3 2 4 4" xfId="8206" xr:uid="{00000000-0005-0000-0000-000063070000}"/>
    <cellStyle name="Komma 3 2 5" xfId="4113" xr:uid="{00000000-0005-0000-0000-000064070000}"/>
    <cellStyle name="Komma 3 2 5 2" xfId="7281" xr:uid="{00000000-0005-0000-0000-000065070000}"/>
    <cellStyle name="Komma 3 2 5 2 2" xfId="10036" xr:uid="{00000000-0005-0000-0000-000066070000}"/>
    <cellStyle name="Komma 3 2 5 3" xfId="8674" xr:uid="{00000000-0005-0000-0000-000067070000}"/>
    <cellStyle name="Komma 3 2 6" xfId="3462" xr:uid="{00000000-0005-0000-0000-000068070000}"/>
    <cellStyle name="Komma 3 2 6 2" xfId="6670" xr:uid="{00000000-0005-0000-0000-000069070000}"/>
    <cellStyle name="Komma 3 2 6 2 2" xfId="9425" xr:uid="{00000000-0005-0000-0000-00006A070000}"/>
    <cellStyle name="Komma 3 2 6 3" xfId="8058" xr:uid="{00000000-0005-0000-0000-00006B070000}"/>
    <cellStyle name="Komma 3 2 7" xfId="4936" xr:uid="{00000000-0005-0000-0000-00006C070000}"/>
    <cellStyle name="Komma 3 2 8" xfId="5683" xr:uid="{00000000-0005-0000-0000-00006D070000}"/>
    <cellStyle name="Komma 3 3" xfId="3470" xr:uid="{00000000-0005-0000-0000-00006E070000}"/>
    <cellStyle name="Komma 3 3 2" xfId="3634" xr:uid="{00000000-0005-0000-0000-00006F070000}"/>
    <cellStyle name="Komma 3 3 2 2" xfId="4271" xr:uid="{00000000-0005-0000-0000-000070070000}"/>
    <cellStyle name="Komma 3 3 2 2 2" xfId="7439" xr:uid="{00000000-0005-0000-0000-000071070000}"/>
    <cellStyle name="Komma 3 3 2 2 2 2" xfId="10194" xr:uid="{00000000-0005-0000-0000-000072070000}"/>
    <cellStyle name="Komma 3 3 2 2 3" xfId="8832" xr:uid="{00000000-0005-0000-0000-000073070000}"/>
    <cellStyle name="Komma 3 3 2 3" xfId="6816" xr:uid="{00000000-0005-0000-0000-000074070000}"/>
    <cellStyle name="Komma 3 3 2 3 2" xfId="9571" xr:uid="{00000000-0005-0000-0000-000075070000}"/>
    <cellStyle name="Komma 3 3 2 4" xfId="8209" xr:uid="{00000000-0005-0000-0000-000076070000}"/>
    <cellStyle name="Komma 3 3 3" xfId="4121" xr:uid="{00000000-0005-0000-0000-000077070000}"/>
    <cellStyle name="Komma 3 3 3 2" xfId="7289" xr:uid="{00000000-0005-0000-0000-000078070000}"/>
    <cellStyle name="Komma 3 3 3 2 2" xfId="10044" xr:uid="{00000000-0005-0000-0000-000079070000}"/>
    <cellStyle name="Komma 3 3 3 3" xfId="8682" xr:uid="{00000000-0005-0000-0000-00007A070000}"/>
    <cellStyle name="Komma 3 3 4" xfId="4935" xr:uid="{00000000-0005-0000-0000-00007B070000}"/>
    <cellStyle name="Komma 3 3 5" xfId="6678" xr:uid="{00000000-0005-0000-0000-00007C070000}"/>
    <cellStyle name="Komma 3 3 5 2" xfId="9433" xr:uid="{00000000-0005-0000-0000-00007D070000}"/>
    <cellStyle name="Komma 3 3 6" xfId="8066" xr:uid="{00000000-0005-0000-0000-00007E070000}"/>
    <cellStyle name="Komma 3 4" xfId="3486" xr:uid="{00000000-0005-0000-0000-00007F070000}"/>
    <cellStyle name="Komma 3 4 2" xfId="3635" xr:uid="{00000000-0005-0000-0000-000080070000}"/>
    <cellStyle name="Komma 3 4 2 2" xfId="4272" xr:uid="{00000000-0005-0000-0000-000081070000}"/>
    <cellStyle name="Komma 3 4 2 2 2" xfId="7440" xr:uid="{00000000-0005-0000-0000-000082070000}"/>
    <cellStyle name="Komma 3 4 2 2 2 2" xfId="10195" xr:uid="{00000000-0005-0000-0000-000083070000}"/>
    <cellStyle name="Komma 3 4 2 2 3" xfId="8833" xr:uid="{00000000-0005-0000-0000-000084070000}"/>
    <cellStyle name="Komma 3 4 2 3" xfId="6817" xr:uid="{00000000-0005-0000-0000-000085070000}"/>
    <cellStyle name="Komma 3 4 2 3 2" xfId="9572" xr:uid="{00000000-0005-0000-0000-000086070000}"/>
    <cellStyle name="Komma 3 4 2 4" xfId="8210" xr:uid="{00000000-0005-0000-0000-000087070000}"/>
    <cellStyle name="Komma 3 4 3" xfId="4137" xr:uid="{00000000-0005-0000-0000-000088070000}"/>
    <cellStyle name="Komma 3 4 3 2" xfId="7305" xr:uid="{00000000-0005-0000-0000-000089070000}"/>
    <cellStyle name="Komma 3 4 3 2 2" xfId="10060" xr:uid="{00000000-0005-0000-0000-00008A070000}"/>
    <cellStyle name="Komma 3 4 3 3" xfId="8698" xr:uid="{00000000-0005-0000-0000-00008B070000}"/>
    <cellStyle name="Komma 3 4 4" xfId="6694" xr:uid="{00000000-0005-0000-0000-00008C070000}"/>
    <cellStyle name="Komma 3 4 4 2" xfId="9449" xr:uid="{00000000-0005-0000-0000-00008D070000}"/>
    <cellStyle name="Komma 3 4 5" xfId="8082" xr:uid="{00000000-0005-0000-0000-00008E070000}"/>
    <cellStyle name="Komma 3 5" xfId="3636" xr:uid="{00000000-0005-0000-0000-00008F070000}"/>
    <cellStyle name="Komma 3 5 2" xfId="4273" xr:uid="{00000000-0005-0000-0000-000090070000}"/>
    <cellStyle name="Komma 3 5 2 2" xfId="7441" xr:uid="{00000000-0005-0000-0000-000091070000}"/>
    <cellStyle name="Komma 3 5 2 2 2" xfId="10196" xr:uid="{00000000-0005-0000-0000-000092070000}"/>
    <cellStyle name="Komma 3 5 2 3" xfId="8834" xr:uid="{00000000-0005-0000-0000-000093070000}"/>
    <cellStyle name="Komma 3 5 3" xfId="6818" xr:uid="{00000000-0005-0000-0000-000094070000}"/>
    <cellStyle name="Komma 3 5 3 2" xfId="9573" xr:uid="{00000000-0005-0000-0000-000095070000}"/>
    <cellStyle name="Komma 3 5 4" xfId="8211" xr:uid="{00000000-0005-0000-0000-000096070000}"/>
    <cellStyle name="Komma 3 6" xfId="3637" xr:uid="{00000000-0005-0000-0000-000097070000}"/>
    <cellStyle name="Komma 3 7" xfId="3630" xr:uid="{00000000-0005-0000-0000-000098070000}"/>
    <cellStyle name="Komma 3 7 2" xfId="4267" xr:uid="{00000000-0005-0000-0000-000099070000}"/>
    <cellStyle name="Komma 3 7 2 2" xfId="7435" xr:uid="{00000000-0005-0000-0000-00009A070000}"/>
    <cellStyle name="Komma 3 7 2 2 2" xfId="10190" xr:uid="{00000000-0005-0000-0000-00009B070000}"/>
    <cellStyle name="Komma 3 7 2 3" xfId="8828" xr:uid="{00000000-0005-0000-0000-00009C070000}"/>
    <cellStyle name="Komma 3 7 3" xfId="6812" xr:uid="{00000000-0005-0000-0000-00009D070000}"/>
    <cellStyle name="Komma 3 7 3 2" xfId="9567" xr:uid="{00000000-0005-0000-0000-00009E070000}"/>
    <cellStyle name="Komma 3 7 4" xfId="8205" xr:uid="{00000000-0005-0000-0000-00009F070000}"/>
    <cellStyle name="Komma 3 8" xfId="3507" xr:uid="{00000000-0005-0000-0000-0000A0070000}"/>
    <cellStyle name="Komma 3 9" xfId="4105" xr:uid="{00000000-0005-0000-0000-0000A1070000}"/>
    <cellStyle name="Komma 3 9 2" xfId="7273" xr:uid="{00000000-0005-0000-0000-0000A2070000}"/>
    <cellStyle name="Komma 3 9 2 2" xfId="10028" xr:uid="{00000000-0005-0000-0000-0000A3070000}"/>
    <cellStyle name="Komma 3 9 3" xfId="8666" xr:uid="{00000000-0005-0000-0000-0000A4070000}"/>
    <cellStyle name="Komma 4" xfId="430" xr:uid="{00000000-0005-0000-0000-0000A5070000}"/>
    <cellStyle name="Komma 4 10" xfId="5684" xr:uid="{00000000-0005-0000-0000-0000A6070000}"/>
    <cellStyle name="Komma 4 10 2" xfId="9330" xr:uid="{00000000-0005-0000-0000-0000A7070000}"/>
    <cellStyle name="Komma 4 11" xfId="7907" xr:uid="{00000000-0005-0000-0000-0000A8070000}"/>
    <cellStyle name="Komma 4 2" xfId="2310" xr:uid="{00000000-0005-0000-0000-0000A9070000}"/>
    <cellStyle name="Komma 4 2 2" xfId="3303" xr:uid="{00000000-0005-0000-0000-0000AA070000}"/>
    <cellStyle name="Komma 4 2 2 2" xfId="4276" xr:uid="{00000000-0005-0000-0000-0000AB070000}"/>
    <cellStyle name="Komma 4 2 2 2 2" xfId="7444" xr:uid="{00000000-0005-0000-0000-0000AC070000}"/>
    <cellStyle name="Komma 4 2 2 2 2 2" xfId="10199" xr:uid="{00000000-0005-0000-0000-0000AD070000}"/>
    <cellStyle name="Komma 4 2 2 2 3" xfId="8837" xr:uid="{00000000-0005-0000-0000-0000AE070000}"/>
    <cellStyle name="Komma 4 2 2 3" xfId="3640" xr:uid="{00000000-0005-0000-0000-0000AF070000}"/>
    <cellStyle name="Komma 4 2 2 3 2" xfId="6821" xr:uid="{00000000-0005-0000-0000-0000B0070000}"/>
    <cellStyle name="Komma 4 2 2 3 2 2" xfId="9576" xr:uid="{00000000-0005-0000-0000-0000B1070000}"/>
    <cellStyle name="Komma 4 2 2 3 3" xfId="8214" xr:uid="{00000000-0005-0000-0000-0000B2070000}"/>
    <cellStyle name="Komma 4 2 2 4" xfId="6613" xr:uid="{00000000-0005-0000-0000-0000B3070000}"/>
    <cellStyle name="Komma 4 2 2 4 2" xfId="9377" xr:uid="{00000000-0005-0000-0000-0000B4070000}"/>
    <cellStyle name="Komma 4 2 2 5" xfId="8006" xr:uid="{00000000-0005-0000-0000-0000B5070000}"/>
    <cellStyle name="Komma 4 2 3" xfId="3641" xr:uid="{00000000-0005-0000-0000-0000B6070000}"/>
    <cellStyle name="Komma 4 2 3 2" xfId="4277" xr:uid="{00000000-0005-0000-0000-0000B7070000}"/>
    <cellStyle name="Komma 4 2 3 2 2" xfId="7445" xr:uid="{00000000-0005-0000-0000-0000B8070000}"/>
    <cellStyle name="Komma 4 2 3 2 2 2" xfId="10200" xr:uid="{00000000-0005-0000-0000-0000B9070000}"/>
    <cellStyle name="Komma 4 2 3 2 3" xfId="8838" xr:uid="{00000000-0005-0000-0000-0000BA070000}"/>
    <cellStyle name="Komma 4 2 3 3" xfId="6822" xr:uid="{00000000-0005-0000-0000-0000BB070000}"/>
    <cellStyle name="Komma 4 2 3 3 2" xfId="9577" xr:uid="{00000000-0005-0000-0000-0000BC070000}"/>
    <cellStyle name="Komma 4 2 3 4" xfId="8215" xr:uid="{00000000-0005-0000-0000-0000BD070000}"/>
    <cellStyle name="Komma 4 2 4" xfId="3642" xr:uid="{00000000-0005-0000-0000-0000BE070000}"/>
    <cellStyle name="Komma 4 2 4 2" xfId="4278" xr:uid="{00000000-0005-0000-0000-0000BF070000}"/>
    <cellStyle name="Komma 4 2 4 2 2" xfId="7446" xr:uid="{00000000-0005-0000-0000-0000C0070000}"/>
    <cellStyle name="Komma 4 2 4 2 2 2" xfId="10201" xr:uid="{00000000-0005-0000-0000-0000C1070000}"/>
    <cellStyle name="Komma 4 2 4 2 3" xfId="8839" xr:uid="{00000000-0005-0000-0000-0000C2070000}"/>
    <cellStyle name="Komma 4 2 4 3" xfId="6823" xr:uid="{00000000-0005-0000-0000-0000C3070000}"/>
    <cellStyle name="Komma 4 2 4 3 2" xfId="9578" xr:uid="{00000000-0005-0000-0000-0000C4070000}"/>
    <cellStyle name="Komma 4 2 4 4" xfId="8216" xr:uid="{00000000-0005-0000-0000-0000C5070000}"/>
    <cellStyle name="Komma 4 2 5" xfId="4275" xr:uid="{00000000-0005-0000-0000-0000C6070000}"/>
    <cellStyle name="Komma 4 2 5 2" xfId="7443" xr:uid="{00000000-0005-0000-0000-0000C7070000}"/>
    <cellStyle name="Komma 4 2 5 2 2" xfId="10198" xr:uid="{00000000-0005-0000-0000-0000C8070000}"/>
    <cellStyle name="Komma 4 2 5 3" xfId="8836" xr:uid="{00000000-0005-0000-0000-0000C9070000}"/>
    <cellStyle name="Komma 4 2 6" xfId="3639" xr:uid="{00000000-0005-0000-0000-0000CA070000}"/>
    <cellStyle name="Komma 4 2 6 2" xfId="6820" xr:uid="{00000000-0005-0000-0000-0000CB070000}"/>
    <cellStyle name="Komma 4 2 6 2 2" xfId="9575" xr:uid="{00000000-0005-0000-0000-0000CC070000}"/>
    <cellStyle name="Komma 4 2 6 3" xfId="8213" xr:uid="{00000000-0005-0000-0000-0000CD070000}"/>
    <cellStyle name="Komma 4 2 7" xfId="5371" xr:uid="{00000000-0005-0000-0000-0000CE070000}"/>
    <cellStyle name="Komma 4 2 7 2" xfId="9316" xr:uid="{00000000-0005-0000-0000-0000CF070000}"/>
    <cellStyle name="Komma 4 2 8" xfId="6293" xr:uid="{00000000-0005-0000-0000-0000D0070000}"/>
    <cellStyle name="Komma 4 2 8 2" xfId="9350" xr:uid="{00000000-0005-0000-0000-0000D1070000}"/>
    <cellStyle name="Komma 4 2 9" xfId="7962" xr:uid="{00000000-0005-0000-0000-0000D2070000}"/>
    <cellStyle name="Komma 4 3" xfId="3284" xr:uid="{00000000-0005-0000-0000-0000D3070000}"/>
    <cellStyle name="Komma 4 3 2" xfId="3644" xr:uid="{00000000-0005-0000-0000-0000D4070000}"/>
    <cellStyle name="Komma 4 3 2 2" xfId="4280" xr:uid="{00000000-0005-0000-0000-0000D5070000}"/>
    <cellStyle name="Komma 4 3 2 2 2" xfId="7448" xr:uid="{00000000-0005-0000-0000-0000D6070000}"/>
    <cellStyle name="Komma 4 3 2 2 2 2" xfId="10203" xr:uid="{00000000-0005-0000-0000-0000D7070000}"/>
    <cellStyle name="Komma 4 3 2 2 3" xfId="8841" xr:uid="{00000000-0005-0000-0000-0000D8070000}"/>
    <cellStyle name="Komma 4 3 2 3" xfId="6825" xr:uid="{00000000-0005-0000-0000-0000D9070000}"/>
    <cellStyle name="Komma 4 3 2 3 2" xfId="9580" xr:uid="{00000000-0005-0000-0000-0000DA070000}"/>
    <cellStyle name="Komma 4 3 2 4" xfId="8218" xr:uid="{00000000-0005-0000-0000-0000DB070000}"/>
    <cellStyle name="Komma 4 3 3" xfId="3645" xr:uid="{00000000-0005-0000-0000-0000DC070000}"/>
    <cellStyle name="Komma 4 3 3 2" xfId="4281" xr:uid="{00000000-0005-0000-0000-0000DD070000}"/>
    <cellStyle name="Komma 4 3 3 2 2" xfId="7449" xr:uid="{00000000-0005-0000-0000-0000DE070000}"/>
    <cellStyle name="Komma 4 3 3 2 2 2" xfId="10204" xr:uid="{00000000-0005-0000-0000-0000DF070000}"/>
    <cellStyle name="Komma 4 3 3 2 3" xfId="8842" xr:uid="{00000000-0005-0000-0000-0000E0070000}"/>
    <cellStyle name="Komma 4 3 3 3" xfId="6826" xr:uid="{00000000-0005-0000-0000-0000E1070000}"/>
    <cellStyle name="Komma 4 3 3 3 2" xfId="9581" xr:uid="{00000000-0005-0000-0000-0000E2070000}"/>
    <cellStyle name="Komma 4 3 3 4" xfId="8219" xr:uid="{00000000-0005-0000-0000-0000E3070000}"/>
    <cellStyle name="Komma 4 3 4" xfId="4279" xr:uid="{00000000-0005-0000-0000-0000E4070000}"/>
    <cellStyle name="Komma 4 3 4 2" xfId="7447" xr:uid="{00000000-0005-0000-0000-0000E5070000}"/>
    <cellStyle name="Komma 4 3 4 2 2" xfId="10202" xr:uid="{00000000-0005-0000-0000-0000E6070000}"/>
    <cellStyle name="Komma 4 3 4 3" xfId="8840" xr:uid="{00000000-0005-0000-0000-0000E7070000}"/>
    <cellStyle name="Komma 4 3 5" xfId="3643" xr:uid="{00000000-0005-0000-0000-0000E8070000}"/>
    <cellStyle name="Komma 4 3 5 2" xfId="6824" xr:uid="{00000000-0005-0000-0000-0000E9070000}"/>
    <cellStyle name="Komma 4 3 5 2 2" xfId="9579" xr:uid="{00000000-0005-0000-0000-0000EA070000}"/>
    <cellStyle name="Komma 4 3 5 3" xfId="8217" xr:uid="{00000000-0005-0000-0000-0000EB070000}"/>
    <cellStyle name="Komma 4 3 6" xfId="6603" xr:uid="{00000000-0005-0000-0000-0000EC070000}"/>
    <cellStyle name="Komma 4 3 6 2" xfId="9367" xr:uid="{00000000-0005-0000-0000-0000ED070000}"/>
    <cellStyle name="Komma 4 3 7" xfId="7996" xr:uid="{00000000-0005-0000-0000-0000EE070000}"/>
    <cellStyle name="Komma 4 4" xfId="3646" xr:uid="{00000000-0005-0000-0000-0000EF070000}"/>
    <cellStyle name="Komma 4 4 2" xfId="4282" xr:uid="{00000000-0005-0000-0000-0000F0070000}"/>
    <cellStyle name="Komma 4 4 2 2" xfId="7450" xr:uid="{00000000-0005-0000-0000-0000F1070000}"/>
    <cellStyle name="Komma 4 4 2 2 2" xfId="10205" xr:uid="{00000000-0005-0000-0000-0000F2070000}"/>
    <cellStyle name="Komma 4 4 2 3" xfId="8843" xr:uid="{00000000-0005-0000-0000-0000F3070000}"/>
    <cellStyle name="Komma 4 4 3" xfId="6827" xr:uid="{00000000-0005-0000-0000-0000F4070000}"/>
    <cellStyle name="Komma 4 4 3 2" xfId="9582" xr:uid="{00000000-0005-0000-0000-0000F5070000}"/>
    <cellStyle name="Komma 4 4 4" xfId="8220" xr:uid="{00000000-0005-0000-0000-0000F6070000}"/>
    <cellStyle name="Komma 4 5" xfId="3647" xr:uid="{00000000-0005-0000-0000-0000F7070000}"/>
    <cellStyle name="Komma 4 5 2" xfId="4283" xr:uid="{00000000-0005-0000-0000-0000F8070000}"/>
    <cellStyle name="Komma 4 5 2 2" xfId="7451" xr:uid="{00000000-0005-0000-0000-0000F9070000}"/>
    <cellStyle name="Komma 4 5 2 2 2" xfId="10206" xr:uid="{00000000-0005-0000-0000-0000FA070000}"/>
    <cellStyle name="Komma 4 5 2 3" xfId="8844" xr:uid="{00000000-0005-0000-0000-0000FB070000}"/>
    <cellStyle name="Komma 4 5 3" xfId="6828" xr:uid="{00000000-0005-0000-0000-0000FC070000}"/>
    <cellStyle name="Komma 4 5 3 2" xfId="9583" xr:uid="{00000000-0005-0000-0000-0000FD070000}"/>
    <cellStyle name="Komma 4 5 4" xfId="8221" xr:uid="{00000000-0005-0000-0000-0000FE070000}"/>
    <cellStyle name="Komma 4 6" xfId="3648" xr:uid="{00000000-0005-0000-0000-0000FF070000}"/>
    <cellStyle name="Komma 4 6 2" xfId="4284" xr:uid="{00000000-0005-0000-0000-000000080000}"/>
    <cellStyle name="Komma 4 6 2 2" xfId="7452" xr:uid="{00000000-0005-0000-0000-000001080000}"/>
    <cellStyle name="Komma 4 6 2 2 2" xfId="10207" xr:uid="{00000000-0005-0000-0000-000002080000}"/>
    <cellStyle name="Komma 4 6 2 3" xfId="8845" xr:uid="{00000000-0005-0000-0000-000003080000}"/>
    <cellStyle name="Komma 4 6 3" xfId="6829" xr:uid="{00000000-0005-0000-0000-000004080000}"/>
    <cellStyle name="Komma 4 6 3 2" xfId="9584" xr:uid="{00000000-0005-0000-0000-000005080000}"/>
    <cellStyle name="Komma 4 6 4" xfId="8222" xr:uid="{00000000-0005-0000-0000-000006080000}"/>
    <cellStyle name="Komma 4 7" xfId="4274" xr:uid="{00000000-0005-0000-0000-000007080000}"/>
    <cellStyle name="Komma 4 7 2" xfId="7442" xr:uid="{00000000-0005-0000-0000-000008080000}"/>
    <cellStyle name="Komma 4 7 2 2" xfId="10197" xr:uid="{00000000-0005-0000-0000-000009080000}"/>
    <cellStyle name="Komma 4 7 3" xfId="8835" xr:uid="{00000000-0005-0000-0000-00000A080000}"/>
    <cellStyle name="Komma 4 8" xfId="3638" xr:uid="{00000000-0005-0000-0000-00000B080000}"/>
    <cellStyle name="Komma 4 8 2" xfId="6819" xr:uid="{00000000-0005-0000-0000-00000C080000}"/>
    <cellStyle name="Komma 4 8 2 2" xfId="9574" xr:uid="{00000000-0005-0000-0000-00000D080000}"/>
    <cellStyle name="Komma 4 8 3" xfId="8212" xr:uid="{00000000-0005-0000-0000-00000E080000}"/>
    <cellStyle name="Komma 4 9" xfId="4937" xr:uid="{00000000-0005-0000-0000-00000F080000}"/>
    <cellStyle name="Komma 4 9 2" xfId="9300" xr:uid="{00000000-0005-0000-0000-000010080000}"/>
    <cellStyle name="Komma 5" xfId="431" xr:uid="{00000000-0005-0000-0000-000011080000}"/>
    <cellStyle name="Komma 5 2" xfId="2311" xr:uid="{00000000-0005-0000-0000-000012080000}"/>
    <cellStyle name="Komma 5 2 2" xfId="3304" xr:uid="{00000000-0005-0000-0000-000013080000}"/>
    <cellStyle name="Komma 5 2 2 2" xfId="4287" xr:uid="{00000000-0005-0000-0000-000014080000}"/>
    <cellStyle name="Komma 5 2 2 2 2" xfId="7455" xr:uid="{00000000-0005-0000-0000-000015080000}"/>
    <cellStyle name="Komma 5 2 2 2 2 2" xfId="10210" xr:uid="{00000000-0005-0000-0000-000016080000}"/>
    <cellStyle name="Komma 5 2 2 2 3" xfId="8848" xr:uid="{00000000-0005-0000-0000-000017080000}"/>
    <cellStyle name="Komma 5 2 2 3" xfId="3651" xr:uid="{00000000-0005-0000-0000-000018080000}"/>
    <cellStyle name="Komma 5 2 2 3 2" xfId="6832" xr:uid="{00000000-0005-0000-0000-000019080000}"/>
    <cellStyle name="Komma 5 2 2 3 2 2" xfId="9587" xr:uid="{00000000-0005-0000-0000-00001A080000}"/>
    <cellStyle name="Komma 5 2 2 3 3" xfId="8225" xr:uid="{00000000-0005-0000-0000-00001B080000}"/>
    <cellStyle name="Komma 5 2 3" xfId="3652" xr:uid="{00000000-0005-0000-0000-00001C080000}"/>
    <cellStyle name="Komma 5 2 3 2" xfId="4288" xr:uid="{00000000-0005-0000-0000-00001D080000}"/>
    <cellStyle name="Komma 5 2 3 2 2" xfId="7456" xr:uid="{00000000-0005-0000-0000-00001E080000}"/>
    <cellStyle name="Komma 5 2 3 2 2 2" xfId="10211" xr:uid="{00000000-0005-0000-0000-00001F080000}"/>
    <cellStyle name="Komma 5 2 3 2 3" xfId="8849" xr:uid="{00000000-0005-0000-0000-000020080000}"/>
    <cellStyle name="Komma 5 2 3 3" xfId="6833" xr:uid="{00000000-0005-0000-0000-000021080000}"/>
    <cellStyle name="Komma 5 2 3 3 2" xfId="9588" xr:uid="{00000000-0005-0000-0000-000022080000}"/>
    <cellStyle name="Komma 5 2 3 4" xfId="8226" xr:uid="{00000000-0005-0000-0000-000023080000}"/>
    <cellStyle name="Komma 5 2 4" xfId="4286" xr:uid="{00000000-0005-0000-0000-000024080000}"/>
    <cellStyle name="Komma 5 2 4 2" xfId="7454" xr:uid="{00000000-0005-0000-0000-000025080000}"/>
    <cellStyle name="Komma 5 2 4 2 2" xfId="10209" xr:uid="{00000000-0005-0000-0000-000026080000}"/>
    <cellStyle name="Komma 5 2 4 3" xfId="8847" xr:uid="{00000000-0005-0000-0000-000027080000}"/>
    <cellStyle name="Komma 5 2 5" xfId="3650" xr:uid="{00000000-0005-0000-0000-000028080000}"/>
    <cellStyle name="Komma 5 2 5 2" xfId="6831" xr:uid="{00000000-0005-0000-0000-000029080000}"/>
    <cellStyle name="Komma 5 2 5 2 2" xfId="9586" xr:uid="{00000000-0005-0000-0000-00002A080000}"/>
    <cellStyle name="Komma 5 2 5 3" xfId="8224" xr:uid="{00000000-0005-0000-0000-00002B080000}"/>
    <cellStyle name="Komma 5 3" xfId="3285" xr:uid="{00000000-0005-0000-0000-00002C080000}"/>
    <cellStyle name="Komma 5 3 2" xfId="4289" xr:uid="{00000000-0005-0000-0000-00002D080000}"/>
    <cellStyle name="Komma 5 3 2 2" xfId="7457" xr:uid="{00000000-0005-0000-0000-00002E080000}"/>
    <cellStyle name="Komma 5 3 2 2 2" xfId="10212" xr:uid="{00000000-0005-0000-0000-00002F080000}"/>
    <cellStyle name="Komma 5 3 2 3" xfId="8850" xr:uid="{00000000-0005-0000-0000-000030080000}"/>
    <cellStyle name="Komma 5 3 3" xfId="3653" xr:uid="{00000000-0005-0000-0000-000031080000}"/>
    <cellStyle name="Komma 5 3 3 2" xfId="6834" xr:uid="{00000000-0005-0000-0000-000032080000}"/>
    <cellStyle name="Komma 5 3 3 2 2" xfId="9589" xr:uid="{00000000-0005-0000-0000-000033080000}"/>
    <cellStyle name="Komma 5 3 3 3" xfId="8227" xr:uid="{00000000-0005-0000-0000-000034080000}"/>
    <cellStyle name="Komma 5 4" xfId="3654" xr:uid="{00000000-0005-0000-0000-000035080000}"/>
    <cellStyle name="Komma 5 4 2" xfId="4290" xr:uid="{00000000-0005-0000-0000-000036080000}"/>
    <cellStyle name="Komma 5 4 2 2" xfId="7458" xr:uid="{00000000-0005-0000-0000-000037080000}"/>
    <cellStyle name="Komma 5 4 2 2 2" xfId="10213" xr:uid="{00000000-0005-0000-0000-000038080000}"/>
    <cellStyle name="Komma 5 4 2 3" xfId="8851" xr:uid="{00000000-0005-0000-0000-000039080000}"/>
    <cellStyle name="Komma 5 4 3" xfId="6835" xr:uid="{00000000-0005-0000-0000-00003A080000}"/>
    <cellStyle name="Komma 5 4 3 2" xfId="9590" xr:uid="{00000000-0005-0000-0000-00003B080000}"/>
    <cellStyle name="Komma 5 4 4" xfId="8228" xr:uid="{00000000-0005-0000-0000-00003C080000}"/>
    <cellStyle name="Komma 5 5" xfId="3655" xr:uid="{00000000-0005-0000-0000-00003D080000}"/>
    <cellStyle name="Komma 5 5 2" xfId="4291" xr:uid="{00000000-0005-0000-0000-00003E080000}"/>
    <cellStyle name="Komma 5 5 2 2" xfId="7459" xr:uid="{00000000-0005-0000-0000-00003F080000}"/>
    <cellStyle name="Komma 5 5 2 2 2" xfId="10214" xr:uid="{00000000-0005-0000-0000-000040080000}"/>
    <cellStyle name="Komma 5 5 2 3" xfId="8852" xr:uid="{00000000-0005-0000-0000-000041080000}"/>
    <cellStyle name="Komma 5 5 3" xfId="6836" xr:uid="{00000000-0005-0000-0000-000042080000}"/>
    <cellStyle name="Komma 5 5 3 2" xfId="9591" xr:uid="{00000000-0005-0000-0000-000043080000}"/>
    <cellStyle name="Komma 5 5 4" xfId="8229" xr:uid="{00000000-0005-0000-0000-000044080000}"/>
    <cellStyle name="Komma 5 6" xfId="4285" xr:uid="{00000000-0005-0000-0000-000045080000}"/>
    <cellStyle name="Komma 5 6 2" xfId="7453" xr:uid="{00000000-0005-0000-0000-000046080000}"/>
    <cellStyle name="Komma 5 6 2 2" xfId="10208" xr:uid="{00000000-0005-0000-0000-000047080000}"/>
    <cellStyle name="Komma 5 6 3" xfId="8846" xr:uid="{00000000-0005-0000-0000-000048080000}"/>
    <cellStyle name="Komma 5 7" xfId="3649" xr:uid="{00000000-0005-0000-0000-000049080000}"/>
    <cellStyle name="Komma 5 7 2" xfId="6830" xr:uid="{00000000-0005-0000-0000-00004A080000}"/>
    <cellStyle name="Komma 5 7 2 2" xfId="9585" xr:uid="{00000000-0005-0000-0000-00004B080000}"/>
    <cellStyle name="Komma 5 7 3" xfId="8223" xr:uid="{00000000-0005-0000-0000-00004C080000}"/>
    <cellStyle name="Komma 6" xfId="3363" xr:uid="{00000000-0005-0000-0000-00004D080000}"/>
    <cellStyle name="Komma 6 2" xfId="3656" xr:uid="{00000000-0005-0000-0000-00004E080000}"/>
    <cellStyle name="Komma 6 2 2" xfId="3657" xr:uid="{00000000-0005-0000-0000-00004F080000}"/>
    <cellStyle name="Komma 6 2 2 2" xfId="4294" xr:uid="{00000000-0005-0000-0000-000050080000}"/>
    <cellStyle name="Komma 6 2 2 2 2" xfId="7462" xr:uid="{00000000-0005-0000-0000-000051080000}"/>
    <cellStyle name="Komma 6 2 2 2 2 2" xfId="10217" xr:uid="{00000000-0005-0000-0000-000052080000}"/>
    <cellStyle name="Komma 6 2 2 2 3" xfId="8855" xr:uid="{00000000-0005-0000-0000-000053080000}"/>
    <cellStyle name="Komma 6 2 2 3" xfId="6838" xr:uid="{00000000-0005-0000-0000-000054080000}"/>
    <cellStyle name="Komma 6 2 2 3 2" xfId="9593" xr:uid="{00000000-0005-0000-0000-000055080000}"/>
    <cellStyle name="Komma 6 2 2 4" xfId="8231" xr:uid="{00000000-0005-0000-0000-000056080000}"/>
    <cellStyle name="Komma 6 2 3" xfId="3658" xr:uid="{00000000-0005-0000-0000-000057080000}"/>
    <cellStyle name="Komma 6 2 3 2" xfId="4295" xr:uid="{00000000-0005-0000-0000-000058080000}"/>
    <cellStyle name="Komma 6 2 3 2 2" xfId="7463" xr:uid="{00000000-0005-0000-0000-000059080000}"/>
    <cellStyle name="Komma 6 2 3 2 2 2" xfId="10218" xr:uid="{00000000-0005-0000-0000-00005A080000}"/>
    <cellStyle name="Komma 6 2 3 2 3" xfId="8856" xr:uid="{00000000-0005-0000-0000-00005B080000}"/>
    <cellStyle name="Komma 6 2 3 3" xfId="6839" xr:uid="{00000000-0005-0000-0000-00005C080000}"/>
    <cellStyle name="Komma 6 2 3 3 2" xfId="9594" xr:uid="{00000000-0005-0000-0000-00005D080000}"/>
    <cellStyle name="Komma 6 2 3 4" xfId="8232" xr:uid="{00000000-0005-0000-0000-00005E080000}"/>
    <cellStyle name="Komma 6 2 4" xfId="4293" xr:uid="{00000000-0005-0000-0000-00005F080000}"/>
    <cellStyle name="Komma 6 2 4 2" xfId="7461" xr:uid="{00000000-0005-0000-0000-000060080000}"/>
    <cellStyle name="Komma 6 2 4 2 2" xfId="10216" xr:uid="{00000000-0005-0000-0000-000061080000}"/>
    <cellStyle name="Komma 6 2 4 3" xfId="8854" xr:uid="{00000000-0005-0000-0000-000062080000}"/>
    <cellStyle name="Komma 6 2 5" xfId="6837" xr:uid="{00000000-0005-0000-0000-000063080000}"/>
    <cellStyle name="Komma 6 2 5 2" xfId="9592" xr:uid="{00000000-0005-0000-0000-000064080000}"/>
    <cellStyle name="Komma 6 2 6" xfId="8230" xr:uid="{00000000-0005-0000-0000-000065080000}"/>
    <cellStyle name="Komma 6 3" xfId="3659" xr:uid="{00000000-0005-0000-0000-000066080000}"/>
    <cellStyle name="Komma 6 3 2" xfId="4296" xr:uid="{00000000-0005-0000-0000-000067080000}"/>
    <cellStyle name="Komma 6 3 2 2" xfId="7464" xr:uid="{00000000-0005-0000-0000-000068080000}"/>
    <cellStyle name="Komma 6 3 2 2 2" xfId="10219" xr:uid="{00000000-0005-0000-0000-000069080000}"/>
    <cellStyle name="Komma 6 3 2 3" xfId="8857" xr:uid="{00000000-0005-0000-0000-00006A080000}"/>
    <cellStyle name="Komma 6 3 3" xfId="6840" xr:uid="{00000000-0005-0000-0000-00006B080000}"/>
    <cellStyle name="Komma 6 3 3 2" xfId="9595" xr:uid="{00000000-0005-0000-0000-00006C080000}"/>
    <cellStyle name="Komma 6 3 4" xfId="8233" xr:uid="{00000000-0005-0000-0000-00006D080000}"/>
    <cellStyle name="Komma 6 4" xfId="3660" xr:uid="{00000000-0005-0000-0000-00006E080000}"/>
    <cellStyle name="Komma 6 4 2" xfId="4297" xr:uid="{00000000-0005-0000-0000-00006F080000}"/>
    <cellStyle name="Komma 6 4 2 2" xfId="7465" xr:uid="{00000000-0005-0000-0000-000070080000}"/>
    <cellStyle name="Komma 6 4 2 2 2" xfId="10220" xr:uid="{00000000-0005-0000-0000-000071080000}"/>
    <cellStyle name="Komma 6 4 2 3" xfId="8858" xr:uid="{00000000-0005-0000-0000-000072080000}"/>
    <cellStyle name="Komma 6 4 3" xfId="6841" xr:uid="{00000000-0005-0000-0000-000073080000}"/>
    <cellStyle name="Komma 6 4 3 2" xfId="9596" xr:uid="{00000000-0005-0000-0000-000074080000}"/>
    <cellStyle name="Komma 6 4 4" xfId="8234" xr:uid="{00000000-0005-0000-0000-000075080000}"/>
    <cellStyle name="Komma 6 5" xfId="3661" xr:uid="{00000000-0005-0000-0000-000076080000}"/>
    <cellStyle name="Komma 6 5 2" xfId="4298" xr:uid="{00000000-0005-0000-0000-000077080000}"/>
    <cellStyle name="Komma 6 5 2 2" xfId="7466" xr:uid="{00000000-0005-0000-0000-000078080000}"/>
    <cellStyle name="Komma 6 5 2 2 2" xfId="10221" xr:uid="{00000000-0005-0000-0000-000079080000}"/>
    <cellStyle name="Komma 6 5 2 3" xfId="8859" xr:uid="{00000000-0005-0000-0000-00007A080000}"/>
    <cellStyle name="Komma 6 5 3" xfId="6842" xr:uid="{00000000-0005-0000-0000-00007B080000}"/>
    <cellStyle name="Komma 6 5 3 2" xfId="9597" xr:uid="{00000000-0005-0000-0000-00007C080000}"/>
    <cellStyle name="Komma 6 5 4" xfId="8235" xr:uid="{00000000-0005-0000-0000-00007D080000}"/>
    <cellStyle name="Komma 6 6" xfId="4292" xr:uid="{00000000-0005-0000-0000-00007E080000}"/>
    <cellStyle name="Komma 6 6 2" xfId="7460" xr:uid="{00000000-0005-0000-0000-00007F080000}"/>
    <cellStyle name="Komma 6 6 2 2" xfId="10215" xr:uid="{00000000-0005-0000-0000-000080080000}"/>
    <cellStyle name="Komma 6 6 3" xfId="8853" xr:uid="{00000000-0005-0000-0000-000081080000}"/>
    <cellStyle name="Komma 6 7" xfId="6647" xr:uid="{00000000-0005-0000-0000-000082080000}"/>
    <cellStyle name="Komma 6 7 2" xfId="9411" xr:uid="{00000000-0005-0000-0000-000083080000}"/>
    <cellStyle name="Komma 6 8" xfId="8040" xr:uid="{00000000-0005-0000-0000-000084080000}"/>
    <cellStyle name="Komma 7" xfId="3662" xr:uid="{00000000-0005-0000-0000-000085080000}"/>
    <cellStyle name="Komma 7 2" xfId="3663" xr:uid="{00000000-0005-0000-0000-000086080000}"/>
    <cellStyle name="Komma 7 2 2" xfId="3664" xr:uid="{00000000-0005-0000-0000-000087080000}"/>
    <cellStyle name="Komma 7 2 2 2" xfId="4301" xr:uid="{00000000-0005-0000-0000-000088080000}"/>
    <cellStyle name="Komma 7 2 2 2 2" xfId="7469" xr:uid="{00000000-0005-0000-0000-000089080000}"/>
    <cellStyle name="Komma 7 2 2 2 2 2" xfId="10224" xr:uid="{00000000-0005-0000-0000-00008A080000}"/>
    <cellStyle name="Komma 7 2 2 2 3" xfId="8862" xr:uid="{00000000-0005-0000-0000-00008B080000}"/>
    <cellStyle name="Komma 7 2 2 3" xfId="6845" xr:uid="{00000000-0005-0000-0000-00008C080000}"/>
    <cellStyle name="Komma 7 2 2 3 2" xfId="9600" xr:uid="{00000000-0005-0000-0000-00008D080000}"/>
    <cellStyle name="Komma 7 2 2 4" xfId="8238" xr:uid="{00000000-0005-0000-0000-00008E080000}"/>
    <cellStyle name="Komma 7 2 3" xfId="3665" xr:uid="{00000000-0005-0000-0000-00008F080000}"/>
    <cellStyle name="Komma 7 2 3 2" xfId="4302" xr:uid="{00000000-0005-0000-0000-000090080000}"/>
    <cellStyle name="Komma 7 2 3 2 2" xfId="7470" xr:uid="{00000000-0005-0000-0000-000091080000}"/>
    <cellStyle name="Komma 7 2 3 2 2 2" xfId="10225" xr:uid="{00000000-0005-0000-0000-000092080000}"/>
    <cellStyle name="Komma 7 2 3 2 3" xfId="8863" xr:uid="{00000000-0005-0000-0000-000093080000}"/>
    <cellStyle name="Komma 7 2 3 3" xfId="6846" xr:uid="{00000000-0005-0000-0000-000094080000}"/>
    <cellStyle name="Komma 7 2 3 3 2" xfId="9601" xr:uid="{00000000-0005-0000-0000-000095080000}"/>
    <cellStyle name="Komma 7 2 3 4" xfId="8239" xr:uid="{00000000-0005-0000-0000-000096080000}"/>
    <cellStyle name="Komma 7 2 4" xfId="4300" xr:uid="{00000000-0005-0000-0000-000097080000}"/>
    <cellStyle name="Komma 7 2 4 2" xfId="7468" xr:uid="{00000000-0005-0000-0000-000098080000}"/>
    <cellStyle name="Komma 7 2 4 2 2" xfId="10223" xr:uid="{00000000-0005-0000-0000-000099080000}"/>
    <cellStyle name="Komma 7 2 4 3" xfId="8861" xr:uid="{00000000-0005-0000-0000-00009A080000}"/>
    <cellStyle name="Komma 7 2 5" xfId="6844" xr:uid="{00000000-0005-0000-0000-00009B080000}"/>
    <cellStyle name="Komma 7 2 5 2" xfId="9599" xr:uid="{00000000-0005-0000-0000-00009C080000}"/>
    <cellStyle name="Komma 7 2 6" xfId="8237" xr:uid="{00000000-0005-0000-0000-00009D080000}"/>
    <cellStyle name="Komma 7 3" xfId="3666" xr:uid="{00000000-0005-0000-0000-00009E080000}"/>
    <cellStyle name="Komma 7 3 2" xfId="4303" xr:uid="{00000000-0005-0000-0000-00009F080000}"/>
    <cellStyle name="Komma 7 3 2 2" xfId="7471" xr:uid="{00000000-0005-0000-0000-0000A0080000}"/>
    <cellStyle name="Komma 7 3 2 2 2" xfId="10226" xr:uid="{00000000-0005-0000-0000-0000A1080000}"/>
    <cellStyle name="Komma 7 3 2 3" xfId="8864" xr:uid="{00000000-0005-0000-0000-0000A2080000}"/>
    <cellStyle name="Komma 7 3 3" xfId="6847" xr:uid="{00000000-0005-0000-0000-0000A3080000}"/>
    <cellStyle name="Komma 7 3 3 2" xfId="9602" xr:uid="{00000000-0005-0000-0000-0000A4080000}"/>
    <cellStyle name="Komma 7 3 4" xfId="8240" xr:uid="{00000000-0005-0000-0000-0000A5080000}"/>
    <cellStyle name="Komma 7 4" xfId="3667" xr:uid="{00000000-0005-0000-0000-0000A6080000}"/>
    <cellStyle name="Komma 7 4 2" xfId="4304" xr:uid="{00000000-0005-0000-0000-0000A7080000}"/>
    <cellStyle name="Komma 7 4 2 2" xfId="7472" xr:uid="{00000000-0005-0000-0000-0000A8080000}"/>
    <cellStyle name="Komma 7 4 2 2 2" xfId="10227" xr:uid="{00000000-0005-0000-0000-0000A9080000}"/>
    <cellStyle name="Komma 7 4 2 3" xfId="8865" xr:uid="{00000000-0005-0000-0000-0000AA080000}"/>
    <cellStyle name="Komma 7 4 3" xfId="6848" xr:uid="{00000000-0005-0000-0000-0000AB080000}"/>
    <cellStyle name="Komma 7 4 3 2" xfId="9603" xr:uid="{00000000-0005-0000-0000-0000AC080000}"/>
    <cellStyle name="Komma 7 4 4" xfId="8241" xr:uid="{00000000-0005-0000-0000-0000AD080000}"/>
    <cellStyle name="Komma 7 5" xfId="4299" xr:uid="{00000000-0005-0000-0000-0000AE080000}"/>
    <cellStyle name="Komma 7 5 2" xfId="7467" xr:uid="{00000000-0005-0000-0000-0000AF080000}"/>
    <cellStyle name="Komma 7 5 2 2" xfId="10222" xr:uid="{00000000-0005-0000-0000-0000B0080000}"/>
    <cellStyle name="Komma 7 5 3" xfId="8860" xr:uid="{00000000-0005-0000-0000-0000B1080000}"/>
    <cellStyle name="Komma 7 6" xfId="6843" xr:uid="{00000000-0005-0000-0000-0000B2080000}"/>
    <cellStyle name="Komma 7 6 2" xfId="9598" xr:uid="{00000000-0005-0000-0000-0000B3080000}"/>
    <cellStyle name="Komma 7 7" xfId="8236" xr:uid="{00000000-0005-0000-0000-0000B4080000}"/>
    <cellStyle name="Komma 8" xfId="3668" xr:uid="{00000000-0005-0000-0000-0000B5080000}"/>
    <cellStyle name="Komma 8 2" xfId="3669" xr:uid="{00000000-0005-0000-0000-0000B6080000}"/>
    <cellStyle name="Komma 8 2 2" xfId="4306" xr:uid="{00000000-0005-0000-0000-0000B7080000}"/>
    <cellStyle name="Komma 8 2 2 2" xfId="7474" xr:uid="{00000000-0005-0000-0000-0000B8080000}"/>
    <cellStyle name="Komma 8 2 2 2 2" xfId="10229" xr:uid="{00000000-0005-0000-0000-0000B9080000}"/>
    <cellStyle name="Komma 8 2 2 3" xfId="8867" xr:uid="{00000000-0005-0000-0000-0000BA080000}"/>
    <cellStyle name="Komma 8 2 3" xfId="6850" xr:uid="{00000000-0005-0000-0000-0000BB080000}"/>
    <cellStyle name="Komma 8 2 3 2" xfId="9605" xr:uid="{00000000-0005-0000-0000-0000BC080000}"/>
    <cellStyle name="Komma 8 2 4" xfId="8243" xr:uid="{00000000-0005-0000-0000-0000BD080000}"/>
    <cellStyle name="Komma 8 3" xfId="3670" xr:uid="{00000000-0005-0000-0000-0000BE080000}"/>
    <cellStyle name="Komma 8 3 2" xfId="4307" xr:uid="{00000000-0005-0000-0000-0000BF080000}"/>
    <cellStyle name="Komma 8 3 2 2" xfId="7475" xr:uid="{00000000-0005-0000-0000-0000C0080000}"/>
    <cellStyle name="Komma 8 3 2 2 2" xfId="10230" xr:uid="{00000000-0005-0000-0000-0000C1080000}"/>
    <cellStyle name="Komma 8 3 2 3" xfId="8868" xr:uid="{00000000-0005-0000-0000-0000C2080000}"/>
    <cellStyle name="Komma 8 3 3" xfId="6851" xr:uid="{00000000-0005-0000-0000-0000C3080000}"/>
    <cellStyle name="Komma 8 3 3 2" xfId="9606" xr:uid="{00000000-0005-0000-0000-0000C4080000}"/>
    <cellStyle name="Komma 8 3 4" xfId="8244" xr:uid="{00000000-0005-0000-0000-0000C5080000}"/>
    <cellStyle name="Komma 8 4" xfId="4305" xr:uid="{00000000-0005-0000-0000-0000C6080000}"/>
    <cellStyle name="Komma 8 4 2" xfId="7473" xr:uid="{00000000-0005-0000-0000-0000C7080000}"/>
    <cellStyle name="Komma 8 4 2 2" xfId="10228" xr:uid="{00000000-0005-0000-0000-0000C8080000}"/>
    <cellStyle name="Komma 8 4 3" xfId="8866" xr:uid="{00000000-0005-0000-0000-0000C9080000}"/>
    <cellStyle name="Komma 8 5" xfId="6849" xr:uid="{00000000-0005-0000-0000-0000CA080000}"/>
    <cellStyle name="Komma 8 5 2" xfId="9604" xr:uid="{00000000-0005-0000-0000-0000CB080000}"/>
    <cellStyle name="Komma 8 6" xfId="8242" xr:uid="{00000000-0005-0000-0000-0000CC080000}"/>
    <cellStyle name="Komma 9" xfId="3671" xr:uid="{00000000-0005-0000-0000-0000CD080000}"/>
    <cellStyle name="Komma 9 2" xfId="4308" xr:uid="{00000000-0005-0000-0000-0000CE080000}"/>
    <cellStyle name="Komma 9 2 2" xfId="7476" xr:uid="{00000000-0005-0000-0000-0000CF080000}"/>
    <cellStyle name="Komma 9 2 2 2" xfId="10231" xr:uid="{00000000-0005-0000-0000-0000D0080000}"/>
    <cellStyle name="Komma 9 2 3" xfId="8869" xr:uid="{00000000-0005-0000-0000-0000D1080000}"/>
    <cellStyle name="Komma 9 3" xfId="6852" xr:uid="{00000000-0005-0000-0000-0000D2080000}"/>
    <cellStyle name="Komma 9 3 2" xfId="9607" xr:uid="{00000000-0005-0000-0000-0000D3080000}"/>
    <cellStyle name="Komma 9 4" xfId="8245" xr:uid="{00000000-0005-0000-0000-0000D4080000}"/>
    <cellStyle name="Kontrollér celle" xfId="3334" builtinId="23" customBuiltin="1"/>
    <cellStyle name="Link 2" xfId="432" xr:uid="{00000000-0005-0000-0000-0000D6080000}"/>
    <cellStyle name="Link 2 2" xfId="3674" xr:uid="{00000000-0005-0000-0000-0000D7080000}"/>
    <cellStyle name="Link 2 3" xfId="3675" xr:uid="{00000000-0005-0000-0000-0000D8080000}"/>
    <cellStyle name="Link 2 4" xfId="3673" xr:uid="{00000000-0005-0000-0000-0000D9080000}"/>
    <cellStyle name="Link 2 5" xfId="3503" xr:uid="{00000000-0005-0000-0000-0000DA080000}"/>
    <cellStyle name="Link 3" xfId="433" xr:uid="{00000000-0005-0000-0000-0000DB080000}"/>
    <cellStyle name="Link 3 2" xfId="3676" xr:uid="{00000000-0005-0000-0000-0000DC080000}"/>
    <cellStyle name="Link 4" xfId="3672" xr:uid="{00000000-0005-0000-0000-0000DD080000}"/>
    <cellStyle name="Link 5" xfId="3509" xr:uid="{00000000-0005-0000-0000-0000DE080000}"/>
    <cellStyle name="Link 6" xfId="4729" xr:uid="{00000000-0005-0000-0000-0000DF080000}"/>
    <cellStyle name="Linked Cell 2" xfId="3445" xr:uid="{00000000-0005-0000-0000-0000E0080000}"/>
    <cellStyle name="Migliaia [0] 10" xfId="434" xr:uid="{00000000-0005-0000-0000-0000E7080000}"/>
    <cellStyle name="Migliaia [0] 10 2" xfId="2010" xr:uid="{00000000-0005-0000-0000-0000E8080000}"/>
    <cellStyle name="Migliaia [0] 10 2 2" xfId="5309" xr:uid="{00000000-0005-0000-0000-0000E9080000}"/>
    <cellStyle name="Migliaia [0] 10 2 3" xfId="6231" xr:uid="{00000000-0005-0000-0000-0000EA080000}"/>
    <cellStyle name="Migliaia [0] 10 3" xfId="4740" xr:uid="{00000000-0005-0000-0000-0000EB080000}"/>
    <cellStyle name="Migliaia [0] 10 4" xfId="5685" xr:uid="{00000000-0005-0000-0000-0000EC080000}"/>
    <cellStyle name="Migliaia [0] 11" xfId="435" xr:uid="{00000000-0005-0000-0000-0000ED080000}"/>
    <cellStyle name="Migliaia [0] 11 2" xfId="2011" xr:uid="{00000000-0005-0000-0000-0000EE080000}"/>
    <cellStyle name="Migliaia [0] 11 2 2" xfId="5310" xr:uid="{00000000-0005-0000-0000-0000EF080000}"/>
    <cellStyle name="Migliaia [0] 11 2 3" xfId="6232" xr:uid="{00000000-0005-0000-0000-0000F0080000}"/>
    <cellStyle name="Migliaia [0] 11 3" xfId="4741" xr:uid="{00000000-0005-0000-0000-0000F1080000}"/>
    <cellStyle name="Migliaia [0] 11 4" xfId="5686" xr:uid="{00000000-0005-0000-0000-0000F2080000}"/>
    <cellStyle name="Migliaia [0] 12" xfId="436" xr:uid="{00000000-0005-0000-0000-0000F3080000}"/>
    <cellStyle name="Migliaia [0] 12 2" xfId="2012" xr:uid="{00000000-0005-0000-0000-0000F4080000}"/>
    <cellStyle name="Migliaia [0] 12 2 2" xfId="5311" xr:uid="{00000000-0005-0000-0000-0000F5080000}"/>
    <cellStyle name="Migliaia [0] 12 2 3" xfId="6233" xr:uid="{00000000-0005-0000-0000-0000F6080000}"/>
    <cellStyle name="Migliaia [0] 12 3" xfId="4742" xr:uid="{00000000-0005-0000-0000-0000F7080000}"/>
    <cellStyle name="Migliaia [0] 12 4" xfId="5687" xr:uid="{00000000-0005-0000-0000-0000F8080000}"/>
    <cellStyle name="Migliaia [0] 13" xfId="437" xr:uid="{00000000-0005-0000-0000-0000F9080000}"/>
    <cellStyle name="Migliaia [0] 13 2" xfId="2013" xr:uid="{00000000-0005-0000-0000-0000FA080000}"/>
    <cellStyle name="Migliaia [0] 13 2 2" xfId="5312" xr:uid="{00000000-0005-0000-0000-0000FB080000}"/>
    <cellStyle name="Migliaia [0] 13 2 3" xfId="6234" xr:uid="{00000000-0005-0000-0000-0000FC080000}"/>
    <cellStyle name="Migliaia [0] 13 3" xfId="4743" xr:uid="{00000000-0005-0000-0000-0000FD080000}"/>
    <cellStyle name="Migliaia [0] 13 4" xfId="5688" xr:uid="{00000000-0005-0000-0000-0000FE080000}"/>
    <cellStyle name="Migliaia [0] 14" xfId="438" xr:uid="{00000000-0005-0000-0000-0000FF080000}"/>
    <cellStyle name="Migliaia [0] 14 2" xfId="2014" xr:uid="{00000000-0005-0000-0000-000000090000}"/>
    <cellStyle name="Migliaia [0] 14 2 2" xfId="5313" xr:uid="{00000000-0005-0000-0000-000001090000}"/>
    <cellStyle name="Migliaia [0] 14 2 3" xfId="6235" xr:uid="{00000000-0005-0000-0000-000002090000}"/>
    <cellStyle name="Migliaia [0] 14 3" xfId="4744" xr:uid="{00000000-0005-0000-0000-000003090000}"/>
    <cellStyle name="Migliaia [0] 14 4" xfId="5689" xr:uid="{00000000-0005-0000-0000-000004090000}"/>
    <cellStyle name="Migliaia [0] 15" xfId="439" xr:uid="{00000000-0005-0000-0000-000005090000}"/>
    <cellStyle name="Migliaia [0] 15 2" xfId="2015" xr:uid="{00000000-0005-0000-0000-000006090000}"/>
    <cellStyle name="Migliaia [0] 15 2 2" xfId="5314" xr:uid="{00000000-0005-0000-0000-000007090000}"/>
    <cellStyle name="Migliaia [0] 15 2 3" xfId="6236" xr:uid="{00000000-0005-0000-0000-000008090000}"/>
    <cellStyle name="Migliaia [0] 15 3" xfId="4745" xr:uid="{00000000-0005-0000-0000-000009090000}"/>
    <cellStyle name="Migliaia [0] 15 4" xfId="5690" xr:uid="{00000000-0005-0000-0000-00000A090000}"/>
    <cellStyle name="Migliaia [0] 16" xfId="440" xr:uid="{00000000-0005-0000-0000-00000B090000}"/>
    <cellStyle name="Migliaia [0] 16 2" xfId="2016" xr:uid="{00000000-0005-0000-0000-00000C090000}"/>
    <cellStyle name="Migliaia [0] 16 2 2" xfId="5315" xr:uid="{00000000-0005-0000-0000-00000D090000}"/>
    <cellStyle name="Migliaia [0] 16 2 3" xfId="6237" xr:uid="{00000000-0005-0000-0000-00000E090000}"/>
    <cellStyle name="Migliaia [0] 16 3" xfId="4746" xr:uid="{00000000-0005-0000-0000-00000F090000}"/>
    <cellStyle name="Migliaia [0] 16 4" xfId="5691" xr:uid="{00000000-0005-0000-0000-000010090000}"/>
    <cellStyle name="Migliaia [0] 17" xfId="441" xr:uid="{00000000-0005-0000-0000-000011090000}"/>
    <cellStyle name="Migliaia [0] 17 2" xfId="2017" xr:uid="{00000000-0005-0000-0000-000012090000}"/>
    <cellStyle name="Migliaia [0] 17 2 2" xfId="5316" xr:uid="{00000000-0005-0000-0000-000013090000}"/>
    <cellStyle name="Migliaia [0] 17 2 3" xfId="6238" xr:uid="{00000000-0005-0000-0000-000014090000}"/>
    <cellStyle name="Migliaia [0] 17 3" xfId="4747" xr:uid="{00000000-0005-0000-0000-000015090000}"/>
    <cellStyle name="Migliaia [0] 17 4" xfId="5692" xr:uid="{00000000-0005-0000-0000-000016090000}"/>
    <cellStyle name="Migliaia [0] 18" xfId="442" xr:uid="{00000000-0005-0000-0000-000017090000}"/>
    <cellStyle name="Migliaia [0] 18 2" xfId="2018" xr:uid="{00000000-0005-0000-0000-000018090000}"/>
    <cellStyle name="Migliaia [0] 18 2 2" xfId="5317" xr:uid="{00000000-0005-0000-0000-000019090000}"/>
    <cellStyle name="Migliaia [0] 18 2 3" xfId="6239" xr:uid="{00000000-0005-0000-0000-00001A090000}"/>
    <cellStyle name="Migliaia [0] 18 3" xfId="4748" xr:uid="{00000000-0005-0000-0000-00001B090000}"/>
    <cellStyle name="Migliaia [0] 18 4" xfId="5693" xr:uid="{00000000-0005-0000-0000-00001C090000}"/>
    <cellStyle name="Migliaia [0] 19" xfId="443" xr:uid="{00000000-0005-0000-0000-00001D090000}"/>
    <cellStyle name="Migliaia [0] 19 2" xfId="2019" xr:uid="{00000000-0005-0000-0000-00001E090000}"/>
    <cellStyle name="Migliaia [0] 19 2 2" xfId="5318" xr:uid="{00000000-0005-0000-0000-00001F090000}"/>
    <cellStyle name="Migliaia [0] 19 2 3" xfId="6240" xr:uid="{00000000-0005-0000-0000-000020090000}"/>
    <cellStyle name="Migliaia [0] 19 3" xfId="4749" xr:uid="{00000000-0005-0000-0000-000021090000}"/>
    <cellStyle name="Migliaia [0] 19 4" xfId="5694" xr:uid="{00000000-0005-0000-0000-000022090000}"/>
    <cellStyle name="Migliaia [0] 2" xfId="444" xr:uid="{00000000-0005-0000-0000-000023090000}"/>
    <cellStyle name="Migliaia [0] 2 2" xfId="2020" xr:uid="{00000000-0005-0000-0000-000024090000}"/>
    <cellStyle name="Migliaia [0] 2 2 2" xfId="5319" xr:uid="{00000000-0005-0000-0000-000025090000}"/>
    <cellStyle name="Migliaia [0] 2 2 3" xfId="6241" xr:uid="{00000000-0005-0000-0000-000026090000}"/>
    <cellStyle name="Migliaia [0] 2 3" xfId="4750" xr:uid="{00000000-0005-0000-0000-000027090000}"/>
    <cellStyle name="Migliaia [0] 2 4" xfId="5695" xr:uid="{00000000-0005-0000-0000-000028090000}"/>
    <cellStyle name="Migliaia [0] 20" xfId="445" xr:uid="{00000000-0005-0000-0000-000029090000}"/>
    <cellStyle name="Migliaia [0] 20 2" xfId="2021" xr:uid="{00000000-0005-0000-0000-00002A090000}"/>
    <cellStyle name="Migliaia [0] 20 2 2" xfId="5320" xr:uid="{00000000-0005-0000-0000-00002B090000}"/>
    <cellStyle name="Migliaia [0] 20 2 3" xfId="6242" xr:uid="{00000000-0005-0000-0000-00002C090000}"/>
    <cellStyle name="Migliaia [0] 20 3" xfId="4751" xr:uid="{00000000-0005-0000-0000-00002D090000}"/>
    <cellStyle name="Migliaia [0] 20 4" xfId="5696" xr:uid="{00000000-0005-0000-0000-00002E090000}"/>
    <cellStyle name="Migliaia [0] 21" xfId="446" xr:uid="{00000000-0005-0000-0000-00002F090000}"/>
    <cellStyle name="Migliaia [0] 21 2" xfId="2022" xr:uid="{00000000-0005-0000-0000-000030090000}"/>
    <cellStyle name="Migliaia [0] 21 2 2" xfId="5321" xr:uid="{00000000-0005-0000-0000-000031090000}"/>
    <cellStyle name="Migliaia [0] 21 2 3" xfId="6243" xr:uid="{00000000-0005-0000-0000-000032090000}"/>
    <cellStyle name="Migliaia [0] 21 3" xfId="4752" xr:uid="{00000000-0005-0000-0000-000033090000}"/>
    <cellStyle name="Migliaia [0] 21 4" xfId="5697" xr:uid="{00000000-0005-0000-0000-000034090000}"/>
    <cellStyle name="Migliaia [0] 22" xfId="447" xr:uid="{00000000-0005-0000-0000-000035090000}"/>
    <cellStyle name="Migliaia [0] 22 2" xfId="2023" xr:uid="{00000000-0005-0000-0000-000036090000}"/>
    <cellStyle name="Migliaia [0] 22 2 2" xfId="5322" xr:uid="{00000000-0005-0000-0000-000037090000}"/>
    <cellStyle name="Migliaia [0] 22 2 3" xfId="6244" xr:uid="{00000000-0005-0000-0000-000038090000}"/>
    <cellStyle name="Migliaia [0] 22 3" xfId="4753" xr:uid="{00000000-0005-0000-0000-000039090000}"/>
    <cellStyle name="Migliaia [0] 22 4" xfId="5698" xr:uid="{00000000-0005-0000-0000-00003A090000}"/>
    <cellStyle name="Migliaia [0] 23" xfId="448" xr:uid="{00000000-0005-0000-0000-00003B090000}"/>
    <cellStyle name="Migliaia [0] 23 2" xfId="2024" xr:uid="{00000000-0005-0000-0000-00003C090000}"/>
    <cellStyle name="Migliaia [0] 23 2 2" xfId="5323" xr:uid="{00000000-0005-0000-0000-00003D090000}"/>
    <cellStyle name="Migliaia [0] 23 2 3" xfId="6245" xr:uid="{00000000-0005-0000-0000-00003E090000}"/>
    <cellStyle name="Migliaia [0] 23 3" xfId="4754" xr:uid="{00000000-0005-0000-0000-00003F090000}"/>
    <cellStyle name="Migliaia [0] 23 4" xfId="5699" xr:uid="{00000000-0005-0000-0000-000040090000}"/>
    <cellStyle name="Migliaia [0] 24" xfId="449" xr:uid="{00000000-0005-0000-0000-000041090000}"/>
    <cellStyle name="Migliaia [0] 24 2" xfId="2025" xr:uid="{00000000-0005-0000-0000-000042090000}"/>
    <cellStyle name="Migliaia [0] 24 2 2" xfId="5324" xr:uid="{00000000-0005-0000-0000-000043090000}"/>
    <cellStyle name="Migliaia [0] 24 2 3" xfId="6246" xr:uid="{00000000-0005-0000-0000-000044090000}"/>
    <cellStyle name="Migliaia [0] 24 3" xfId="4755" xr:uid="{00000000-0005-0000-0000-000045090000}"/>
    <cellStyle name="Migliaia [0] 24 4" xfId="5700" xr:uid="{00000000-0005-0000-0000-000046090000}"/>
    <cellStyle name="Migliaia [0] 25" xfId="450" xr:uid="{00000000-0005-0000-0000-000047090000}"/>
    <cellStyle name="Migliaia [0] 25 2" xfId="2026" xr:uid="{00000000-0005-0000-0000-000048090000}"/>
    <cellStyle name="Migliaia [0] 25 2 2" xfId="5325" xr:uid="{00000000-0005-0000-0000-000049090000}"/>
    <cellStyle name="Migliaia [0] 25 2 3" xfId="6247" xr:uid="{00000000-0005-0000-0000-00004A090000}"/>
    <cellStyle name="Migliaia [0] 25 3" xfId="4756" xr:uid="{00000000-0005-0000-0000-00004B090000}"/>
    <cellStyle name="Migliaia [0] 25 4" xfId="5701" xr:uid="{00000000-0005-0000-0000-00004C090000}"/>
    <cellStyle name="Migliaia [0] 26" xfId="451" xr:uid="{00000000-0005-0000-0000-00004D090000}"/>
    <cellStyle name="Migliaia [0] 26 2" xfId="2027" xr:uid="{00000000-0005-0000-0000-00004E090000}"/>
    <cellStyle name="Migliaia [0] 26 2 2" xfId="5326" xr:uid="{00000000-0005-0000-0000-00004F090000}"/>
    <cellStyle name="Migliaia [0] 26 2 3" xfId="6248" xr:uid="{00000000-0005-0000-0000-000050090000}"/>
    <cellStyle name="Migliaia [0] 26 3" xfId="4757" xr:uid="{00000000-0005-0000-0000-000051090000}"/>
    <cellStyle name="Migliaia [0] 26 4" xfId="5702" xr:uid="{00000000-0005-0000-0000-000052090000}"/>
    <cellStyle name="Migliaia [0] 27" xfId="452" xr:uid="{00000000-0005-0000-0000-000053090000}"/>
    <cellStyle name="Migliaia [0] 27 2" xfId="2028" xr:uid="{00000000-0005-0000-0000-000054090000}"/>
    <cellStyle name="Migliaia [0] 27 2 2" xfId="5327" xr:uid="{00000000-0005-0000-0000-000055090000}"/>
    <cellStyle name="Migliaia [0] 27 2 3" xfId="6249" xr:uid="{00000000-0005-0000-0000-000056090000}"/>
    <cellStyle name="Migliaia [0] 27 3" xfId="4758" xr:uid="{00000000-0005-0000-0000-000057090000}"/>
    <cellStyle name="Migliaia [0] 27 4" xfId="5703" xr:uid="{00000000-0005-0000-0000-000058090000}"/>
    <cellStyle name="Migliaia [0] 28" xfId="453" xr:uid="{00000000-0005-0000-0000-000059090000}"/>
    <cellStyle name="Migliaia [0] 28 2" xfId="2029" xr:uid="{00000000-0005-0000-0000-00005A090000}"/>
    <cellStyle name="Migliaia [0] 28 2 2" xfId="5328" xr:uid="{00000000-0005-0000-0000-00005B090000}"/>
    <cellStyle name="Migliaia [0] 28 2 3" xfId="6250" xr:uid="{00000000-0005-0000-0000-00005C090000}"/>
    <cellStyle name="Migliaia [0] 28 3" xfId="4759" xr:uid="{00000000-0005-0000-0000-00005D090000}"/>
    <cellStyle name="Migliaia [0] 28 4" xfId="5704" xr:uid="{00000000-0005-0000-0000-00005E090000}"/>
    <cellStyle name="Migliaia [0] 29" xfId="454" xr:uid="{00000000-0005-0000-0000-00005F090000}"/>
    <cellStyle name="Migliaia [0] 29 2" xfId="2030" xr:uid="{00000000-0005-0000-0000-000060090000}"/>
    <cellStyle name="Migliaia [0] 29 2 2" xfId="5329" xr:uid="{00000000-0005-0000-0000-000061090000}"/>
    <cellStyle name="Migliaia [0] 29 2 3" xfId="6251" xr:uid="{00000000-0005-0000-0000-000062090000}"/>
    <cellStyle name="Migliaia [0] 29 3" xfId="4760" xr:uid="{00000000-0005-0000-0000-000063090000}"/>
    <cellStyle name="Migliaia [0] 29 4" xfId="5705" xr:uid="{00000000-0005-0000-0000-000064090000}"/>
    <cellStyle name="Migliaia [0] 3" xfId="455" xr:uid="{00000000-0005-0000-0000-000065090000}"/>
    <cellStyle name="Migliaia [0] 3 2" xfId="2031" xr:uid="{00000000-0005-0000-0000-000066090000}"/>
    <cellStyle name="Migliaia [0] 3 2 2" xfId="5330" xr:uid="{00000000-0005-0000-0000-000067090000}"/>
    <cellStyle name="Migliaia [0] 3 2 3" xfId="6252" xr:uid="{00000000-0005-0000-0000-000068090000}"/>
    <cellStyle name="Migliaia [0] 3 3" xfId="4761" xr:uid="{00000000-0005-0000-0000-000069090000}"/>
    <cellStyle name="Migliaia [0] 3 4" xfId="5706" xr:uid="{00000000-0005-0000-0000-00006A090000}"/>
    <cellStyle name="Migliaia [0] 30" xfId="456" xr:uid="{00000000-0005-0000-0000-00006B090000}"/>
    <cellStyle name="Migliaia [0] 30 2" xfId="2032" xr:uid="{00000000-0005-0000-0000-00006C090000}"/>
    <cellStyle name="Migliaia [0] 30 2 2" xfId="5331" xr:uid="{00000000-0005-0000-0000-00006D090000}"/>
    <cellStyle name="Migliaia [0] 30 2 3" xfId="6253" xr:uid="{00000000-0005-0000-0000-00006E090000}"/>
    <cellStyle name="Migliaia [0] 30 3" xfId="4762" xr:uid="{00000000-0005-0000-0000-00006F090000}"/>
    <cellStyle name="Migliaia [0] 30 4" xfId="5707" xr:uid="{00000000-0005-0000-0000-000070090000}"/>
    <cellStyle name="Migliaia [0] 31" xfId="457" xr:uid="{00000000-0005-0000-0000-000071090000}"/>
    <cellStyle name="Migliaia [0] 31 2" xfId="2033" xr:uid="{00000000-0005-0000-0000-000072090000}"/>
    <cellStyle name="Migliaia [0] 31 2 2" xfId="5332" xr:uid="{00000000-0005-0000-0000-000073090000}"/>
    <cellStyle name="Migliaia [0] 31 2 3" xfId="6254" xr:uid="{00000000-0005-0000-0000-000074090000}"/>
    <cellStyle name="Migliaia [0] 31 3" xfId="4763" xr:uid="{00000000-0005-0000-0000-000075090000}"/>
    <cellStyle name="Migliaia [0] 31 4" xfId="5708" xr:uid="{00000000-0005-0000-0000-000076090000}"/>
    <cellStyle name="Migliaia [0] 32" xfId="458" xr:uid="{00000000-0005-0000-0000-000077090000}"/>
    <cellStyle name="Migliaia [0] 32 2" xfId="2034" xr:uid="{00000000-0005-0000-0000-000078090000}"/>
    <cellStyle name="Migliaia [0] 32 2 2" xfId="5333" xr:uid="{00000000-0005-0000-0000-000079090000}"/>
    <cellStyle name="Migliaia [0] 32 2 3" xfId="6255" xr:uid="{00000000-0005-0000-0000-00007A090000}"/>
    <cellStyle name="Migliaia [0] 32 3" xfId="4764" xr:uid="{00000000-0005-0000-0000-00007B090000}"/>
    <cellStyle name="Migliaia [0] 32 4" xfId="5709" xr:uid="{00000000-0005-0000-0000-00007C090000}"/>
    <cellStyle name="Migliaia [0] 33" xfId="459" xr:uid="{00000000-0005-0000-0000-00007D090000}"/>
    <cellStyle name="Migliaia [0] 33 2" xfId="2035" xr:uid="{00000000-0005-0000-0000-00007E090000}"/>
    <cellStyle name="Migliaia [0] 33 2 2" xfId="5334" xr:uid="{00000000-0005-0000-0000-00007F090000}"/>
    <cellStyle name="Migliaia [0] 33 2 3" xfId="6256" xr:uid="{00000000-0005-0000-0000-000080090000}"/>
    <cellStyle name="Migliaia [0] 33 3" xfId="4765" xr:uid="{00000000-0005-0000-0000-000081090000}"/>
    <cellStyle name="Migliaia [0] 33 4" xfId="5710" xr:uid="{00000000-0005-0000-0000-000082090000}"/>
    <cellStyle name="Migliaia [0] 34" xfId="460" xr:uid="{00000000-0005-0000-0000-000083090000}"/>
    <cellStyle name="Migliaia [0] 34 2" xfId="2036" xr:uid="{00000000-0005-0000-0000-000084090000}"/>
    <cellStyle name="Migliaia [0] 34 2 2" xfId="5335" xr:uid="{00000000-0005-0000-0000-000085090000}"/>
    <cellStyle name="Migliaia [0] 34 2 3" xfId="6257" xr:uid="{00000000-0005-0000-0000-000086090000}"/>
    <cellStyle name="Migliaia [0] 34 3" xfId="4766" xr:uid="{00000000-0005-0000-0000-000087090000}"/>
    <cellStyle name="Migliaia [0] 34 4" xfId="5711" xr:uid="{00000000-0005-0000-0000-000088090000}"/>
    <cellStyle name="Migliaia [0] 35" xfId="461" xr:uid="{00000000-0005-0000-0000-000089090000}"/>
    <cellStyle name="Migliaia [0] 35 2" xfId="2037" xr:uid="{00000000-0005-0000-0000-00008A090000}"/>
    <cellStyle name="Migliaia [0] 35 2 2" xfId="5336" xr:uid="{00000000-0005-0000-0000-00008B090000}"/>
    <cellStyle name="Migliaia [0] 35 2 3" xfId="6258" xr:uid="{00000000-0005-0000-0000-00008C090000}"/>
    <cellStyle name="Migliaia [0] 35 3" xfId="4767" xr:uid="{00000000-0005-0000-0000-00008D090000}"/>
    <cellStyle name="Migliaia [0] 35 4" xfId="5712" xr:uid="{00000000-0005-0000-0000-00008E090000}"/>
    <cellStyle name="Migliaia [0] 36" xfId="462" xr:uid="{00000000-0005-0000-0000-00008F090000}"/>
    <cellStyle name="Migliaia [0] 36 2" xfId="2038" xr:uid="{00000000-0005-0000-0000-000090090000}"/>
    <cellStyle name="Migliaia [0] 36 2 2" xfId="5337" xr:uid="{00000000-0005-0000-0000-000091090000}"/>
    <cellStyle name="Migliaia [0] 36 2 3" xfId="6259" xr:uid="{00000000-0005-0000-0000-000092090000}"/>
    <cellStyle name="Migliaia [0] 36 3" xfId="4768" xr:uid="{00000000-0005-0000-0000-000093090000}"/>
    <cellStyle name="Migliaia [0] 36 4" xfId="5713" xr:uid="{00000000-0005-0000-0000-000094090000}"/>
    <cellStyle name="Migliaia [0] 37" xfId="463" xr:uid="{00000000-0005-0000-0000-000095090000}"/>
    <cellStyle name="Migliaia [0] 37 2" xfId="2039" xr:uid="{00000000-0005-0000-0000-000096090000}"/>
    <cellStyle name="Migliaia [0] 37 2 2" xfId="5338" xr:uid="{00000000-0005-0000-0000-000097090000}"/>
    <cellStyle name="Migliaia [0] 37 2 3" xfId="6260" xr:uid="{00000000-0005-0000-0000-000098090000}"/>
    <cellStyle name="Migliaia [0] 37 3" xfId="4769" xr:uid="{00000000-0005-0000-0000-000099090000}"/>
    <cellStyle name="Migliaia [0] 37 4" xfId="5714" xr:uid="{00000000-0005-0000-0000-00009A090000}"/>
    <cellStyle name="Migliaia [0] 38" xfId="464" xr:uid="{00000000-0005-0000-0000-00009B090000}"/>
    <cellStyle name="Migliaia [0] 38 2" xfId="2040" xr:uid="{00000000-0005-0000-0000-00009C090000}"/>
    <cellStyle name="Migliaia [0] 38 2 2" xfId="5339" xr:uid="{00000000-0005-0000-0000-00009D090000}"/>
    <cellStyle name="Migliaia [0] 38 2 3" xfId="6261" xr:uid="{00000000-0005-0000-0000-00009E090000}"/>
    <cellStyle name="Migliaia [0] 38 3" xfId="4770" xr:uid="{00000000-0005-0000-0000-00009F090000}"/>
    <cellStyle name="Migliaia [0] 38 4" xfId="5715" xr:uid="{00000000-0005-0000-0000-0000A0090000}"/>
    <cellStyle name="Migliaia [0] 39" xfId="465" xr:uid="{00000000-0005-0000-0000-0000A1090000}"/>
    <cellStyle name="Migliaia [0] 39 2" xfId="2041" xr:uid="{00000000-0005-0000-0000-0000A2090000}"/>
    <cellStyle name="Migliaia [0] 39 2 2" xfId="5340" xr:uid="{00000000-0005-0000-0000-0000A3090000}"/>
    <cellStyle name="Migliaia [0] 39 2 3" xfId="6262" xr:uid="{00000000-0005-0000-0000-0000A4090000}"/>
    <cellStyle name="Migliaia [0] 39 3" xfId="4771" xr:uid="{00000000-0005-0000-0000-0000A5090000}"/>
    <cellStyle name="Migliaia [0] 39 4" xfId="5716" xr:uid="{00000000-0005-0000-0000-0000A6090000}"/>
    <cellStyle name="Migliaia [0] 4" xfId="466" xr:uid="{00000000-0005-0000-0000-0000A7090000}"/>
    <cellStyle name="Migliaia [0] 4 2" xfId="2042" xr:uid="{00000000-0005-0000-0000-0000A8090000}"/>
    <cellStyle name="Migliaia [0] 4 2 2" xfId="5341" xr:uid="{00000000-0005-0000-0000-0000A9090000}"/>
    <cellStyle name="Migliaia [0] 4 2 3" xfId="6263" xr:uid="{00000000-0005-0000-0000-0000AA090000}"/>
    <cellStyle name="Migliaia [0] 4 3" xfId="4772" xr:uid="{00000000-0005-0000-0000-0000AB090000}"/>
    <cellStyle name="Migliaia [0] 4 4" xfId="5717" xr:uid="{00000000-0005-0000-0000-0000AC090000}"/>
    <cellStyle name="Migliaia [0] 40" xfId="467" xr:uid="{00000000-0005-0000-0000-0000AD090000}"/>
    <cellStyle name="Migliaia [0] 40 2" xfId="2043" xr:uid="{00000000-0005-0000-0000-0000AE090000}"/>
    <cellStyle name="Migliaia [0] 40 2 2" xfId="5342" xr:uid="{00000000-0005-0000-0000-0000AF090000}"/>
    <cellStyle name="Migliaia [0] 40 2 3" xfId="6264" xr:uid="{00000000-0005-0000-0000-0000B0090000}"/>
    <cellStyle name="Migliaia [0] 40 3" xfId="4773" xr:uid="{00000000-0005-0000-0000-0000B1090000}"/>
    <cellStyle name="Migliaia [0] 40 4" xfId="5718" xr:uid="{00000000-0005-0000-0000-0000B2090000}"/>
    <cellStyle name="Migliaia [0] 41" xfId="468" xr:uid="{00000000-0005-0000-0000-0000B3090000}"/>
    <cellStyle name="Migliaia [0] 41 2" xfId="2044" xr:uid="{00000000-0005-0000-0000-0000B4090000}"/>
    <cellStyle name="Migliaia [0] 41 2 2" xfId="5343" xr:uid="{00000000-0005-0000-0000-0000B5090000}"/>
    <cellStyle name="Migliaia [0] 41 2 3" xfId="6265" xr:uid="{00000000-0005-0000-0000-0000B6090000}"/>
    <cellStyle name="Migliaia [0] 41 3" xfId="4774" xr:uid="{00000000-0005-0000-0000-0000B7090000}"/>
    <cellStyle name="Migliaia [0] 41 4" xfId="5719" xr:uid="{00000000-0005-0000-0000-0000B8090000}"/>
    <cellStyle name="Migliaia [0] 42" xfId="469" xr:uid="{00000000-0005-0000-0000-0000B9090000}"/>
    <cellStyle name="Migliaia [0] 42 2" xfId="2045" xr:uid="{00000000-0005-0000-0000-0000BA090000}"/>
    <cellStyle name="Migliaia [0] 42 2 2" xfId="5344" xr:uid="{00000000-0005-0000-0000-0000BB090000}"/>
    <cellStyle name="Migliaia [0] 42 2 3" xfId="6266" xr:uid="{00000000-0005-0000-0000-0000BC090000}"/>
    <cellStyle name="Migliaia [0] 42 3" xfId="4775" xr:uid="{00000000-0005-0000-0000-0000BD090000}"/>
    <cellStyle name="Migliaia [0] 42 4" xfId="5720" xr:uid="{00000000-0005-0000-0000-0000BE090000}"/>
    <cellStyle name="Migliaia [0] 43" xfId="470" xr:uid="{00000000-0005-0000-0000-0000BF090000}"/>
    <cellStyle name="Migliaia [0] 43 2" xfId="2046" xr:uid="{00000000-0005-0000-0000-0000C0090000}"/>
    <cellStyle name="Migliaia [0] 43 2 2" xfId="5345" xr:uid="{00000000-0005-0000-0000-0000C1090000}"/>
    <cellStyle name="Migliaia [0] 43 2 3" xfId="6267" xr:uid="{00000000-0005-0000-0000-0000C2090000}"/>
    <cellStyle name="Migliaia [0] 43 3" xfId="4776" xr:uid="{00000000-0005-0000-0000-0000C3090000}"/>
    <cellStyle name="Migliaia [0] 43 4" xfId="5721" xr:uid="{00000000-0005-0000-0000-0000C4090000}"/>
    <cellStyle name="Migliaia [0] 44" xfId="471" xr:uid="{00000000-0005-0000-0000-0000C5090000}"/>
    <cellStyle name="Migliaia [0] 44 2" xfId="2047" xr:uid="{00000000-0005-0000-0000-0000C6090000}"/>
    <cellStyle name="Migliaia [0] 44 2 2" xfId="5346" xr:uid="{00000000-0005-0000-0000-0000C7090000}"/>
    <cellStyle name="Migliaia [0] 44 2 3" xfId="6268" xr:uid="{00000000-0005-0000-0000-0000C8090000}"/>
    <cellStyle name="Migliaia [0] 44 3" xfId="4777" xr:uid="{00000000-0005-0000-0000-0000C9090000}"/>
    <cellStyle name="Migliaia [0] 44 4" xfId="5722" xr:uid="{00000000-0005-0000-0000-0000CA090000}"/>
    <cellStyle name="Migliaia [0] 45" xfId="472" xr:uid="{00000000-0005-0000-0000-0000CB090000}"/>
    <cellStyle name="Migliaia [0] 45 2" xfId="2048" xr:uid="{00000000-0005-0000-0000-0000CC090000}"/>
    <cellStyle name="Migliaia [0] 45 2 2" xfId="5347" xr:uid="{00000000-0005-0000-0000-0000CD090000}"/>
    <cellStyle name="Migliaia [0] 45 2 3" xfId="6269" xr:uid="{00000000-0005-0000-0000-0000CE090000}"/>
    <cellStyle name="Migliaia [0] 45 3" xfId="4778" xr:uid="{00000000-0005-0000-0000-0000CF090000}"/>
    <cellStyle name="Migliaia [0] 45 4" xfId="5723" xr:uid="{00000000-0005-0000-0000-0000D0090000}"/>
    <cellStyle name="Migliaia [0] 46" xfId="473" xr:uid="{00000000-0005-0000-0000-0000D1090000}"/>
    <cellStyle name="Migliaia [0] 46 2" xfId="2049" xr:uid="{00000000-0005-0000-0000-0000D2090000}"/>
    <cellStyle name="Migliaia [0] 46 2 2" xfId="5348" xr:uid="{00000000-0005-0000-0000-0000D3090000}"/>
    <cellStyle name="Migliaia [0] 46 2 3" xfId="6270" xr:uid="{00000000-0005-0000-0000-0000D4090000}"/>
    <cellStyle name="Migliaia [0] 46 3" xfId="4779" xr:uid="{00000000-0005-0000-0000-0000D5090000}"/>
    <cellStyle name="Migliaia [0] 46 4" xfId="5724" xr:uid="{00000000-0005-0000-0000-0000D6090000}"/>
    <cellStyle name="Migliaia [0] 47" xfId="474" xr:uid="{00000000-0005-0000-0000-0000D7090000}"/>
    <cellStyle name="Migliaia [0] 47 2" xfId="2050" xr:uid="{00000000-0005-0000-0000-0000D8090000}"/>
    <cellStyle name="Migliaia [0] 47 2 2" xfId="5349" xr:uid="{00000000-0005-0000-0000-0000D9090000}"/>
    <cellStyle name="Migliaia [0] 47 2 3" xfId="6271" xr:uid="{00000000-0005-0000-0000-0000DA090000}"/>
    <cellStyle name="Migliaia [0] 47 3" xfId="4780" xr:uid="{00000000-0005-0000-0000-0000DB090000}"/>
    <cellStyle name="Migliaia [0] 47 4" xfId="5725" xr:uid="{00000000-0005-0000-0000-0000DC090000}"/>
    <cellStyle name="Migliaia [0] 48" xfId="475" xr:uid="{00000000-0005-0000-0000-0000DD090000}"/>
    <cellStyle name="Migliaia [0] 48 2" xfId="2051" xr:uid="{00000000-0005-0000-0000-0000DE090000}"/>
    <cellStyle name="Migliaia [0] 48 2 2" xfId="5350" xr:uid="{00000000-0005-0000-0000-0000DF090000}"/>
    <cellStyle name="Migliaia [0] 48 2 3" xfId="6272" xr:uid="{00000000-0005-0000-0000-0000E0090000}"/>
    <cellStyle name="Migliaia [0] 48 3" xfId="4781" xr:uid="{00000000-0005-0000-0000-0000E1090000}"/>
    <cellStyle name="Migliaia [0] 48 4" xfId="5726" xr:uid="{00000000-0005-0000-0000-0000E2090000}"/>
    <cellStyle name="Migliaia [0] 49" xfId="476" xr:uid="{00000000-0005-0000-0000-0000E3090000}"/>
    <cellStyle name="Migliaia [0] 49 2" xfId="2052" xr:uid="{00000000-0005-0000-0000-0000E4090000}"/>
    <cellStyle name="Migliaia [0] 49 2 2" xfId="5351" xr:uid="{00000000-0005-0000-0000-0000E5090000}"/>
    <cellStyle name="Migliaia [0] 49 2 3" xfId="6273" xr:uid="{00000000-0005-0000-0000-0000E6090000}"/>
    <cellStyle name="Migliaia [0] 49 3" xfId="4782" xr:uid="{00000000-0005-0000-0000-0000E7090000}"/>
    <cellStyle name="Migliaia [0] 49 4" xfId="5727" xr:uid="{00000000-0005-0000-0000-0000E8090000}"/>
    <cellStyle name="Migliaia [0] 5" xfId="477" xr:uid="{00000000-0005-0000-0000-0000E9090000}"/>
    <cellStyle name="Migliaia [0] 5 2" xfId="2053" xr:uid="{00000000-0005-0000-0000-0000EA090000}"/>
    <cellStyle name="Migliaia [0] 5 2 2" xfId="5352" xr:uid="{00000000-0005-0000-0000-0000EB090000}"/>
    <cellStyle name="Migliaia [0] 5 2 3" xfId="6274" xr:uid="{00000000-0005-0000-0000-0000EC090000}"/>
    <cellStyle name="Migliaia [0] 5 3" xfId="4783" xr:uid="{00000000-0005-0000-0000-0000ED090000}"/>
    <cellStyle name="Migliaia [0] 5 4" xfId="5728" xr:uid="{00000000-0005-0000-0000-0000EE090000}"/>
    <cellStyle name="Migliaia [0] 50" xfId="478" xr:uid="{00000000-0005-0000-0000-0000EF090000}"/>
    <cellStyle name="Migliaia [0] 50 2" xfId="2054" xr:uid="{00000000-0005-0000-0000-0000F0090000}"/>
    <cellStyle name="Migliaia [0] 50 2 2" xfId="5353" xr:uid="{00000000-0005-0000-0000-0000F1090000}"/>
    <cellStyle name="Migliaia [0] 50 2 3" xfId="6275" xr:uid="{00000000-0005-0000-0000-0000F2090000}"/>
    <cellStyle name="Migliaia [0] 50 3" xfId="4784" xr:uid="{00000000-0005-0000-0000-0000F3090000}"/>
    <cellStyle name="Migliaia [0] 50 4" xfId="5729" xr:uid="{00000000-0005-0000-0000-0000F4090000}"/>
    <cellStyle name="Migliaia [0] 51" xfId="479" xr:uid="{00000000-0005-0000-0000-0000F5090000}"/>
    <cellStyle name="Migliaia [0] 51 2" xfId="2055" xr:uid="{00000000-0005-0000-0000-0000F6090000}"/>
    <cellStyle name="Migliaia [0] 51 2 2" xfId="5354" xr:uid="{00000000-0005-0000-0000-0000F7090000}"/>
    <cellStyle name="Migliaia [0] 51 2 3" xfId="6276" xr:uid="{00000000-0005-0000-0000-0000F8090000}"/>
    <cellStyle name="Migliaia [0] 51 3" xfId="4785" xr:uid="{00000000-0005-0000-0000-0000F9090000}"/>
    <cellStyle name="Migliaia [0] 51 4" xfId="5730" xr:uid="{00000000-0005-0000-0000-0000FA090000}"/>
    <cellStyle name="Migliaia [0] 52" xfId="480" xr:uid="{00000000-0005-0000-0000-0000FB090000}"/>
    <cellStyle name="Migliaia [0] 52 2" xfId="2056" xr:uid="{00000000-0005-0000-0000-0000FC090000}"/>
    <cellStyle name="Migliaia [0] 52 2 2" xfId="5355" xr:uid="{00000000-0005-0000-0000-0000FD090000}"/>
    <cellStyle name="Migliaia [0] 52 2 3" xfId="6277" xr:uid="{00000000-0005-0000-0000-0000FE090000}"/>
    <cellStyle name="Migliaia [0] 52 3" xfId="4786" xr:uid="{00000000-0005-0000-0000-0000FF090000}"/>
    <cellStyle name="Migliaia [0] 52 4" xfId="5731" xr:uid="{00000000-0005-0000-0000-0000000A0000}"/>
    <cellStyle name="Migliaia [0] 53" xfId="481" xr:uid="{00000000-0005-0000-0000-0000010A0000}"/>
    <cellStyle name="Migliaia [0] 53 2" xfId="2057" xr:uid="{00000000-0005-0000-0000-0000020A0000}"/>
    <cellStyle name="Migliaia [0] 53 2 2" xfId="5356" xr:uid="{00000000-0005-0000-0000-0000030A0000}"/>
    <cellStyle name="Migliaia [0] 53 2 3" xfId="6278" xr:uid="{00000000-0005-0000-0000-0000040A0000}"/>
    <cellStyle name="Migliaia [0] 53 3" xfId="4787" xr:uid="{00000000-0005-0000-0000-0000050A0000}"/>
    <cellStyle name="Migliaia [0] 53 4" xfId="5732" xr:uid="{00000000-0005-0000-0000-0000060A0000}"/>
    <cellStyle name="Migliaia [0] 54" xfId="482" xr:uid="{00000000-0005-0000-0000-0000070A0000}"/>
    <cellStyle name="Migliaia [0] 54 2" xfId="2058" xr:uid="{00000000-0005-0000-0000-0000080A0000}"/>
    <cellStyle name="Migliaia [0] 54 2 2" xfId="5357" xr:uid="{00000000-0005-0000-0000-0000090A0000}"/>
    <cellStyle name="Migliaia [0] 54 2 3" xfId="6279" xr:uid="{00000000-0005-0000-0000-00000A0A0000}"/>
    <cellStyle name="Migliaia [0] 54 3" xfId="4788" xr:uid="{00000000-0005-0000-0000-00000B0A0000}"/>
    <cellStyle name="Migliaia [0] 54 4" xfId="5733" xr:uid="{00000000-0005-0000-0000-00000C0A0000}"/>
    <cellStyle name="Migliaia [0] 55" xfId="483" xr:uid="{00000000-0005-0000-0000-00000D0A0000}"/>
    <cellStyle name="Migliaia [0] 55 2" xfId="2059" xr:uid="{00000000-0005-0000-0000-00000E0A0000}"/>
    <cellStyle name="Migliaia [0] 55 2 2" xfId="5358" xr:uid="{00000000-0005-0000-0000-00000F0A0000}"/>
    <cellStyle name="Migliaia [0] 55 2 3" xfId="6280" xr:uid="{00000000-0005-0000-0000-0000100A0000}"/>
    <cellStyle name="Migliaia [0] 55 3" xfId="4789" xr:uid="{00000000-0005-0000-0000-0000110A0000}"/>
    <cellStyle name="Migliaia [0] 55 4" xfId="5734" xr:uid="{00000000-0005-0000-0000-0000120A0000}"/>
    <cellStyle name="Migliaia [0] 56" xfId="484" xr:uid="{00000000-0005-0000-0000-0000130A0000}"/>
    <cellStyle name="Migliaia [0] 56 2" xfId="2060" xr:uid="{00000000-0005-0000-0000-0000140A0000}"/>
    <cellStyle name="Migliaia [0] 56 2 2" xfId="5359" xr:uid="{00000000-0005-0000-0000-0000150A0000}"/>
    <cellStyle name="Migliaia [0] 56 2 3" xfId="6281" xr:uid="{00000000-0005-0000-0000-0000160A0000}"/>
    <cellStyle name="Migliaia [0] 56 3" xfId="4790" xr:uid="{00000000-0005-0000-0000-0000170A0000}"/>
    <cellStyle name="Migliaia [0] 56 4" xfId="5735" xr:uid="{00000000-0005-0000-0000-0000180A0000}"/>
    <cellStyle name="Migliaia [0] 57" xfId="485" xr:uid="{00000000-0005-0000-0000-0000190A0000}"/>
    <cellStyle name="Migliaia [0] 57 2" xfId="2061" xr:uid="{00000000-0005-0000-0000-00001A0A0000}"/>
    <cellStyle name="Migliaia [0] 57 2 2" xfId="5360" xr:uid="{00000000-0005-0000-0000-00001B0A0000}"/>
    <cellStyle name="Migliaia [0] 57 2 3" xfId="6282" xr:uid="{00000000-0005-0000-0000-00001C0A0000}"/>
    <cellStyle name="Migliaia [0] 57 3" xfId="4791" xr:uid="{00000000-0005-0000-0000-00001D0A0000}"/>
    <cellStyle name="Migliaia [0] 57 4" xfId="5736" xr:uid="{00000000-0005-0000-0000-00001E0A0000}"/>
    <cellStyle name="Migliaia [0] 58" xfId="486" xr:uid="{00000000-0005-0000-0000-00001F0A0000}"/>
    <cellStyle name="Migliaia [0] 58 2" xfId="2062" xr:uid="{00000000-0005-0000-0000-0000200A0000}"/>
    <cellStyle name="Migliaia [0] 58 2 2" xfId="5361" xr:uid="{00000000-0005-0000-0000-0000210A0000}"/>
    <cellStyle name="Migliaia [0] 58 2 3" xfId="6283" xr:uid="{00000000-0005-0000-0000-0000220A0000}"/>
    <cellStyle name="Migliaia [0] 58 3" xfId="4792" xr:uid="{00000000-0005-0000-0000-0000230A0000}"/>
    <cellStyle name="Migliaia [0] 58 4" xfId="5737" xr:uid="{00000000-0005-0000-0000-0000240A0000}"/>
    <cellStyle name="Migliaia [0] 59" xfId="487" xr:uid="{00000000-0005-0000-0000-0000250A0000}"/>
    <cellStyle name="Migliaia [0] 59 2" xfId="2063" xr:uid="{00000000-0005-0000-0000-0000260A0000}"/>
    <cellStyle name="Migliaia [0] 59 2 2" xfId="5362" xr:uid="{00000000-0005-0000-0000-0000270A0000}"/>
    <cellStyle name="Migliaia [0] 59 2 3" xfId="6284" xr:uid="{00000000-0005-0000-0000-0000280A0000}"/>
    <cellStyle name="Migliaia [0] 59 3" xfId="4793" xr:uid="{00000000-0005-0000-0000-0000290A0000}"/>
    <cellStyle name="Migliaia [0] 59 4" xfId="5738" xr:uid="{00000000-0005-0000-0000-00002A0A0000}"/>
    <cellStyle name="Migliaia [0] 6" xfId="488" xr:uid="{00000000-0005-0000-0000-00002B0A0000}"/>
    <cellStyle name="Migliaia [0] 6 2" xfId="2064" xr:uid="{00000000-0005-0000-0000-00002C0A0000}"/>
    <cellStyle name="Migliaia [0] 6 2 2" xfId="5363" xr:uid="{00000000-0005-0000-0000-00002D0A0000}"/>
    <cellStyle name="Migliaia [0] 6 2 3" xfId="6285" xr:uid="{00000000-0005-0000-0000-00002E0A0000}"/>
    <cellStyle name="Migliaia [0] 6 3" xfId="4794" xr:uid="{00000000-0005-0000-0000-00002F0A0000}"/>
    <cellStyle name="Migliaia [0] 6 4" xfId="5739" xr:uid="{00000000-0005-0000-0000-0000300A0000}"/>
    <cellStyle name="Migliaia [0] 7" xfId="489" xr:uid="{00000000-0005-0000-0000-0000310A0000}"/>
    <cellStyle name="Migliaia [0] 7 2" xfId="2065" xr:uid="{00000000-0005-0000-0000-0000320A0000}"/>
    <cellStyle name="Migliaia [0] 7 2 2" xfId="5364" xr:uid="{00000000-0005-0000-0000-0000330A0000}"/>
    <cellStyle name="Migliaia [0] 7 2 3" xfId="6286" xr:uid="{00000000-0005-0000-0000-0000340A0000}"/>
    <cellStyle name="Migliaia [0] 7 3" xfId="4795" xr:uid="{00000000-0005-0000-0000-0000350A0000}"/>
    <cellStyle name="Migliaia [0] 7 4" xfId="5740" xr:uid="{00000000-0005-0000-0000-0000360A0000}"/>
    <cellStyle name="Migliaia [0] 8" xfId="490" xr:uid="{00000000-0005-0000-0000-0000370A0000}"/>
    <cellStyle name="Migliaia [0] 8 2" xfId="2066" xr:uid="{00000000-0005-0000-0000-0000380A0000}"/>
    <cellStyle name="Migliaia [0] 8 2 2" xfId="5365" xr:uid="{00000000-0005-0000-0000-0000390A0000}"/>
    <cellStyle name="Migliaia [0] 8 2 3" xfId="6287" xr:uid="{00000000-0005-0000-0000-00003A0A0000}"/>
    <cellStyle name="Migliaia [0] 8 3" xfId="4796" xr:uid="{00000000-0005-0000-0000-00003B0A0000}"/>
    <cellStyle name="Migliaia [0] 8 4" xfId="5741" xr:uid="{00000000-0005-0000-0000-00003C0A0000}"/>
    <cellStyle name="Migliaia [0] 9" xfId="491" xr:uid="{00000000-0005-0000-0000-00003D0A0000}"/>
    <cellStyle name="Migliaia [0] 9 2" xfId="2067" xr:uid="{00000000-0005-0000-0000-00003E0A0000}"/>
    <cellStyle name="Migliaia [0] 9 2 2" xfId="5366" xr:uid="{00000000-0005-0000-0000-00003F0A0000}"/>
    <cellStyle name="Migliaia [0] 9 2 3" xfId="6288" xr:uid="{00000000-0005-0000-0000-0000400A0000}"/>
    <cellStyle name="Migliaia [0] 9 3" xfId="4797" xr:uid="{00000000-0005-0000-0000-0000410A0000}"/>
    <cellStyle name="Migliaia [0] 9 4" xfId="5742" xr:uid="{00000000-0005-0000-0000-0000420A0000}"/>
    <cellStyle name="Migliaia 10" xfId="492" xr:uid="{00000000-0005-0000-0000-0000430A0000}"/>
    <cellStyle name="Migliaia 10 2" xfId="493" xr:uid="{00000000-0005-0000-0000-0000440A0000}"/>
    <cellStyle name="Migliaia 10 2 2" xfId="2312" xr:uid="{00000000-0005-0000-0000-0000450A0000}"/>
    <cellStyle name="Migliaia 10 2 2 2" xfId="5372" xr:uid="{00000000-0005-0000-0000-0000460A0000}"/>
    <cellStyle name="Migliaia 10 2 2 3" xfId="6294" xr:uid="{00000000-0005-0000-0000-0000470A0000}"/>
    <cellStyle name="Migliaia 10 2 3" xfId="4865" xr:uid="{00000000-0005-0000-0000-0000480A0000}"/>
    <cellStyle name="Migliaia 10 2 4" xfId="5744" xr:uid="{00000000-0005-0000-0000-0000490A0000}"/>
    <cellStyle name="Migliaia 10 3" xfId="494" xr:uid="{00000000-0005-0000-0000-00004A0A0000}"/>
    <cellStyle name="Migliaia 10 3 2" xfId="495" xr:uid="{00000000-0005-0000-0000-00004B0A0000}"/>
    <cellStyle name="Migliaia 10 3 2 2" xfId="4939" xr:uid="{00000000-0005-0000-0000-00004C0A0000}"/>
    <cellStyle name="Migliaia 10 3 2 3" xfId="5746" xr:uid="{00000000-0005-0000-0000-00004D0A0000}"/>
    <cellStyle name="Migliaia 10 3 3" xfId="496" xr:uid="{00000000-0005-0000-0000-00004E0A0000}"/>
    <cellStyle name="Migliaia 10 3 3 2" xfId="2314" xr:uid="{00000000-0005-0000-0000-00004F0A0000}"/>
    <cellStyle name="Migliaia 10 3 3 2 2" xfId="5374" xr:uid="{00000000-0005-0000-0000-0000500A0000}"/>
    <cellStyle name="Migliaia 10 3 3 2 3" xfId="6296" xr:uid="{00000000-0005-0000-0000-0000510A0000}"/>
    <cellStyle name="Migliaia 10 3 3 3" xfId="4940" xr:uid="{00000000-0005-0000-0000-0000520A0000}"/>
    <cellStyle name="Migliaia 10 3 3 4" xfId="5747" xr:uid="{00000000-0005-0000-0000-0000530A0000}"/>
    <cellStyle name="Migliaia 10 3 4" xfId="2313" xr:uid="{00000000-0005-0000-0000-0000540A0000}"/>
    <cellStyle name="Migliaia 10 3 4 2" xfId="5373" xr:uid="{00000000-0005-0000-0000-0000550A0000}"/>
    <cellStyle name="Migliaia 10 3 4 3" xfId="6295" xr:uid="{00000000-0005-0000-0000-0000560A0000}"/>
    <cellStyle name="Migliaia 10 3 5" xfId="4938" xr:uid="{00000000-0005-0000-0000-0000570A0000}"/>
    <cellStyle name="Migliaia 10 3 6" xfId="5745" xr:uid="{00000000-0005-0000-0000-0000580A0000}"/>
    <cellStyle name="Migliaia 10 4" xfId="497" xr:uid="{00000000-0005-0000-0000-0000590A0000}"/>
    <cellStyle name="Migliaia 10 4 2" xfId="498" xr:uid="{00000000-0005-0000-0000-00005A0A0000}"/>
    <cellStyle name="Migliaia 10 4 2 2" xfId="2316" xr:uid="{00000000-0005-0000-0000-00005B0A0000}"/>
    <cellStyle name="Migliaia 10 4 2 2 2" xfId="5376" xr:uid="{00000000-0005-0000-0000-00005C0A0000}"/>
    <cellStyle name="Migliaia 10 4 2 2 3" xfId="6298" xr:uid="{00000000-0005-0000-0000-00005D0A0000}"/>
    <cellStyle name="Migliaia 10 4 2 3" xfId="4942" xr:uid="{00000000-0005-0000-0000-00005E0A0000}"/>
    <cellStyle name="Migliaia 10 4 2 4" xfId="5749" xr:uid="{00000000-0005-0000-0000-00005F0A0000}"/>
    <cellStyle name="Migliaia 10 4 3" xfId="2315" xr:uid="{00000000-0005-0000-0000-0000600A0000}"/>
    <cellStyle name="Migliaia 10 4 3 2" xfId="5375" xr:uid="{00000000-0005-0000-0000-0000610A0000}"/>
    <cellStyle name="Migliaia 10 4 3 3" xfId="6297" xr:uid="{00000000-0005-0000-0000-0000620A0000}"/>
    <cellStyle name="Migliaia 10 4 4" xfId="4941" xr:uid="{00000000-0005-0000-0000-0000630A0000}"/>
    <cellStyle name="Migliaia 10 4 5" xfId="5748" xr:uid="{00000000-0005-0000-0000-0000640A0000}"/>
    <cellStyle name="Migliaia 10 5" xfId="499" xr:uid="{00000000-0005-0000-0000-0000650A0000}"/>
    <cellStyle name="Migliaia 10 5 2" xfId="4943" xr:uid="{00000000-0005-0000-0000-0000660A0000}"/>
    <cellStyle name="Migliaia 10 5 3" xfId="5750" xr:uid="{00000000-0005-0000-0000-0000670A0000}"/>
    <cellStyle name="Migliaia 10 6" xfId="4798" xr:uid="{00000000-0005-0000-0000-0000680A0000}"/>
    <cellStyle name="Migliaia 10 7" xfId="5743" xr:uid="{00000000-0005-0000-0000-0000690A0000}"/>
    <cellStyle name="Migliaia 11" xfId="500" xr:uid="{00000000-0005-0000-0000-00006A0A0000}"/>
    <cellStyle name="Migliaia 11 2" xfId="501" xr:uid="{00000000-0005-0000-0000-00006B0A0000}"/>
    <cellStyle name="Migliaia 11 2 2" xfId="2317" xr:uid="{00000000-0005-0000-0000-00006C0A0000}"/>
    <cellStyle name="Migliaia 11 2 2 2" xfId="5377" xr:uid="{00000000-0005-0000-0000-00006D0A0000}"/>
    <cellStyle name="Migliaia 11 2 2 3" xfId="6299" xr:uid="{00000000-0005-0000-0000-00006E0A0000}"/>
    <cellStyle name="Migliaia 11 2 3" xfId="4866" xr:uid="{00000000-0005-0000-0000-00006F0A0000}"/>
    <cellStyle name="Migliaia 11 2 4" xfId="5752" xr:uid="{00000000-0005-0000-0000-0000700A0000}"/>
    <cellStyle name="Migliaia 11 3" xfId="502" xr:uid="{00000000-0005-0000-0000-0000710A0000}"/>
    <cellStyle name="Migliaia 11 3 2" xfId="503" xr:uid="{00000000-0005-0000-0000-0000720A0000}"/>
    <cellStyle name="Migliaia 11 3 2 2" xfId="4945" xr:uid="{00000000-0005-0000-0000-0000730A0000}"/>
    <cellStyle name="Migliaia 11 3 2 3" xfId="5754" xr:uid="{00000000-0005-0000-0000-0000740A0000}"/>
    <cellStyle name="Migliaia 11 3 3" xfId="504" xr:uid="{00000000-0005-0000-0000-0000750A0000}"/>
    <cellStyle name="Migliaia 11 3 3 2" xfId="2319" xr:uid="{00000000-0005-0000-0000-0000760A0000}"/>
    <cellStyle name="Migliaia 11 3 3 2 2" xfId="5379" xr:uid="{00000000-0005-0000-0000-0000770A0000}"/>
    <cellStyle name="Migliaia 11 3 3 2 3" xfId="6301" xr:uid="{00000000-0005-0000-0000-0000780A0000}"/>
    <cellStyle name="Migliaia 11 3 3 3" xfId="4946" xr:uid="{00000000-0005-0000-0000-0000790A0000}"/>
    <cellStyle name="Migliaia 11 3 3 4" xfId="5755" xr:uid="{00000000-0005-0000-0000-00007A0A0000}"/>
    <cellStyle name="Migliaia 11 3 4" xfId="2318" xr:uid="{00000000-0005-0000-0000-00007B0A0000}"/>
    <cellStyle name="Migliaia 11 3 4 2" xfId="5378" xr:uid="{00000000-0005-0000-0000-00007C0A0000}"/>
    <cellStyle name="Migliaia 11 3 4 3" xfId="6300" xr:uid="{00000000-0005-0000-0000-00007D0A0000}"/>
    <cellStyle name="Migliaia 11 3 5" xfId="4944" xr:uid="{00000000-0005-0000-0000-00007E0A0000}"/>
    <cellStyle name="Migliaia 11 3 6" xfId="5753" xr:uid="{00000000-0005-0000-0000-00007F0A0000}"/>
    <cellStyle name="Migliaia 11 4" xfId="505" xr:uid="{00000000-0005-0000-0000-0000800A0000}"/>
    <cellStyle name="Migliaia 11 4 2" xfId="506" xr:uid="{00000000-0005-0000-0000-0000810A0000}"/>
    <cellStyle name="Migliaia 11 4 2 2" xfId="2321" xr:uid="{00000000-0005-0000-0000-0000820A0000}"/>
    <cellStyle name="Migliaia 11 4 2 2 2" xfId="5381" xr:uid="{00000000-0005-0000-0000-0000830A0000}"/>
    <cellStyle name="Migliaia 11 4 2 2 3" xfId="6303" xr:uid="{00000000-0005-0000-0000-0000840A0000}"/>
    <cellStyle name="Migliaia 11 4 2 3" xfId="4948" xr:uid="{00000000-0005-0000-0000-0000850A0000}"/>
    <cellStyle name="Migliaia 11 4 2 4" xfId="5757" xr:uid="{00000000-0005-0000-0000-0000860A0000}"/>
    <cellStyle name="Migliaia 11 4 3" xfId="2320" xr:uid="{00000000-0005-0000-0000-0000870A0000}"/>
    <cellStyle name="Migliaia 11 4 3 2" xfId="5380" xr:uid="{00000000-0005-0000-0000-0000880A0000}"/>
    <cellStyle name="Migliaia 11 4 3 3" xfId="6302" xr:uid="{00000000-0005-0000-0000-0000890A0000}"/>
    <cellStyle name="Migliaia 11 4 4" xfId="4947" xr:uid="{00000000-0005-0000-0000-00008A0A0000}"/>
    <cellStyle name="Migliaia 11 4 5" xfId="5756" xr:uid="{00000000-0005-0000-0000-00008B0A0000}"/>
    <cellStyle name="Migliaia 11 5" xfId="507" xr:uid="{00000000-0005-0000-0000-00008C0A0000}"/>
    <cellStyle name="Migliaia 11 5 2" xfId="4949" xr:uid="{00000000-0005-0000-0000-00008D0A0000}"/>
    <cellStyle name="Migliaia 11 5 3" xfId="5758" xr:uid="{00000000-0005-0000-0000-00008E0A0000}"/>
    <cellStyle name="Migliaia 11 6" xfId="4799" xr:uid="{00000000-0005-0000-0000-00008F0A0000}"/>
    <cellStyle name="Migliaia 11 7" xfId="5751" xr:uid="{00000000-0005-0000-0000-0000900A0000}"/>
    <cellStyle name="Migliaia 12" xfId="508" xr:uid="{00000000-0005-0000-0000-0000910A0000}"/>
    <cellStyle name="Migliaia 12 2" xfId="509" xr:uid="{00000000-0005-0000-0000-0000920A0000}"/>
    <cellStyle name="Migliaia 12 2 2" xfId="2322" xr:uid="{00000000-0005-0000-0000-0000930A0000}"/>
    <cellStyle name="Migliaia 12 2 2 2" xfId="5382" xr:uid="{00000000-0005-0000-0000-0000940A0000}"/>
    <cellStyle name="Migliaia 12 2 2 3" xfId="6304" xr:uid="{00000000-0005-0000-0000-0000950A0000}"/>
    <cellStyle name="Migliaia 12 2 3" xfId="4867" xr:uid="{00000000-0005-0000-0000-0000960A0000}"/>
    <cellStyle name="Migliaia 12 2 4" xfId="5760" xr:uid="{00000000-0005-0000-0000-0000970A0000}"/>
    <cellStyle name="Migliaia 12 3" xfId="510" xr:uid="{00000000-0005-0000-0000-0000980A0000}"/>
    <cellStyle name="Migliaia 12 3 2" xfId="511" xr:uid="{00000000-0005-0000-0000-0000990A0000}"/>
    <cellStyle name="Migliaia 12 3 2 2" xfId="4951" xr:uid="{00000000-0005-0000-0000-00009A0A0000}"/>
    <cellStyle name="Migliaia 12 3 2 3" xfId="5762" xr:uid="{00000000-0005-0000-0000-00009B0A0000}"/>
    <cellStyle name="Migliaia 12 3 3" xfId="512" xr:uid="{00000000-0005-0000-0000-00009C0A0000}"/>
    <cellStyle name="Migliaia 12 3 3 2" xfId="2324" xr:uid="{00000000-0005-0000-0000-00009D0A0000}"/>
    <cellStyle name="Migliaia 12 3 3 2 2" xfId="5384" xr:uid="{00000000-0005-0000-0000-00009E0A0000}"/>
    <cellStyle name="Migliaia 12 3 3 2 3" xfId="6306" xr:uid="{00000000-0005-0000-0000-00009F0A0000}"/>
    <cellStyle name="Migliaia 12 3 3 3" xfId="4952" xr:uid="{00000000-0005-0000-0000-0000A00A0000}"/>
    <cellStyle name="Migliaia 12 3 3 4" xfId="5763" xr:uid="{00000000-0005-0000-0000-0000A10A0000}"/>
    <cellStyle name="Migliaia 12 3 4" xfId="2323" xr:uid="{00000000-0005-0000-0000-0000A20A0000}"/>
    <cellStyle name="Migliaia 12 3 4 2" xfId="5383" xr:uid="{00000000-0005-0000-0000-0000A30A0000}"/>
    <cellStyle name="Migliaia 12 3 4 3" xfId="6305" xr:uid="{00000000-0005-0000-0000-0000A40A0000}"/>
    <cellStyle name="Migliaia 12 3 5" xfId="4950" xr:uid="{00000000-0005-0000-0000-0000A50A0000}"/>
    <cellStyle name="Migliaia 12 3 6" xfId="5761" xr:uid="{00000000-0005-0000-0000-0000A60A0000}"/>
    <cellStyle name="Migliaia 12 4" xfId="513" xr:uid="{00000000-0005-0000-0000-0000A70A0000}"/>
    <cellStyle name="Migliaia 12 4 2" xfId="514" xr:uid="{00000000-0005-0000-0000-0000A80A0000}"/>
    <cellStyle name="Migliaia 12 4 2 2" xfId="2326" xr:uid="{00000000-0005-0000-0000-0000A90A0000}"/>
    <cellStyle name="Migliaia 12 4 2 2 2" xfId="5386" xr:uid="{00000000-0005-0000-0000-0000AA0A0000}"/>
    <cellStyle name="Migliaia 12 4 2 2 3" xfId="6308" xr:uid="{00000000-0005-0000-0000-0000AB0A0000}"/>
    <cellStyle name="Migliaia 12 4 2 3" xfId="4954" xr:uid="{00000000-0005-0000-0000-0000AC0A0000}"/>
    <cellStyle name="Migliaia 12 4 2 4" xfId="5765" xr:uid="{00000000-0005-0000-0000-0000AD0A0000}"/>
    <cellStyle name="Migliaia 12 4 3" xfId="2325" xr:uid="{00000000-0005-0000-0000-0000AE0A0000}"/>
    <cellStyle name="Migliaia 12 4 3 2" xfId="5385" xr:uid="{00000000-0005-0000-0000-0000AF0A0000}"/>
    <cellStyle name="Migliaia 12 4 3 3" xfId="6307" xr:uid="{00000000-0005-0000-0000-0000B00A0000}"/>
    <cellStyle name="Migliaia 12 4 4" xfId="4953" xr:uid="{00000000-0005-0000-0000-0000B10A0000}"/>
    <cellStyle name="Migliaia 12 4 5" xfId="5764" xr:uid="{00000000-0005-0000-0000-0000B20A0000}"/>
    <cellStyle name="Migliaia 12 5" xfId="515" xr:uid="{00000000-0005-0000-0000-0000B30A0000}"/>
    <cellStyle name="Migliaia 12 5 2" xfId="4955" xr:uid="{00000000-0005-0000-0000-0000B40A0000}"/>
    <cellStyle name="Migliaia 12 5 3" xfId="5766" xr:uid="{00000000-0005-0000-0000-0000B50A0000}"/>
    <cellStyle name="Migliaia 12 6" xfId="4800" xr:uid="{00000000-0005-0000-0000-0000B60A0000}"/>
    <cellStyle name="Migliaia 12 7" xfId="5759" xr:uid="{00000000-0005-0000-0000-0000B70A0000}"/>
    <cellStyle name="Migliaia 13" xfId="516" xr:uid="{00000000-0005-0000-0000-0000B80A0000}"/>
    <cellStyle name="Migliaia 13 2" xfId="517" xr:uid="{00000000-0005-0000-0000-0000B90A0000}"/>
    <cellStyle name="Migliaia 13 2 2" xfId="2327" xr:uid="{00000000-0005-0000-0000-0000BA0A0000}"/>
    <cellStyle name="Migliaia 13 2 2 2" xfId="5387" xr:uid="{00000000-0005-0000-0000-0000BB0A0000}"/>
    <cellStyle name="Migliaia 13 2 2 3" xfId="6309" xr:uid="{00000000-0005-0000-0000-0000BC0A0000}"/>
    <cellStyle name="Migliaia 13 2 3" xfId="4868" xr:uid="{00000000-0005-0000-0000-0000BD0A0000}"/>
    <cellStyle name="Migliaia 13 2 4" xfId="5768" xr:uid="{00000000-0005-0000-0000-0000BE0A0000}"/>
    <cellStyle name="Migliaia 13 3" xfId="518" xr:uid="{00000000-0005-0000-0000-0000BF0A0000}"/>
    <cellStyle name="Migliaia 13 3 2" xfId="519" xr:uid="{00000000-0005-0000-0000-0000C00A0000}"/>
    <cellStyle name="Migliaia 13 3 2 2" xfId="4957" xr:uid="{00000000-0005-0000-0000-0000C10A0000}"/>
    <cellStyle name="Migliaia 13 3 2 3" xfId="5770" xr:uid="{00000000-0005-0000-0000-0000C20A0000}"/>
    <cellStyle name="Migliaia 13 3 3" xfId="520" xr:uid="{00000000-0005-0000-0000-0000C30A0000}"/>
    <cellStyle name="Migliaia 13 3 3 2" xfId="2329" xr:uid="{00000000-0005-0000-0000-0000C40A0000}"/>
    <cellStyle name="Migliaia 13 3 3 2 2" xfId="5389" xr:uid="{00000000-0005-0000-0000-0000C50A0000}"/>
    <cellStyle name="Migliaia 13 3 3 2 3" xfId="6311" xr:uid="{00000000-0005-0000-0000-0000C60A0000}"/>
    <cellStyle name="Migliaia 13 3 3 3" xfId="4958" xr:uid="{00000000-0005-0000-0000-0000C70A0000}"/>
    <cellStyle name="Migliaia 13 3 3 4" xfId="5771" xr:uid="{00000000-0005-0000-0000-0000C80A0000}"/>
    <cellStyle name="Migliaia 13 3 4" xfId="2328" xr:uid="{00000000-0005-0000-0000-0000C90A0000}"/>
    <cellStyle name="Migliaia 13 3 4 2" xfId="5388" xr:uid="{00000000-0005-0000-0000-0000CA0A0000}"/>
    <cellStyle name="Migliaia 13 3 4 3" xfId="6310" xr:uid="{00000000-0005-0000-0000-0000CB0A0000}"/>
    <cellStyle name="Migliaia 13 3 5" xfId="4956" xr:uid="{00000000-0005-0000-0000-0000CC0A0000}"/>
    <cellStyle name="Migliaia 13 3 6" xfId="5769" xr:uid="{00000000-0005-0000-0000-0000CD0A0000}"/>
    <cellStyle name="Migliaia 13 4" xfId="521" xr:uid="{00000000-0005-0000-0000-0000CE0A0000}"/>
    <cellStyle name="Migliaia 13 4 2" xfId="522" xr:uid="{00000000-0005-0000-0000-0000CF0A0000}"/>
    <cellStyle name="Migliaia 13 4 2 2" xfId="2331" xr:uid="{00000000-0005-0000-0000-0000D00A0000}"/>
    <cellStyle name="Migliaia 13 4 2 2 2" xfId="5391" xr:uid="{00000000-0005-0000-0000-0000D10A0000}"/>
    <cellStyle name="Migliaia 13 4 2 2 3" xfId="6313" xr:uid="{00000000-0005-0000-0000-0000D20A0000}"/>
    <cellStyle name="Migliaia 13 4 2 3" xfId="4960" xr:uid="{00000000-0005-0000-0000-0000D30A0000}"/>
    <cellStyle name="Migliaia 13 4 2 4" xfId="5773" xr:uid="{00000000-0005-0000-0000-0000D40A0000}"/>
    <cellStyle name="Migliaia 13 4 3" xfId="2330" xr:uid="{00000000-0005-0000-0000-0000D50A0000}"/>
    <cellStyle name="Migliaia 13 4 3 2" xfId="5390" xr:uid="{00000000-0005-0000-0000-0000D60A0000}"/>
    <cellStyle name="Migliaia 13 4 3 3" xfId="6312" xr:uid="{00000000-0005-0000-0000-0000D70A0000}"/>
    <cellStyle name="Migliaia 13 4 4" xfId="4959" xr:uid="{00000000-0005-0000-0000-0000D80A0000}"/>
    <cellStyle name="Migliaia 13 4 5" xfId="5772" xr:uid="{00000000-0005-0000-0000-0000D90A0000}"/>
    <cellStyle name="Migliaia 13 5" xfId="523" xr:uid="{00000000-0005-0000-0000-0000DA0A0000}"/>
    <cellStyle name="Migliaia 13 5 2" xfId="4961" xr:uid="{00000000-0005-0000-0000-0000DB0A0000}"/>
    <cellStyle name="Migliaia 13 5 3" xfId="5774" xr:uid="{00000000-0005-0000-0000-0000DC0A0000}"/>
    <cellStyle name="Migliaia 13 6" xfId="4801" xr:uid="{00000000-0005-0000-0000-0000DD0A0000}"/>
    <cellStyle name="Migliaia 13 7" xfId="5767" xr:uid="{00000000-0005-0000-0000-0000DE0A0000}"/>
    <cellStyle name="Migliaia 14" xfId="524" xr:uid="{00000000-0005-0000-0000-0000DF0A0000}"/>
    <cellStyle name="Migliaia 14 2" xfId="525" xr:uid="{00000000-0005-0000-0000-0000E00A0000}"/>
    <cellStyle name="Migliaia 14 2 2" xfId="2332" xr:uid="{00000000-0005-0000-0000-0000E10A0000}"/>
    <cellStyle name="Migliaia 14 2 2 2" xfId="5392" xr:uid="{00000000-0005-0000-0000-0000E20A0000}"/>
    <cellStyle name="Migliaia 14 2 2 3" xfId="6314" xr:uid="{00000000-0005-0000-0000-0000E30A0000}"/>
    <cellStyle name="Migliaia 14 2 3" xfId="4869" xr:uid="{00000000-0005-0000-0000-0000E40A0000}"/>
    <cellStyle name="Migliaia 14 2 4" xfId="5776" xr:uid="{00000000-0005-0000-0000-0000E50A0000}"/>
    <cellStyle name="Migliaia 14 3" xfId="526" xr:uid="{00000000-0005-0000-0000-0000E60A0000}"/>
    <cellStyle name="Migliaia 14 3 2" xfId="527" xr:uid="{00000000-0005-0000-0000-0000E70A0000}"/>
    <cellStyle name="Migliaia 14 3 2 2" xfId="4963" xr:uid="{00000000-0005-0000-0000-0000E80A0000}"/>
    <cellStyle name="Migliaia 14 3 2 3" xfId="5778" xr:uid="{00000000-0005-0000-0000-0000E90A0000}"/>
    <cellStyle name="Migliaia 14 3 3" xfId="528" xr:uid="{00000000-0005-0000-0000-0000EA0A0000}"/>
    <cellStyle name="Migliaia 14 3 3 2" xfId="2334" xr:uid="{00000000-0005-0000-0000-0000EB0A0000}"/>
    <cellStyle name="Migliaia 14 3 3 2 2" xfId="5394" xr:uid="{00000000-0005-0000-0000-0000EC0A0000}"/>
    <cellStyle name="Migliaia 14 3 3 2 3" xfId="6316" xr:uid="{00000000-0005-0000-0000-0000ED0A0000}"/>
    <cellStyle name="Migliaia 14 3 3 3" xfId="4964" xr:uid="{00000000-0005-0000-0000-0000EE0A0000}"/>
    <cellStyle name="Migliaia 14 3 3 4" xfId="5779" xr:uid="{00000000-0005-0000-0000-0000EF0A0000}"/>
    <cellStyle name="Migliaia 14 3 4" xfId="2333" xr:uid="{00000000-0005-0000-0000-0000F00A0000}"/>
    <cellStyle name="Migliaia 14 3 4 2" xfId="5393" xr:uid="{00000000-0005-0000-0000-0000F10A0000}"/>
    <cellStyle name="Migliaia 14 3 4 3" xfId="6315" xr:uid="{00000000-0005-0000-0000-0000F20A0000}"/>
    <cellStyle name="Migliaia 14 3 5" xfId="4962" xr:uid="{00000000-0005-0000-0000-0000F30A0000}"/>
    <cellStyle name="Migliaia 14 3 6" xfId="5777" xr:uid="{00000000-0005-0000-0000-0000F40A0000}"/>
    <cellStyle name="Migliaia 14 4" xfId="529" xr:uid="{00000000-0005-0000-0000-0000F50A0000}"/>
    <cellStyle name="Migliaia 14 4 2" xfId="530" xr:uid="{00000000-0005-0000-0000-0000F60A0000}"/>
    <cellStyle name="Migliaia 14 4 2 2" xfId="2336" xr:uid="{00000000-0005-0000-0000-0000F70A0000}"/>
    <cellStyle name="Migliaia 14 4 2 2 2" xfId="5396" xr:uid="{00000000-0005-0000-0000-0000F80A0000}"/>
    <cellStyle name="Migliaia 14 4 2 2 3" xfId="6318" xr:uid="{00000000-0005-0000-0000-0000F90A0000}"/>
    <cellStyle name="Migliaia 14 4 2 3" xfId="4966" xr:uid="{00000000-0005-0000-0000-0000FA0A0000}"/>
    <cellStyle name="Migliaia 14 4 2 4" xfId="5781" xr:uid="{00000000-0005-0000-0000-0000FB0A0000}"/>
    <cellStyle name="Migliaia 14 4 3" xfId="2335" xr:uid="{00000000-0005-0000-0000-0000FC0A0000}"/>
    <cellStyle name="Migliaia 14 4 3 2" xfId="5395" xr:uid="{00000000-0005-0000-0000-0000FD0A0000}"/>
    <cellStyle name="Migliaia 14 4 3 3" xfId="6317" xr:uid="{00000000-0005-0000-0000-0000FE0A0000}"/>
    <cellStyle name="Migliaia 14 4 4" xfId="4965" xr:uid="{00000000-0005-0000-0000-0000FF0A0000}"/>
    <cellStyle name="Migliaia 14 4 5" xfId="5780" xr:uid="{00000000-0005-0000-0000-0000000B0000}"/>
    <cellStyle name="Migliaia 14 5" xfId="531" xr:uid="{00000000-0005-0000-0000-0000010B0000}"/>
    <cellStyle name="Migliaia 14 5 2" xfId="4967" xr:uid="{00000000-0005-0000-0000-0000020B0000}"/>
    <cellStyle name="Migliaia 14 5 3" xfId="5782" xr:uid="{00000000-0005-0000-0000-0000030B0000}"/>
    <cellStyle name="Migliaia 14 6" xfId="4802" xr:uid="{00000000-0005-0000-0000-0000040B0000}"/>
    <cellStyle name="Migliaia 14 7" xfId="5775" xr:uid="{00000000-0005-0000-0000-0000050B0000}"/>
    <cellStyle name="Migliaia 15" xfId="532" xr:uid="{00000000-0005-0000-0000-0000060B0000}"/>
    <cellStyle name="Migliaia 15 2" xfId="533" xr:uid="{00000000-0005-0000-0000-0000070B0000}"/>
    <cellStyle name="Migliaia 15 2 2" xfId="2337" xr:uid="{00000000-0005-0000-0000-0000080B0000}"/>
    <cellStyle name="Migliaia 15 2 2 2" xfId="5397" xr:uid="{00000000-0005-0000-0000-0000090B0000}"/>
    <cellStyle name="Migliaia 15 2 2 3" xfId="6319" xr:uid="{00000000-0005-0000-0000-00000A0B0000}"/>
    <cellStyle name="Migliaia 15 2 3" xfId="4870" xr:uid="{00000000-0005-0000-0000-00000B0B0000}"/>
    <cellStyle name="Migliaia 15 2 4" xfId="5784" xr:uid="{00000000-0005-0000-0000-00000C0B0000}"/>
    <cellStyle name="Migliaia 15 3" xfId="534" xr:uid="{00000000-0005-0000-0000-00000D0B0000}"/>
    <cellStyle name="Migliaia 15 3 2" xfId="535" xr:uid="{00000000-0005-0000-0000-00000E0B0000}"/>
    <cellStyle name="Migliaia 15 3 2 2" xfId="4969" xr:uid="{00000000-0005-0000-0000-00000F0B0000}"/>
    <cellStyle name="Migliaia 15 3 2 3" xfId="5786" xr:uid="{00000000-0005-0000-0000-0000100B0000}"/>
    <cellStyle name="Migliaia 15 3 3" xfId="536" xr:uid="{00000000-0005-0000-0000-0000110B0000}"/>
    <cellStyle name="Migliaia 15 3 3 2" xfId="2339" xr:uid="{00000000-0005-0000-0000-0000120B0000}"/>
    <cellStyle name="Migliaia 15 3 3 2 2" xfId="5399" xr:uid="{00000000-0005-0000-0000-0000130B0000}"/>
    <cellStyle name="Migliaia 15 3 3 2 3" xfId="6321" xr:uid="{00000000-0005-0000-0000-0000140B0000}"/>
    <cellStyle name="Migliaia 15 3 3 3" xfId="4970" xr:uid="{00000000-0005-0000-0000-0000150B0000}"/>
    <cellStyle name="Migliaia 15 3 3 4" xfId="5787" xr:uid="{00000000-0005-0000-0000-0000160B0000}"/>
    <cellStyle name="Migliaia 15 3 4" xfId="2338" xr:uid="{00000000-0005-0000-0000-0000170B0000}"/>
    <cellStyle name="Migliaia 15 3 4 2" xfId="5398" xr:uid="{00000000-0005-0000-0000-0000180B0000}"/>
    <cellStyle name="Migliaia 15 3 4 3" xfId="6320" xr:uid="{00000000-0005-0000-0000-0000190B0000}"/>
    <cellStyle name="Migliaia 15 3 5" xfId="4968" xr:uid="{00000000-0005-0000-0000-00001A0B0000}"/>
    <cellStyle name="Migliaia 15 3 6" xfId="5785" xr:uid="{00000000-0005-0000-0000-00001B0B0000}"/>
    <cellStyle name="Migliaia 15 4" xfId="537" xr:uid="{00000000-0005-0000-0000-00001C0B0000}"/>
    <cellStyle name="Migliaia 15 4 2" xfId="538" xr:uid="{00000000-0005-0000-0000-00001D0B0000}"/>
    <cellStyle name="Migliaia 15 4 2 2" xfId="2341" xr:uid="{00000000-0005-0000-0000-00001E0B0000}"/>
    <cellStyle name="Migliaia 15 4 2 2 2" xfId="5401" xr:uid="{00000000-0005-0000-0000-00001F0B0000}"/>
    <cellStyle name="Migliaia 15 4 2 2 3" xfId="6323" xr:uid="{00000000-0005-0000-0000-0000200B0000}"/>
    <cellStyle name="Migliaia 15 4 2 3" xfId="4972" xr:uid="{00000000-0005-0000-0000-0000210B0000}"/>
    <cellStyle name="Migliaia 15 4 2 4" xfId="5789" xr:uid="{00000000-0005-0000-0000-0000220B0000}"/>
    <cellStyle name="Migliaia 15 4 3" xfId="2340" xr:uid="{00000000-0005-0000-0000-0000230B0000}"/>
    <cellStyle name="Migliaia 15 4 3 2" xfId="5400" xr:uid="{00000000-0005-0000-0000-0000240B0000}"/>
    <cellStyle name="Migliaia 15 4 3 3" xfId="6322" xr:uid="{00000000-0005-0000-0000-0000250B0000}"/>
    <cellStyle name="Migliaia 15 4 4" xfId="4971" xr:uid="{00000000-0005-0000-0000-0000260B0000}"/>
    <cellStyle name="Migliaia 15 4 5" xfId="5788" xr:uid="{00000000-0005-0000-0000-0000270B0000}"/>
    <cellStyle name="Migliaia 15 5" xfId="539" xr:uid="{00000000-0005-0000-0000-0000280B0000}"/>
    <cellStyle name="Migliaia 15 5 2" xfId="4973" xr:uid="{00000000-0005-0000-0000-0000290B0000}"/>
    <cellStyle name="Migliaia 15 5 3" xfId="5790" xr:uid="{00000000-0005-0000-0000-00002A0B0000}"/>
    <cellStyle name="Migliaia 15 6" xfId="4803" xr:uid="{00000000-0005-0000-0000-00002B0B0000}"/>
    <cellStyle name="Migliaia 15 7" xfId="5783" xr:uid="{00000000-0005-0000-0000-00002C0B0000}"/>
    <cellStyle name="Migliaia 16" xfId="540" xr:uid="{00000000-0005-0000-0000-00002D0B0000}"/>
    <cellStyle name="Migliaia 16 2" xfId="541" xr:uid="{00000000-0005-0000-0000-00002E0B0000}"/>
    <cellStyle name="Migliaia 16 2 2" xfId="2342" xr:uid="{00000000-0005-0000-0000-00002F0B0000}"/>
    <cellStyle name="Migliaia 16 2 2 2" xfId="5402" xr:uid="{00000000-0005-0000-0000-0000300B0000}"/>
    <cellStyle name="Migliaia 16 2 2 3" xfId="6324" xr:uid="{00000000-0005-0000-0000-0000310B0000}"/>
    <cellStyle name="Migliaia 16 2 3" xfId="4871" xr:uid="{00000000-0005-0000-0000-0000320B0000}"/>
    <cellStyle name="Migliaia 16 2 4" xfId="5792" xr:uid="{00000000-0005-0000-0000-0000330B0000}"/>
    <cellStyle name="Migliaia 16 3" xfId="542" xr:uid="{00000000-0005-0000-0000-0000340B0000}"/>
    <cellStyle name="Migliaia 16 3 2" xfId="543" xr:uid="{00000000-0005-0000-0000-0000350B0000}"/>
    <cellStyle name="Migliaia 16 3 2 2" xfId="4975" xr:uid="{00000000-0005-0000-0000-0000360B0000}"/>
    <cellStyle name="Migliaia 16 3 2 3" xfId="5794" xr:uid="{00000000-0005-0000-0000-0000370B0000}"/>
    <cellStyle name="Migliaia 16 3 3" xfId="544" xr:uid="{00000000-0005-0000-0000-0000380B0000}"/>
    <cellStyle name="Migliaia 16 3 3 2" xfId="2344" xr:uid="{00000000-0005-0000-0000-0000390B0000}"/>
    <cellStyle name="Migliaia 16 3 3 2 2" xfId="5404" xr:uid="{00000000-0005-0000-0000-00003A0B0000}"/>
    <cellStyle name="Migliaia 16 3 3 2 3" xfId="6326" xr:uid="{00000000-0005-0000-0000-00003B0B0000}"/>
    <cellStyle name="Migliaia 16 3 3 3" xfId="4976" xr:uid="{00000000-0005-0000-0000-00003C0B0000}"/>
    <cellStyle name="Migliaia 16 3 3 4" xfId="5795" xr:uid="{00000000-0005-0000-0000-00003D0B0000}"/>
    <cellStyle name="Migliaia 16 3 4" xfId="2343" xr:uid="{00000000-0005-0000-0000-00003E0B0000}"/>
    <cellStyle name="Migliaia 16 3 4 2" xfId="5403" xr:uid="{00000000-0005-0000-0000-00003F0B0000}"/>
    <cellStyle name="Migliaia 16 3 4 3" xfId="6325" xr:uid="{00000000-0005-0000-0000-0000400B0000}"/>
    <cellStyle name="Migliaia 16 3 5" xfId="4974" xr:uid="{00000000-0005-0000-0000-0000410B0000}"/>
    <cellStyle name="Migliaia 16 3 6" xfId="5793" xr:uid="{00000000-0005-0000-0000-0000420B0000}"/>
    <cellStyle name="Migliaia 16 4" xfId="545" xr:uid="{00000000-0005-0000-0000-0000430B0000}"/>
    <cellStyle name="Migliaia 16 4 2" xfId="546" xr:uid="{00000000-0005-0000-0000-0000440B0000}"/>
    <cellStyle name="Migliaia 16 4 2 2" xfId="2346" xr:uid="{00000000-0005-0000-0000-0000450B0000}"/>
    <cellStyle name="Migliaia 16 4 2 2 2" xfId="5406" xr:uid="{00000000-0005-0000-0000-0000460B0000}"/>
    <cellStyle name="Migliaia 16 4 2 2 3" xfId="6328" xr:uid="{00000000-0005-0000-0000-0000470B0000}"/>
    <cellStyle name="Migliaia 16 4 2 3" xfId="4978" xr:uid="{00000000-0005-0000-0000-0000480B0000}"/>
    <cellStyle name="Migliaia 16 4 2 4" xfId="5797" xr:uid="{00000000-0005-0000-0000-0000490B0000}"/>
    <cellStyle name="Migliaia 16 4 3" xfId="2345" xr:uid="{00000000-0005-0000-0000-00004A0B0000}"/>
    <cellStyle name="Migliaia 16 4 3 2" xfId="5405" xr:uid="{00000000-0005-0000-0000-00004B0B0000}"/>
    <cellStyle name="Migliaia 16 4 3 3" xfId="6327" xr:uid="{00000000-0005-0000-0000-00004C0B0000}"/>
    <cellStyle name="Migliaia 16 4 4" xfId="4977" xr:uid="{00000000-0005-0000-0000-00004D0B0000}"/>
    <cellStyle name="Migliaia 16 4 5" xfId="5796" xr:uid="{00000000-0005-0000-0000-00004E0B0000}"/>
    <cellStyle name="Migliaia 16 5" xfId="547" xr:uid="{00000000-0005-0000-0000-00004F0B0000}"/>
    <cellStyle name="Migliaia 16 5 2" xfId="4979" xr:uid="{00000000-0005-0000-0000-0000500B0000}"/>
    <cellStyle name="Migliaia 16 5 3" xfId="5798" xr:uid="{00000000-0005-0000-0000-0000510B0000}"/>
    <cellStyle name="Migliaia 16 6" xfId="4804" xr:uid="{00000000-0005-0000-0000-0000520B0000}"/>
    <cellStyle name="Migliaia 16 7" xfId="5791" xr:uid="{00000000-0005-0000-0000-0000530B0000}"/>
    <cellStyle name="Migliaia 17" xfId="548" xr:uid="{00000000-0005-0000-0000-0000540B0000}"/>
    <cellStyle name="Migliaia 17 2" xfId="549" xr:uid="{00000000-0005-0000-0000-0000550B0000}"/>
    <cellStyle name="Migliaia 17 2 2" xfId="2347" xr:uid="{00000000-0005-0000-0000-0000560B0000}"/>
    <cellStyle name="Migliaia 17 2 2 2" xfId="5407" xr:uid="{00000000-0005-0000-0000-0000570B0000}"/>
    <cellStyle name="Migliaia 17 2 2 3" xfId="6329" xr:uid="{00000000-0005-0000-0000-0000580B0000}"/>
    <cellStyle name="Migliaia 17 2 3" xfId="4872" xr:uid="{00000000-0005-0000-0000-0000590B0000}"/>
    <cellStyle name="Migliaia 17 2 4" xfId="5800" xr:uid="{00000000-0005-0000-0000-00005A0B0000}"/>
    <cellStyle name="Migliaia 17 3" xfId="550" xr:uid="{00000000-0005-0000-0000-00005B0B0000}"/>
    <cellStyle name="Migliaia 17 3 2" xfId="551" xr:uid="{00000000-0005-0000-0000-00005C0B0000}"/>
    <cellStyle name="Migliaia 17 3 2 2" xfId="4981" xr:uid="{00000000-0005-0000-0000-00005D0B0000}"/>
    <cellStyle name="Migliaia 17 3 2 3" xfId="5802" xr:uid="{00000000-0005-0000-0000-00005E0B0000}"/>
    <cellStyle name="Migliaia 17 3 3" xfId="552" xr:uid="{00000000-0005-0000-0000-00005F0B0000}"/>
    <cellStyle name="Migliaia 17 3 3 2" xfId="2349" xr:uid="{00000000-0005-0000-0000-0000600B0000}"/>
    <cellStyle name="Migliaia 17 3 3 2 2" xfId="5409" xr:uid="{00000000-0005-0000-0000-0000610B0000}"/>
    <cellStyle name="Migliaia 17 3 3 2 3" xfId="6331" xr:uid="{00000000-0005-0000-0000-0000620B0000}"/>
    <cellStyle name="Migliaia 17 3 3 3" xfId="4982" xr:uid="{00000000-0005-0000-0000-0000630B0000}"/>
    <cellStyle name="Migliaia 17 3 3 4" xfId="5803" xr:uid="{00000000-0005-0000-0000-0000640B0000}"/>
    <cellStyle name="Migliaia 17 3 4" xfId="2348" xr:uid="{00000000-0005-0000-0000-0000650B0000}"/>
    <cellStyle name="Migliaia 17 3 4 2" xfId="5408" xr:uid="{00000000-0005-0000-0000-0000660B0000}"/>
    <cellStyle name="Migliaia 17 3 4 3" xfId="6330" xr:uid="{00000000-0005-0000-0000-0000670B0000}"/>
    <cellStyle name="Migliaia 17 3 5" xfId="4980" xr:uid="{00000000-0005-0000-0000-0000680B0000}"/>
    <cellStyle name="Migliaia 17 3 6" xfId="5801" xr:uid="{00000000-0005-0000-0000-0000690B0000}"/>
    <cellStyle name="Migliaia 17 4" xfId="553" xr:uid="{00000000-0005-0000-0000-00006A0B0000}"/>
    <cellStyle name="Migliaia 17 4 2" xfId="554" xr:uid="{00000000-0005-0000-0000-00006B0B0000}"/>
    <cellStyle name="Migliaia 17 4 2 2" xfId="2351" xr:uid="{00000000-0005-0000-0000-00006C0B0000}"/>
    <cellStyle name="Migliaia 17 4 2 2 2" xfId="5411" xr:uid="{00000000-0005-0000-0000-00006D0B0000}"/>
    <cellStyle name="Migliaia 17 4 2 2 3" xfId="6333" xr:uid="{00000000-0005-0000-0000-00006E0B0000}"/>
    <cellStyle name="Migliaia 17 4 2 3" xfId="4984" xr:uid="{00000000-0005-0000-0000-00006F0B0000}"/>
    <cellStyle name="Migliaia 17 4 2 4" xfId="5805" xr:uid="{00000000-0005-0000-0000-0000700B0000}"/>
    <cellStyle name="Migliaia 17 4 3" xfId="2350" xr:uid="{00000000-0005-0000-0000-0000710B0000}"/>
    <cellStyle name="Migliaia 17 4 3 2" xfId="5410" xr:uid="{00000000-0005-0000-0000-0000720B0000}"/>
    <cellStyle name="Migliaia 17 4 3 3" xfId="6332" xr:uid="{00000000-0005-0000-0000-0000730B0000}"/>
    <cellStyle name="Migliaia 17 4 4" xfId="4983" xr:uid="{00000000-0005-0000-0000-0000740B0000}"/>
    <cellStyle name="Migliaia 17 4 5" xfId="5804" xr:uid="{00000000-0005-0000-0000-0000750B0000}"/>
    <cellStyle name="Migliaia 17 5" xfId="555" xr:uid="{00000000-0005-0000-0000-0000760B0000}"/>
    <cellStyle name="Migliaia 17 5 2" xfId="4985" xr:uid="{00000000-0005-0000-0000-0000770B0000}"/>
    <cellStyle name="Migliaia 17 5 3" xfId="5806" xr:uid="{00000000-0005-0000-0000-0000780B0000}"/>
    <cellStyle name="Migliaia 17 6" xfId="4805" xr:uid="{00000000-0005-0000-0000-0000790B0000}"/>
    <cellStyle name="Migliaia 17 7" xfId="5799" xr:uid="{00000000-0005-0000-0000-00007A0B0000}"/>
    <cellStyle name="Migliaia 18" xfId="556" xr:uid="{00000000-0005-0000-0000-00007B0B0000}"/>
    <cellStyle name="Migliaia 18 2" xfId="557" xr:uid="{00000000-0005-0000-0000-00007C0B0000}"/>
    <cellStyle name="Migliaia 18 2 2" xfId="2352" xr:uid="{00000000-0005-0000-0000-00007D0B0000}"/>
    <cellStyle name="Migliaia 18 2 2 2" xfId="5412" xr:uid="{00000000-0005-0000-0000-00007E0B0000}"/>
    <cellStyle name="Migliaia 18 2 2 3" xfId="6334" xr:uid="{00000000-0005-0000-0000-00007F0B0000}"/>
    <cellStyle name="Migliaia 18 2 3" xfId="4873" xr:uid="{00000000-0005-0000-0000-0000800B0000}"/>
    <cellStyle name="Migliaia 18 2 4" xfId="5808" xr:uid="{00000000-0005-0000-0000-0000810B0000}"/>
    <cellStyle name="Migliaia 18 3" xfId="558" xr:uid="{00000000-0005-0000-0000-0000820B0000}"/>
    <cellStyle name="Migliaia 18 3 2" xfId="559" xr:uid="{00000000-0005-0000-0000-0000830B0000}"/>
    <cellStyle name="Migliaia 18 3 2 2" xfId="4987" xr:uid="{00000000-0005-0000-0000-0000840B0000}"/>
    <cellStyle name="Migliaia 18 3 2 3" xfId="5810" xr:uid="{00000000-0005-0000-0000-0000850B0000}"/>
    <cellStyle name="Migliaia 18 3 3" xfId="560" xr:uid="{00000000-0005-0000-0000-0000860B0000}"/>
    <cellStyle name="Migliaia 18 3 3 2" xfId="2354" xr:uid="{00000000-0005-0000-0000-0000870B0000}"/>
    <cellStyle name="Migliaia 18 3 3 2 2" xfId="5414" xr:uid="{00000000-0005-0000-0000-0000880B0000}"/>
    <cellStyle name="Migliaia 18 3 3 2 3" xfId="6336" xr:uid="{00000000-0005-0000-0000-0000890B0000}"/>
    <cellStyle name="Migliaia 18 3 3 3" xfId="4988" xr:uid="{00000000-0005-0000-0000-00008A0B0000}"/>
    <cellStyle name="Migliaia 18 3 3 4" xfId="5811" xr:uid="{00000000-0005-0000-0000-00008B0B0000}"/>
    <cellStyle name="Migliaia 18 3 4" xfId="2353" xr:uid="{00000000-0005-0000-0000-00008C0B0000}"/>
    <cellStyle name="Migliaia 18 3 4 2" xfId="5413" xr:uid="{00000000-0005-0000-0000-00008D0B0000}"/>
    <cellStyle name="Migliaia 18 3 4 3" xfId="6335" xr:uid="{00000000-0005-0000-0000-00008E0B0000}"/>
    <cellStyle name="Migliaia 18 3 5" xfId="4986" xr:uid="{00000000-0005-0000-0000-00008F0B0000}"/>
    <cellStyle name="Migliaia 18 3 6" xfId="5809" xr:uid="{00000000-0005-0000-0000-0000900B0000}"/>
    <cellStyle name="Migliaia 18 4" xfId="561" xr:uid="{00000000-0005-0000-0000-0000910B0000}"/>
    <cellStyle name="Migliaia 18 4 2" xfId="562" xr:uid="{00000000-0005-0000-0000-0000920B0000}"/>
    <cellStyle name="Migliaia 18 4 2 2" xfId="2356" xr:uid="{00000000-0005-0000-0000-0000930B0000}"/>
    <cellStyle name="Migliaia 18 4 2 2 2" xfId="5416" xr:uid="{00000000-0005-0000-0000-0000940B0000}"/>
    <cellStyle name="Migliaia 18 4 2 2 3" xfId="6338" xr:uid="{00000000-0005-0000-0000-0000950B0000}"/>
    <cellStyle name="Migliaia 18 4 2 3" xfId="4990" xr:uid="{00000000-0005-0000-0000-0000960B0000}"/>
    <cellStyle name="Migliaia 18 4 2 4" xfId="5813" xr:uid="{00000000-0005-0000-0000-0000970B0000}"/>
    <cellStyle name="Migliaia 18 4 3" xfId="2355" xr:uid="{00000000-0005-0000-0000-0000980B0000}"/>
    <cellStyle name="Migliaia 18 4 3 2" xfId="5415" xr:uid="{00000000-0005-0000-0000-0000990B0000}"/>
    <cellStyle name="Migliaia 18 4 3 3" xfId="6337" xr:uid="{00000000-0005-0000-0000-00009A0B0000}"/>
    <cellStyle name="Migliaia 18 4 4" xfId="4989" xr:uid="{00000000-0005-0000-0000-00009B0B0000}"/>
    <cellStyle name="Migliaia 18 4 5" xfId="5812" xr:uid="{00000000-0005-0000-0000-00009C0B0000}"/>
    <cellStyle name="Migliaia 18 5" xfId="563" xr:uid="{00000000-0005-0000-0000-00009D0B0000}"/>
    <cellStyle name="Migliaia 18 5 2" xfId="4991" xr:uid="{00000000-0005-0000-0000-00009E0B0000}"/>
    <cellStyle name="Migliaia 18 5 3" xfId="5814" xr:uid="{00000000-0005-0000-0000-00009F0B0000}"/>
    <cellStyle name="Migliaia 18 6" xfId="4806" xr:uid="{00000000-0005-0000-0000-0000A00B0000}"/>
    <cellStyle name="Migliaia 18 7" xfId="5807" xr:uid="{00000000-0005-0000-0000-0000A10B0000}"/>
    <cellStyle name="Migliaia 19" xfId="564" xr:uid="{00000000-0005-0000-0000-0000A20B0000}"/>
    <cellStyle name="Migliaia 19 2" xfId="565" xr:uid="{00000000-0005-0000-0000-0000A30B0000}"/>
    <cellStyle name="Migliaia 19 2 2" xfId="2357" xr:uid="{00000000-0005-0000-0000-0000A40B0000}"/>
    <cellStyle name="Migliaia 19 2 2 2" xfId="5417" xr:uid="{00000000-0005-0000-0000-0000A50B0000}"/>
    <cellStyle name="Migliaia 19 2 2 3" xfId="6339" xr:uid="{00000000-0005-0000-0000-0000A60B0000}"/>
    <cellStyle name="Migliaia 19 2 3" xfId="4874" xr:uid="{00000000-0005-0000-0000-0000A70B0000}"/>
    <cellStyle name="Migliaia 19 2 4" xfId="5816" xr:uid="{00000000-0005-0000-0000-0000A80B0000}"/>
    <cellStyle name="Migliaia 19 3" xfId="566" xr:uid="{00000000-0005-0000-0000-0000A90B0000}"/>
    <cellStyle name="Migliaia 19 3 2" xfId="567" xr:uid="{00000000-0005-0000-0000-0000AA0B0000}"/>
    <cellStyle name="Migliaia 19 3 2 2" xfId="4993" xr:uid="{00000000-0005-0000-0000-0000AB0B0000}"/>
    <cellStyle name="Migliaia 19 3 2 3" xfId="5818" xr:uid="{00000000-0005-0000-0000-0000AC0B0000}"/>
    <cellStyle name="Migliaia 19 3 3" xfId="568" xr:uid="{00000000-0005-0000-0000-0000AD0B0000}"/>
    <cellStyle name="Migliaia 19 3 3 2" xfId="2359" xr:uid="{00000000-0005-0000-0000-0000AE0B0000}"/>
    <cellStyle name="Migliaia 19 3 3 2 2" xfId="5419" xr:uid="{00000000-0005-0000-0000-0000AF0B0000}"/>
    <cellStyle name="Migliaia 19 3 3 2 3" xfId="6341" xr:uid="{00000000-0005-0000-0000-0000B00B0000}"/>
    <cellStyle name="Migliaia 19 3 3 3" xfId="4994" xr:uid="{00000000-0005-0000-0000-0000B10B0000}"/>
    <cellStyle name="Migliaia 19 3 3 4" xfId="5819" xr:uid="{00000000-0005-0000-0000-0000B20B0000}"/>
    <cellStyle name="Migliaia 19 3 4" xfId="2358" xr:uid="{00000000-0005-0000-0000-0000B30B0000}"/>
    <cellStyle name="Migliaia 19 3 4 2" xfId="5418" xr:uid="{00000000-0005-0000-0000-0000B40B0000}"/>
    <cellStyle name="Migliaia 19 3 4 3" xfId="6340" xr:uid="{00000000-0005-0000-0000-0000B50B0000}"/>
    <cellStyle name="Migliaia 19 3 5" xfId="4992" xr:uid="{00000000-0005-0000-0000-0000B60B0000}"/>
    <cellStyle name="Migliaia 19 3 6" xfId="5817" xr:uid="{00000000-0005-0000-0000-0000B70B0000}"/>
    <cellStyle name="Migliaia 19 4" xfId="569" xr:uid="{00000000-0005-0000-0000-0000B80B0000}"/>
    <cellStyle name="Migliaia 19 4 2" xfId="570" xr:uid="{00000000-0005-0000-0000-0000B90B0000}"/>
    <cellStyle name="Migliaia 19 4 2 2" xfId="2361" xr:uid="{00000000-0005-0000-0000-0000BA0B0000}"/>
    <cellStyle name="Migliaia 19 4 2 2 2" xfId="5421" xr:uid="{00000000-0005-0000-0000-0000BB0B0000}"/>
    <cellStyle name="Migliaia 19 4 2 2 3" xfId="6343" xr:uid="{00000000-0005-0000-0000-0000BC0B0000}"/>
    <cellStyle name="Migliaia 19 4 2 3" xfId="4996" xr:uid="{00000000-0005-0000-0000-0000BD0B0000}"/>
    <cellStyle name="Migliaia 19 4 2 4" xfId="5821" xr:uid="{00000000-0005-0000-0000-0000BE0B0000}"/>
    <cellStyle name="Migliaia 19 4 3" xfId="2360" xr:uid="{00000000-0005-0000-0000-0000BF0B0000}"/>
    <cellStyle name="Migliaia 19 4 3 2" xfId="5420" xr:uid="{00000000-0005-0000-0000-0000C00B0000}"/>
    <cellStyle name="Migliaia 19 4 3 3" xfId="6342" xr:uid="{00000000-0005-0000-0000-0000C10B0000}"/>
    <cellStyle name="Migliaia 19 4 4" xfId="4995" xr:uid="{00000000-0005-0000-0000-0000C20B0000}"/>
    <cellStyle name="Migliaia 19 4 5" xfId="5820" xr:uid="{00000000-0005-0000-0000-0000C30B0000}"/>
    <cellStyle name="Migliaia 19 5" xfId="571" xr:uid="{00000000-0005-0000-0000-0000C40B0000}"/>
    <cellStyle name="Migliaia 19 5 2" xfId="4997" xr:uid="{00000000-0005-0000-0000-0000C50B0000}"/>
    <cellStyle name="Migliaia 19 5 3" xfId="5822" xr:uid="{00000000-0005-0000-0000-0000C60B0000}"/>
    <cellStyle name="Migliaia 19 6" xfId="4807" xr:uid="{00000000-0005-0000-0000-0000C70B0000}"/>
    <cellStyle name="Migliaia 19 7" xfId="5815" xr:uid="{00000000-0005-0000-0000-0000C80B0000}"/>
    <cellStyle name="Migliaia 2" xfId="572" xr:uid="{00000000-0005-0000-0000-0000C90B0000}"/>
    <cellStyle name="Migliaia 2 2" xfId="573" xr:uid="{00000000-0005-0000-0000-0000CA0B0000}"/>
    <cellStyle name="Migliaia 2 2 2" xfId="2068" xr:uid="{00000000-0005-0000-0000-0000CB0B0000}"/>
    <cellStyle name="Migliaia 2 2 2 2" xfId="5367" xr:uid="{00000000-0005-0000-0000-0000CC0B0000}"/>
    <cellStyle name="Migliaia 2 2 2 3" xfId="6289" xr:uid="{00000000-0005-0000-0000-0000CD0B0000}"/>
    <cellStyle name="Migliaia 2 2 3" xfId="4809" xr:uid="{00000000-0005-0000-0000-0000CE0B0000}"/>
    <cellStyle name="Migliaia 2 2 4" xfId="5824" xr:uid="{00000000-0005-0000-0000-0000CF0B0000}"/>
    <cellStyle name="Migliaia 2 3" xfId="574" xr:uid="{00000000-0005-0000-0000-0000D00B0000}"/>
    <cellStyle name="Migliaia 2 3 2" xfId="2069" xr:uid="{00000000-0005-0000-0000-0000D10B0000}"/>
    <cellStyle name="Migliaia 2 3 2 2" xfId="5368" xr:uid="{00000000-0005-0000-0000-0000D20B0000}"/>
    <cellStyle name="Migliaia 2 3 2 3" xfId="6290" xr:uid="{00000000-0005-0000-0000-0000D30B0000}"/>
    <cellStyle name="Migliaia 2 3 3" xfId="4810" xr:uid="{00000000-0005-0000-0000-0000D40B0000}"/>
    <cellStyle name="Migliaia 2 3 4" xfId="5825" xr:uid="{00000000-0005-0000-0000-0000D50B0000}"/>
    <cellStyle name="Migliaia 2 4" xfId="575" xr:uid="{00000000-0005-0000-0000-0000D60B0000}"/>
    <cellStyle name="Migliaia 2 4 2" xfId="576" xr:uid="{00000000-0005-0000-0000-0000D70B0000}"/>
    <cellStyle name="Migliaia 2 4 2 2" xfId="4999" xr:uid="{00000000-0005-0000-0000-0000D80B0000}"/>
    <cellStyle name="Migliaia 2 4 2 3" xfId="5827" xr:uid="{00000000-0005-0000-0000-0000D90B0000}"/>
    <cellStyle name="Migliaia 2 4 3" xfId="577" xr:uid="{00000000-0005-0000-0000-0000DA0B0000}"/>
    <cellStyle name="Migliaia 2 4 3 2" xfId="2363" xr:uid="{00000000-0005-0000-0000-0000DB0B0000}"/>
    <cellStyle name="Migliaia 2 4 3 2 2" xfId="5423" xr:uid="{00000000-0005-0000-0000-0000DC0B0000}"/>
    <cellStyle name="Migliaia 2 4 3 2 3" xfId="6345" xr:uid="{00000000-0005-0000-0000-0000DD0B0000}"/>
    <cellStyle name="Migliaia 2 4 3 3" xfId="5000" xr:uid="{00000000-0005-0000-0000-0000DE0B0000}"/>
    <cellStyle name="Migliaia 2 4 3 4" xfId="5828" xr:uid="{00000000-0005-0000-0000-0000DF0B0000}"/>
    <cellStyle name="Migliaia 2 4 4" xfId="2362" xr:uid="{00000000-0005-0000-0000-0000E00B0000}"/>
    <cellStyle name="Migliaia 2 4 4 2" xfId="5422" xr:uid="{00000000-0005-0000-0000-0000E10B0000}"/>
    <cellStyle name="Migliaia 2 4 4 3" xfId="6344" xr:uid="{00000000-0005-0000-0000-0000E20B0000}"/>
    <cellStyle name="Migliaia 2 4 5" xfId="4998" xr:uid="{00000000-0005-0000-0000-0000E30B0000}"/>
    <cellStyle name="Migliaia 2 4 6" xfId="5826" xr:uid="{00000000-0005-0000-0000-0000E40B0000}"/>
    <cellStyle name="Migliaia 2 5" xfId="578" xr:uid="{00000000-0005-0000-0000-0000E50B0000}"/>
    <cellStyle name="Migliaia 2 5 2" xfId="579" xr:uid="{00000000-0005-0000-0000-0000E60B0000}"/>
    <cellStyle name="Migliaia 2 5 2 2" xfId="2365" xr:uid="{00000000-0005-0000-0000-0000E70B0000}"/>
    <cellStyle name="Migliaia 2 5 2 2 2" xfId="5425" xr:uid="{00000000-0005-0000-0000-0000E80B0000}"/>
    <cellStyle name="Migliaia 2 5 2 2 3" xfId="6347" xr:uid="{00000000-0005-0000-0000-0000E90B0000}"/>
    <cellStyle name="Migliaia 2 5 2 3" xfId="5002" xr:uid="{00000000-0005-0000-0000-0000EA0B0000}"/>
    <cellStyle name="Migliaia 2 5 2 4" xfId="5830" xr:uid="{00000000-0005-0000-0000-0000EB0B0000}"/>
    <cellStyle name="Migliaia 2 5 3" xfId="2364" xr:uid="{00000000-0005-0000-0000-0000EC0B0000}"/>
    <cellStyle name="Migliaia 2 5 3 2" xfId="5424" xr:uid="{00000000-0005-0000-0000-0000ED0B0000}"/>
    <cellStyle name="Migliaia 2 5 3 3" xfId="6346" xr:uid="{00000000-0005-0000-0000-0000EE0B0000}"/>
    <cellStyle name="Migliaia 2 5 4" xfId="5001" xr:uid="{00000000-0005-0000-0000-0000EF0B0000}"/>
    <cellStyle name="Migliaia 2 5 5" xfId="5829" xr:uid="{00000000-0005-0000-0000-0000F00B0000}"/>
    <cellStyle name="Migliaia 2 6" xfId="580" xr:uid="{00000000-0005-0000-0000-0000F10B0000}"/>
    <cellStyle name="Migliaia 2 6 2" xfId="5003" xr:uid="{00000000-0005-0000-0000-0000F20B0000}"/>
    <cellStyle name="Migliaia 2 6 3" xfId="5831" xr:uid="{00000000-0005-0000-0000-0000F30B0000}"/>
    <cellStyle name="Migliaia 2 7" xfId="4808" xr:uid="{00000000-0005-0000-0000-0000F40B0000}"/>
    <cellStyle name="Migliaia 2 8" xfId="5823" xr:uid="{00000000-0005-0000-0000-0000F50B0000}"/>
    <cellStyle name="Migliaia 2_Domestico_reg&amp;naz" xfId="581" xr:uid="{00000000-0005-0000-0000-0000F60B0000}"/>
    <cellStyle name="Migliaia 20" xfId="582" xr:uid="{00000000-0005-0000-0000-0000F70B0000}"/>
    <cellStyle name="Migliaia 20 2" xfId="583" xr:uid="{00000000-0005-0000-0000-0000F80B0000}"/>
    <cellStyle name="Migliaia 20 2 2" xfId="2366" xr:uid="{00000000-0005-0000-0000-0000F90B0000}"/>
    <cellStyle name="Migliaia 20 2 2 2" xfId="5426" xr:uid="{00000000-0005-0000-0000-0000FA0B0000}"/>
    <cellStyle name="Migliaia 20 2 2 3" xfId="6348" xr:uid="{00000000-0005-0000-0000-0000FB0B0000}"/>
    <cellStyle name="Migliaia 20 2 3" xfId="4875" xr:uid="{00000000-0005-0000-0000-0000FC0B0000}"/>
    <cellStyle name="Migliaia 20 2 4" xfId="5833" xr:uid="{00000000-0005-0000-0000-0000FD0B0000}"/>
    <cellStyle name="Migliaia 20 3" xfId="584" xr:uid="{00000000-0005-0000-0000-0000FE0B0000}"/>
    <cellStyle name="Migliaia 20 3 2" xfId="585" xr:uid="{00000000-0005-0000-0000-0000FF0B0000}"/>
    <cellStyle name="Migliaia 20 3 2 2" xfId="5005" xr:uid="{00000000-0005-0000-0000-0000000C0000}"/>
    <cellStyle name="Migliaia 20 3 2 3" xfId="5835" xr:uid="{00000000-0005-0000-0000-0000010C0000}"/>
    <cellStyle name="Migliaia 20 3 3" xfId="586" xr:uid="{00000000-0005-0000-0000-0000020C0000}"/>
    <cellStyle name="Migliaia 20 3 3 2" xfId="2368" xr:uid="{00000000-0005-0000-0000-0000030C0000}"/>
    <cellStyle name="Migliaia 20 3 3 2 2" xfId="5428" xr:uid="{00000000-0005-0000-0000-0000040C0000}"/>
    <cellStyle name="Migliaia 20 3 3 2 3" xfId="6350" xr:uid="{00000000-0005-0000-0000-0000050C0000}"/>
    <cellStyle name="Migliaia 20 3 3 3" xfId="5006" xr:uid="{00000000-0005-0000-0000-0000060C0000}"/>
    <cellStyle name="Migliaia 20 3 3 4" xfId="5836" xr:uid="{00000000-0005-0000-0000-0000070C0000}"/>
    <cellStyle name="Migliaia 20 3 4" xfId="2367" xr:uid="{00000000-0005-0000-0000-0000080C0000}"/>
    <cellStyle name="Migliaia 20 3 4 2" xfId="5427" xr:uid="{00000000-0005-0000-0000-0000090C0000}"/>
    <cellStyle name="Migliaia 20 3 4 3" xfId="6349" xr:uid="{00000000-0005-0000-0000-00000A0C0000}"/>
    <cellStyle name="Migliaia 20 3 5" xfId="5004" xr:uid="{00000000-0005-0000-0000-00000B0C0000}"/>
    <cellStyle name="Migliaia 20 3 6" xfId="5834" xr:uid="{00000000-0005-0000-0000-00000C0C0000}"/>
    <cellStyle name="Migliaia 20 4" xfId="587" xr:uid="{00000000-0005-0000-0000-00000D0C0000}"/>
    <cellStyle name="Migliaia 20 4 2" xfId="588" xr:uid="{00000000-0005-0000-0000-00000E0C0000}"/>
    <cellStyle name="Migliaia 20 4 2 2" xfId="2370" xr:uid="{00000000-0005-0000-0000-00000F0C0000}"/>
    <cellStyle name="Migliaia 20 4 2 2 2" xfId="5430" xr:uid="{00000000-0005-0000-0000-0000100C0000}"/>
    <cellStyle name="Migliaia 20 4 2 2 3" xfId="6352" xr:uid="{00000000-0005-0000-0000-0000110C0000}"/>
    <cellStyle name="Migliaia 20 4 2 3" xfId="5008" xr:uid="{00000000-0005-0000-0000-0000120C0000}"/>
    <cellStyle name="Migliaia 20 4 2 4" xfId="5838" xr:uid="{00000000-0005-0000-0000-0000130C0000}"/>
    <cellStyle name="Migliaia 20 4 3" xfId="2369" xr:uid="{00000000-0005-0000-0000-0000140C0000}"/>
    <cellStyle name="Migliaia 20 4 3 2" xfId="5429" xr:uid="{00000000-0005-0000-0000-0000150C0000}"/>
    <cellStyle name="Migliaia 20 4 3 3" xfId="6351" xr:uid="{00000000-0005-0000-0000-0000160C0000}"/>
    <cellStyle name="Migliaia 20 4 4" xfId="5007" xr:uid="{00000000-0005-0000-0000-0000170C0000}"/>
    <cellStyle name="Migliaia 20 4 5" xfId="5837" xr:uid="{00000000-0005-0000-0000-0000180C0000}"/>
    <cellStyle name="Migliaia 20 5" xfId="589" xr:uid="{00000000-0005-0000-0000-0000190C0000}"/>
    <cellStyle name="Migliaia 20 5 2" xfId="5009" xr:uid="{00000000-0005-0000-0000-00001A0C0000}"/>
    <cellStyle name="Migliaia 20 5 3" xfId="5839" xr:uid="{00000000-0005-0000-0000-00001B0C0000}"/>
    <cellStyle name="Migliaia 20 6" xfId="4811" xr:uid="{00000000-0005-0000-0000-00001C0C0000}"/>
    <cellStyle name="Migliaia 20 7" xfId="5832" xr:uid="{00000000-0005-0000-0000-00001D0C0000}"/>
    <cellStyle name="Migliaia 21" xfId="590" xr:uid="{00000000-0005-0000-0000-00001E0C0000}"/>
    <cellStyle name="Migliaia 21 2" xfId="591" xr:uid="{00000000-0005-0000-0000-00001F0C0000}"/>
    <cellStyle name="Migliaia 21 2 2" xfId="2371" xr:uid="{00000000-0005-0000-0000-0000200C0000}"/>
    <cellStyle name="Migliaia 21 2 2 2" xfId="5431" xr:uid="{00000000-0005-0000-0000-0000210C0000}"/>
    <cellStyle name="Migliaia 21 2 2 3" xfId="6353" xr:uid="{00000000-0005-0000-0000-0000220C0000}"/>
    <cellStyle name="Migliaia 21 2 3" xfId="4876" xr:uid="{00000000-0005-0000-0000-0000230C0000}"/>
    <cellStyle name="Migliaia 21 2 4" xfId="5841" xr:uid="{00000000-0005-0000-0000-0000240C0000}"/>
    <cellStyle name="Migliaia 21 3" xfId="592" xr:uid="{00000000-0005-0000-0000-0000250C0000}"/>
    <cellStyle name="Migliaia 21 3 2" xfId="593" xr:uid="{00000000-0005-0000-0000-0000260C0000}"/>
    <cellStyle name="Migliaia 21 3 2 2" xfId="5011" xr:uid="{00000000-0005-0000-0000-0000270C0000}"/>
    <cellStyle name="Migliaia 21 3 2 3" xfId="5843" xr:uid="{00000000-0005-0000-0000-0000280C0000}"/>
    <cellStyle name="Migliaia 21 3 3" xfId="594" xr:uid="{00000000-0005-0000-0000-0000290C0000}"/>
    <cellStyle name="Migliaia 21 3 3 2" xfId="2373" xr:uid="{00000000-0005-0000-0000-00002A0C0000}"/>
    <cellStyle name="Migliaia 21 3 3 2 2" xfId="5433" xr:uid="{00000000-0005-0000-0000-00002B0C0000}"/>
    <cellStyle name="Migliaia 21 3 3 2 3" xfId="6355" xr:uid="{00000000-0005-0000-0000-00002C0C0000}"/>
    <cellStyle name="Migliaia 21 3 3 3" xfId="5012" xr:uid="{00000000-0005-0000-0000-00002D0C0000}"/>
    <cellStyle name="Migliaia 21 3 3 4" xfId="5844" xr:uid="{00000000-0005-0000-0000-00002E0C0000}"/>
    <cellStyle name="Migliaia 21 3 4" xfId="2372" xr:uid="{00000000-0005-0000-0000-00002F0C0000}"/>
    <cellStyle name="Migliaia 21 3 4 2" xfId="5432" xr:uid="{00000000-0005-0000-0000-0000300C0000}"/>
    <cellStyle name="Migliaia 21 3 4 3" xfId="6354" xr:uid="{00000000-0005-0000-0000-0000310C0000}"/>
    <cellStyle name="Migliaia 21 3 5" xfId="5010" xr:uid="{00000000-0005-0000-0000-0000320C0000}"/>
    <cellStyle name="Migliaia 21 3 6" xfId="5842" xr:uid="{00000000-0005-0000-0000-0000330C0000}"/>
    <cellStyle name="Migliaia 21 4" xfId="595" xr:uid="{00000000-0005-0000-0000-0000340C0000}"/>
    <cellStyle name="Migliaia 21 4 2" xfId="596" xr:uid="{00000000-0005-0000-0000-0000350C0000}"/>
    <cellStyle name="Migliaia 21 4 2 2" xfId="2375" xr:uid="{00000000-0005-0000-0000-0000360C0000}"/>
    <cellStyle name="Migliaia 21 4 2 2 2" xfId="5435" xr:uid="{00000000-0005-0000-0000-0000370C0000}"/>
    <cellStyle name="Migliaia 21 4 2 2 3" xfId="6357" xr:uid="{00000000-0005-0000-0000-0000380C0000}"/>
    <cellStyle name="Migliaia 21 4 2 3" xfId="5014" xr:uid="{00000000-0005-0000-0000-0000390C0000}"/>
    <cellStyle name="Migliaia 21 4 2 4" xfId="5846" xr:uid="{00000000-0005-0000-0000-00003A0C0000}"/>
    <cellStyle name="Migliaia 21 4 3" xfId="2374" xr:uid="{00000000-0005-0000-0000-00003B0C0000}"/>
    <cellStyle name="Migliaia 21 4 3 2" xfId="5434" xr:uid="{00000000-0005-0000-0000-00003C0C0000}"/>
    <cellStyle name="Migliaia 21 4 3 3" xfId="6356" xr:uid="{00000000-0005-0000-0000-00003D0C0000}"/>
    <cellStyle name="Migliaia 21 4 4" xfId="5013" xr:uid="{00000000-0005-0000-0000-00003E0C0000}"/>
    <cellStyle name="Migliaia 21 4 5" xfId="5845" xr:uid="{00000000-0005-0000-0000-00003F0C0000}"/>
    <cellStyle name="Migliaia 21 5" xfId="597" xr:uid="{00000000-0005-0000-0000-0000400C0000}"/>
    <cellStyle name="Migliaia 21 5 2" xfId="5015" xr:uid="{00000000-0005-0000-0000-0000410C0000}"/>
    <cellStyle name="Migliaia 21 5 3" xfId="5847" xr:uid="{00000000-0005-0000-0000-0000420C0000}"/>
    <cellStyle name="Migliaia 21 6" xfId="4812" xr:uid="{00000000-0005-0000-0000-0000430C0000}"/>
    <cellStyle name="Migliaia 21 7" xfId="5840" xr:uid="{00000000-0005-0000-0000-0000440C0000}"/>
    <cellStyle name="Migliaia 22" xfId="598" xr:uid="{00000000-0005-0000-0000-0000450C0000}"/>
    <cellStyle name="Migliaia 22 2" xfId="599" xr:uid="{00000000-0005-0000-0000-0000460C0000}"/>
    <cellStyle name="Migliaia 22 2 2" xfId="2376" xr:uid="{00000000-0005-0000-0000-0000470C0000}"/>
    <cellStyle name="Migliaia 22 2 2 2" xfId="5436" xr:uid="{00000000-0005-0000-0000-0000480C0000}"/>
    <cellStyle name="Migliaia 22 2 2 3" xfId="6358" xr:uid="{00000000-0005-0000-0000-0000490C0000}"/>
    <cellStyle name="Migliaia 22 2 3" xfId="4877" xr:uid="{00000000-0005-0000-0000-00004A0C0000}"/>
    <cellStyle name="Migliaia 22 2 4" xfId="5849" xr:uid="{00000000-0005-0000-0000-00004B0C0000}"/>
    <cellStyle name="Migliaia 22 3" xfId="600" xr:uid="{00000000-0005-0000-0000-00004C0C0000}"/>
    <cellStyle name="Migliaia 22 3 2" xfId="601" xr:uid="{00000000-0005-0000-0000-00004D0C0000}"/>
    <cellStyle name="Migliaia 22 3 2 2" xfId="5017" xr:uid="{00000000-0005-0000-0000-00004E0C0000}"/>
    <cellStyle name="Migliaia 22 3 2 3" xfId="5851" xr:uid="{00000000-0005-0000-0000-00004F0C0000}"/>
    <cellStyle name="Migliaia 22 3 3" xfId="602" xr:uid="{00000000-0005-0000-0000-0000500C0000}"/>
    <cellStyle name="Migliaia 22 3 3 2" xfId="2378" xr:uid="{00000000-0005-0000-0000-0000510C0000}"/>
    <cellStyle name="Migliaia 22 3 3 2 2" xfId="5438" xr:uid="{00000000-0005-0000-0000-0000520C0000}"/>
    <cellStyle name="Migliaia 22 3 3 2 3" xfId="6360" xr:uid="{00000000-0005-0000-0000-0000530C0000}"/>
    <cellStyle name="Migliaia 22 3 3 3" xfId="5018" xr:uid="{00000000-0005-0000-0000-0000540C0000}"/>
    <cellStyle name="Migliaia 22 3 3 4" xfId="5852" xr:uid="{00000000-0005-0000-0000-0000550C0000}"/>
    <cellStyle name="Migliaia 22 3 4" xfId="2377" xr:uid="{00000000-0005-0000-0000-0000560C0000}"/>
    <cellStyle name="Migliaia 22 3 4 2" xfId="5437" xr:uid="{00000000-0005-0000-0000-0000570C0000}"/>
    <cellStyle name="Migliaia 22 3 4 3" xfId="6359" xr:uid="{00000000-0005-0000-0000-0000580C0000}"/>
    <cellStyle name="Migliaia 22 3 5" xfId="5016" xr:uid="{00000000-0005-0000-0000-0000590C0000}"/>
    <cellStyle name="Migliaia 22 3 6" xfId="5850" xr:uid="{00000000-0005-0000-0000-00005A0C0000}"/>
    <cellStyle name="Migliaia 22 4" xfId="603" xr:uid="{00000000-0005-0000-0000-00005B0C0000}"/>
    <cellStyle name="Migliaia 22 4 2" xfId="604" xr:uid="{00000000-0005-0000-0000-00005C0C0000}"/>
    <cellStyle name="Migliaia 22 4 2 2" xfId="2380" xr:uid="{00000000-0005-0000-0000-00005D0C0000}"/>
    <cellStyle name="Migliaia 22 4 2 2 2" xfId="5440" xr:uid="{00000000-0005-0000-0000-00005E0C0000}"/>
    <cellStyle name="Migliaia 22 4 2 2 3" xfId="6362" xr:uid="{00000000-0005-0000-0000-00005F0C0000}"/>
    <cellStyle name="Migliaia 22 4 2 3" xfId="5020" xr:uid="{00000000-0005-0000-0000-0000600C0000}"/>
    <cellStyle name="Migliaia 22 4 2 4" xfId="5854" xr:uid="{00000000-0005-0000-0000-0000610C0000}"/>
    <cellStyle name="Migliaia 22 4 3" xfId="2379" xr:uid="{00000000-0005-0000-0000-0000620C0000}"/>
    <cellStyle name="Migliaia 22 4 3 2" xfId="5439" xr:uid="{00000000-0005-0000-0000-0000630C0000}"/>
    <cellStyle name="Migliaia 22 4 3 3" xfId="6361" xr:uid="{00000000-0005-0000-0000-0000640C0000}"/>
    <cellStyle name="Migliaia 22 4 4" xfId="5019" xr:uid="{00000000-0005-0000-0000-0000650C0000}"/>
    <cellStyle name="Migliaia 22 4 5" xfId="5853" xr:uid="{00000000-0005-0000-0000-0000660C0000}"/>
    <cellStyle name="Migliaia 22 5" xfId="605" xr:uid="{00000000-0005-0000-0000-0000670C0000}"/>
    <cellStyle name="Migliaia 22 5 2" xfId="5021" xr:uid="{00000000-0005-0000-0000-0000680C0000}"/>
    <cellStyle name="Migliaia 22 5 3" xfId="5855" xr:uid="{00000000-0005-0000-0000-0000690C0000}"/>
    <cellStyle name="Migliaia 22 6" xfId="4813" xr:uid="{00000000-0005-0000-0000-00006A0C0000}"/>
    <cellStyle name="Migliaia 22 7" xfId="5848" xr:uid="{00000000-0005-0000-0000-00006B0C0000}"/>
    <cellStyle name="Migliaia 23" xfId="606" xr:uid="{00000000-0005-0000-0000-00006C0C0000}"/>
    <cellStyle name="Migliaia 23 2" xfId="607" xr:uid="{00000000-0005-0000-0000-00006D0C0000}"/>
    <cellStyle name="Migliaia 23 2 2" xfId="2381" xr:uid="{00000000-0005-0000-0000-00006E0C0000}"/>
    <cellStyle name="Migliaia 23 2 2 2" xfId="5441" xr:uid="{00000000-0005-0000-0000-00006F0C0000}"/>
    <cellStyle name="Migliaia 23 2 2 3" xfId="6363" xr:uid="{00000000-0005-0000-0000-0000700C0000}"/>
    <cellStyle name="Migliaia 23 2 3" xfId="4878" xr:uid="{00000000-0005-0000-0000-0000710C0000}"/>
    <cellStyle name="Migliaia 23 2 4" xfId="5857" xr:uid="{00000000-0005-0000-0000-0000720C0000}"/>
    <cellStyle name="Migliaia 23 3" xfId="608" xr:uid="{00000000-0005-0000-0000-0000730C0000}"/>
    <cellStyle name="Migliaia 23 3 2" xfId="609" xr:uid="{00000000-0005-0000-0000-0000740C0000}"/>
    <cellStyle name="Migliaia 23 3 2 2" xfId="5023" xr:uid="{00000000-0005-0000-0000-0000750C0000}"/>
    <cellStyle name="Migliaia 23 3 2 3" xfId="5859" xr:uid="{00000000-0005-0000-0000-0000760C0000}"/>
    <cellStyle name="Migliaia 23 3 3" xfId="610" xr:uid="{00000000-0005-0000-0000-0000770C0000}"/>
    <cellStyle name="Migliaia 23 3 3 2" xfId="2383" xr:uid="{00000000-0005-0000-0000-0000780C0000}"/>
    <cellStyle name="Migliaia 23 3 3 2 2" xfId="5443" xr:uid="{00000000-0005-0000-0000-0000790C0000}"/>
    <cellStyle name="Migliaia 23 3 3 2 3" xfId="6365" xr:uid="{00000000-0005-0000-0000-00007A0C0000}"/>
    <cellStyle name="Migliaia 23 3 3 3" xfId="5024" xr:uid="{00000000-0005-0000-0000-00007B0C0000}"/>
    <cellStyle name="Migliaia 23 3 3 4" xfId="5860" xr:uid="{00000000-0005-0000-0000-00007C0C0000}"/>
    <cellStyle name="Migliaia 23 3 4" xfId="2382" xr:uid="{00000000-0005-0000-0000-00007D0C0000}"/>
    <cellStyle name="Migliaia 23 3 4 2" xfId="5442" xr:uid="{00000000-0005-0000-0000-00007E0C0000}"/>
    <cellStyle name="Migliaia 23 3 4 3" xfId="6364" xr:uid="{00000000-0005-0000-0000-00007F0C0000}"/>
    <cellStyle name="Migliaia 23 3 5" xfId="5022" xr:uid="{00000000-0005-0000-0000-0000800C0000}"/>
    <cellStyle name="Migliaia 23 3 6" xfId="5858" xr:uid="{00000000-0005-0000-0000-0000810C0000}"/>
    <cellStyle name="Migliaia 23 4" xfId="611" xr:uid="{00000000-0005-0000-0000-0000820C0000}"/>
    <cellStyle name="Migliaia 23 4 2" xfId="612" xr:uid="{00000000-0005-0000-0000-0000830C0000}"/>
    <cellStyle name="Migliaia 23 4 2 2" xfId="2385" xr:uid="{00000000-0005-0000-0000-0000840C0000}"/>
    <cellStyle name="Migliaia 23 4 2 2 2" xfId="5445" xr:uid="{00000000-0005-0000-0000-0000850C0000}"/>
    <cellStyle name="Migliaia 23 4 2 2 3" xfId="6367" xr:uid="{00000000-0005-0000-0000-0000860C0000}"/>
    <cellStyle name="Migliaia 23 4 2 3" xfId="5026" xr:uid="{00000000-0005-0000-0000-0000870C0000}"/>
    <cellStyle name="Migliaia 23 4 2 4" xfId="5862" xr:uid="{00000000-0005-0000-0000-0000880C0000}"/>
    <cellStyle name="Migliaia 23 4 3" xfId="2384" xr:uid="{00000000-0005-0000-0000-0000890C0000}"/>
    <cellStyle name="Migliaia 23 4 3 2" xfId="5444" xr:uid="{00000000-0005-0000-0000-00008A0C0000}"/>
    <cellStyle name="Migliaia 23 4 3 3" xfId="6366" xr:uid="{00000000-0005-0000-0000-00008B0C0000}"/>
    <cellStyle name="Migliaia 23 4 4" xfId="5025" xr:uid="{00000000-0005-0000-0000-00008C0C0000}"/>
    <cellStyle name="Migliaia 23 4 5" xfId="5861" xr:uid="{00000000-0005-0000-0000-00008D0C0000}"/>
    <cellStyle name="Migliaia 23 5" xfId="613" xr:uid="{00000000-0005-0000-0000-00008E0C0000}"/>
    <cellStyle name="Migliaia 23 5 2" xfId="5027" xr:uid="{00000000-0005-0000-0000-00008F0C0000}"/>
    <cellStyle name="Migliaia 23 5 3" xfId="5863" xr:uid="{00000000-0005-0000-0000-0000900C0000}"/>
    <cellStyle name="Migliaia 23 6" xfId="4814" xr:uid="{00000000-0005-0000-0000-0000910C0000}"/>
    <cellStyle name="Migliaia 23 7" xfId="5856" xr:uid="{00000000-0005-0000-0000-0000920C0000}"/>
    <cellStyle name="Migliaia 24" xfId="614" xr:uid="{00000000-0005-0000-0000-0000930C0000}"/>
    <cellStyle name="Migliaia 24 2" xfId="615" xr:uid="{00000000-0005-0000-0000-0000940C0000}"/>
    <cellStyle name="Migliaia 24 2 2" xfId="2386" xr:uid="{00000000-0005-0000-0000-0000950C0000}"/>
    <cellStyle name="Migliaia 24 2 2 2" xfId="5446" xr:uid="{00000000-0005-0000-0000-0000960C0000}"/>
    <cellStyle name="Migliaia 24 2 2 3" xfId="6368" xr:uid="{00000000-0005-0000-0000-0000970C0000}"/>
    <cellStyle name="Migliaia 24 2 3" xfId="4879" xr:uid="{00000000-0005-0000-0000-0000980C0000}"/>
    <cellStyle name="Migliaia 24 2 4" xfId="5865" xr:uid="{00000000-0005-0000-0000-0000990C0000}"/>
    <cellStyle name="Migliaia 24 3" xfId="616" xr:uid="{00000000-0005-0000-0000-00009A0C0000}"/>
    <cellStyle name="Migliaia 24 3 2" xfId="617" xr:uid="{00000000-0005-0000-0000-00009B0C0000}"/>
    <cellStyle name="Migliaia 24 3 2 2" xfId="5029" xr:uid="{00000000-0005-0000-0000-00009C0C0000}"/>
    <cellStyle name="Migliaia 24 3 2 3" xfId="5867" xr:uid="{00000000-0005-0000-0000-00009D0C0000}"/>
    <cellStyle name="Migliaia 24 3 3" xfId="618" xr:uid="{00000000-0005-0000-0000-00009E0C0000}"/>
    <cellStyle name="Migliaia 24 3 3 2" xfId="2388" xr:uid="{00000000-0005-0000-0000-00009F0C0000}"/>
    <cellStyle name="Migliaia 24 3 3 2 2" xfId="5448" xr:uid="{00000000-0005-0000-0000-0000A00C0000}"/>
    <cellStyle name="Migliaia 24 3 3 2 3" xfId="6370" xr:uid="{00000000-0005-0000-0000-0000A10C0000}"/>
    <cellStyle name="Migliaia 24 3 3 3" xfId="5030" xr:uid="{00000000-0005-0000-0000-0000A20C0000}"/>
    <cellStyle name="Migliaia 24 3 3 4" xfId="5868" xr:uid="{00000000-0005-0000-0000-0000A30C0000}"/>
    <cellStyle name="Migliaia 24 3 4" xfId="2387" xr:uid="{00000000-0005-0000-0000-0000A40C0000}"/>
    <cellStyle name="Migliaia 24 3 4 2" xfId="5447" xr:uid="{00000000-0005-0000-0000-0000A50C0000}"/>
    <cellStyle name="Migliaia 24 3 4 3" xfId="6369" xr:uid="{00000000-0005-0000-0000-0000A60C0000}"/>
    <cellStyle name="Migliaia 24 3 5" xfId="5028" xr:uid="{00000000-0005-0000-0000-0000A70C0000}"/>
    <cellStyle name="Migliaia 24 3 6" xfId="5866" xr:uid="{00000000-0005-0000-0000-0000A80C0000}"/>
    <cellStyle name="Migliaia 24 4" xfId="619" xr:uid="{00000000-0005-0000-0000-0000A90C0000}"/>
    <cellStyle name="Migliaia 24 4 2" xfId="620" xr:uid="{00000000-0005-0000-0000-0000AA0C0000}"/>
    <cellStyle name="Migliaia 24 4 2 2" xfId="2390" xr:uid="{00000000-0005-0000-0000-0000AB0C0000}"/>
    <cellStyle name="Migliaia 24 4 2 2 2" xfId="5450" xr:uid="{00000000-0005-0000-0000-0000AC0C0000}"/>
    <cellStyle name="Migliaia 24 4 2 2 3" xfId="6372" xr:uid="{00000000-0005-0000-0000-0000AD0C0000}"/>
    <cellStyle name="Migliaia 24 4 2 3" xfId="5032" xr:uid="{00000000-0005-0000-0000-0000AE0C0000}"/>
    <cellStyle name="Migliaia 24 4 2 4" xfId="5870" xr:uid="{00000000-0005-0000-0000-0000AF0C0000}"/>
    <cellStyle name="Migliaia 24 4 3" xfId="2389" xr:uid="{00000000-0005-0000-0000-0000B00C0000}"/>
    <cellStyle name="Migliaia 24 4 3 2" xfId="5449" xr:uid="{00000000-0005-0000-0000-0000B10C0000}"/>
    <cellStyle name="Migliaia 24 4 3 3" xfId="6371" xr:uid="{00000000-0005-0000-0000-0000B20C0000}"/>
    <cellStyle name="Migliaia 24 4 4" xfId="5031" xr:uid="{00000000-0005-0000-0000-0000B30C0000}"/>
    <cellStyle name="Migliaia 24 4 5" xfId="5869" xr:uid="{00000000-0005-0000-0000-0000B40C0000}"/>
    <cellStyle name="Migliaia 24 5" xfId="621" xr:uid="{00000000-0005-0000-0000-0000B50C0000}"/>
    <cellStyle name="Migliaia 24 5 2" xfId="5033" xr:uid="{00000000-0005-0000-0000-0000B60C0000}"/>
    <cellStyle name="Migliaia 24 5 3" xfId="5871" xr:uid="{00000000-0005-0000-0000-0000B70C0000}"/>
    <cellStyle name="Migliaia 24 6" xfId="4815" xr:uid="{00000000-0005-0000-0000-0000B80C0000}"/>
    <cellStyle name="Migliaia 24 7" xfId="5864" xr:uid="{00000000-0005-0000-0000-0000B90C0000}"/>
    <cellStyle name="Migliaia 25" xfId="622" xr:uid="{00000000-0005-0000-0000-0000BA0C0000}"/>
    <cellStyle name="Migliaia 25 2" xfId="623" xr:uid="{00000000-0005-0000-0000-0000BB0C0000}"/>
    <cellStyle name="Migliaia 25 2 2" xfId="2391" xr:uid="{00000000-0005-0000-0000-0000BC0C0000}"/>
    <cellStyle name="Migliaia 25 2 2 2" xfId="5451" xr:uid="{00000000-0005-0000-0000-0000BD0C0000}"/>
    <cellStyle name="Migliaia 25 2 2 3" xfId="6373" xr:uid="{00000000-0005-0000-0000-0000BE0C0000}"/>
    <cellStyle name="Migliaia 25 2 3" xfId="4880" xr:uid="{00000000-0005-0000-0000-0000BF0C0000}"/>
    <cellStyle name="Migliaia 25 2 4" xfId="5873" xr:uid="{00000000-0005-0000-0000-0000C00C0000}"/>
    <cellStyle name="Migliaia 25 3" xfId="624" xr:uid="{00000000-0005-0000-0000-0000C10C0000}"/>
    <cellStyle name="Migliaia 25 3 2" xfId="625" xr:uid="{00000000-0005-0000-0000-0000C20C0000}"/>
    <cellStyle name="Migliaia 25 3 2 2" xfId="5035" xr:uid="{00000000-0005-0000-0000-0000C30C0000}"/>
    <cellStyle name="Migliaia 25 3 2 3" xfId="5875" xr:uid="{00000000-0005-0000-0000-0000C40C0000}"/>
    <cellStyle name="Migliaia 25 3 3" xfId="626" xr:uid="{00000000-0005-0000-0000-0000C50C0000}"/>
    <cellStyle name="Migliaia 25 3 3 2" xfId="2393" xr:uid="{00000000-0005-0000-0000-0000C60C0000}"/>
    <cellStyle name="Migliaia 25 3 3 2 2" xfId="5453" xr:uid="{00000000-0005-0000-0000-0000C70C0000}"/>
    <cellStyle name="Migliaia 25 3 3 2 3" xfId="6375" xr:uid="{00000000-0005-0000-0000-0000C80C0000}"/>
    <cellStyle name="Migliaia 25 3 3 3" xfId="5036" xr:uid="{00000000-0005-0000-0000-0000C90C0000}"/>
    <cellStyle name="Migliaia 25 3 3 4" xfId="5876" xr:uid="{00000000-0005-0000-0000-0000CA0C0000}"/>
    <cellStyle name="Migliaia 25 3 4" xfId="2392" xr:uid="{00000000-0005-0000-0000-0000CB0C0000}"/>
    <cellStyle name="Migliaia 25 3 4 2" xfId="5452" xr:uid="{00000000-0005-0000-0000-0000CC0C0000}"/>
    <cellStyle name="Migliaia 25 3 4 3" xfId="6374" xr:uid="{00000000-0005-0000-0000-0000CD0C0000}"/>
    <cellStyle name="Migliaia 25 3 5" xfId="5034" xr:uid="{00000000-0005-0000-0000-0000CE0C0000}"/>
    <cellStyle name="Migliaia 25 3 6" xfId="5874" xr:uid="{00000000-0005-0000-0000-0000CF0C0000}"/>
    <cellStyle name="Migliaia 25 4" xfId="627" xr:uid="{00000000-0005-0000-0000-0000D00C0000}"/>
    <cellStyle name="Migliaia 25 4 2" xfId="628" xr:uid="{00000000-0005-0000-0000-0000D10C0000}"/>
    <cellStyle name="Migliaia 25 4 2 2" xfId="2395" xr:uid="{00000000-0005-0000-0000-0000D20C0000}"/>
    <cellStyle name="Migliaia 25 4 2 2 2" xfId="5455" xr:uid="{00000000-0005-0000-0000-0000D30C0000}"/>
    <cellStyle name="Migliaia 25 4 2 2 3" xfId="6377" xr:uid="{00000000-0005-0000-0000-0000D40C0000}"/>
    <cellStyle name="Migliaia 25 4 2 3" xfId="5038" xr:uid="{00000000-0005-0000-0000-0000D50C0000}"/>
    <cellStyle name="Migliaia 25 4 2 4" xfId="5878" xr:uid="{00000000-0005-0000-0000-0000D60C0000}"/>
    <cellStyle name="Migliaia 25 4 3" xfId="2394" xr:uid="{00000000-0005-0000-0000-0000D70C0000}"/>
    <cellStyle name="Migliaia 25 4 3 2" xfId="5454" xr:uid="{00000000-0005-0000-0000-0000D80C0000}"/>
    <cellStyle name="Migliaia 25 4 3 3" xfId="6376" xr:uid="{00000000-0005-0000-0000-0000D90C0000}"/>
    <cellStyle name="Migliaia 25 4 4" xfId="5037" xr:uid="{00000000-0005-0000-0000-0000DA0C0000}"/>
    <cellStyle name="Migliaia 25 4 5" xfId="5877" xr:uid="{00000000-0005-0000-0000-0000DB0C0000}"/>
    <cellStyle name="Migliaia 25 5" xfId="629" xr:uid="{00000000-0005-0000-0000-0000DC0C0000}"/>
    <cellStyle name="Migliaia 25 5 2" xfId="5039" xr:uid="{00000000-0005-0000-0000-0000DD0C0000}"/>
    <cellStyle name="Migliaia 25 5 3" xfId="5879" xr:uid="{00000000-0005-0000-0000-0000DE0C0000}"/>
    <cellStyle name="Migliaia 25 6" xfId="4816" xr:uid="{00000000-0005-0000-0000-0000DF0C0000}"/>
    <cellStyle name="Migliaia 25 7" xfId="5872" xr:uid="{00000000-0005-0000-0000-0000E00C0000}"/>
    <cellStyle name="Migliaia 26" xfId="630" xr:uid="{00000000-0005-0000-0000-0000E10C0000}"/>
    <cellStyle name="Migliaia 26 2" xfId="631" xr:uid="{00000000-0005-0000-0000-0000E20C0000}"/>
    <cellStyle name="Migliaia 26 2 2" xfId="2396" xr:uid="{00000000-0005-0000-0000-0000E30C0000}"/>
    <cellStyle name="Migliaia 26 2 2 2" xfId="5456" xr:uid="{00000000-0005-0000-0000-0000E40C0000}"/>
    <cellStyle name="Migliaia 26 2 2 3" xfId="6378" xr:uid="{00000000-0005-0000-0000-0000E50C0000}"/>
    <cellStyle name="Migliaia 26 2 3" xfId="4881" xr:uid="{00000000-0005-0000-0000-0000E60C0000}"/>
    <cellStyle name="Migliaia 26 2 4" xfId="5881" xr:uid="{00000000-0005-0000-0000-0000E70C0000}"/>
    <cellStyle name="Migliaia 26 3" xfId="632" xr:uid="{00000000-0005-0000-0000-0000E80C0000}"/>
    <cellStyle name="Migliaia 26 3 2" xfId="633" xr:uid="{00000000-0005-0000-0000-0000E90C0000}"/>
    <cellStyle name="Migliaia 26 3 2 2" xfId="5041" xr:uid="{00000000-0005-0000-0000-0000EA0C0000}"/>
    <cellStyle name="Migliaia 26 3 2 3" xfId="5883" xr:uid="{00000000-0005-0000-0000-0000EB0C0000}"/>
    <cellStyle name="Migliaia 26 3 3" xfId="634" xr:uid="{00000000-0005-0000-0000-0000EC0C0000}"/>
    <cellStyle name="Migliaia 26 3 3 2" xfId="2398" xr:uid="{00000000-0005-0000-0000-0000ED0C0000}"/>
    <cellStyle name="Migliaia 26 3 3 2 2" xfId="5458" xr:uid="{00000000-0005-0000-0000-0000EE0C0000}"/>
    <cellStyle name="Migliaia 26 3 3 2 3" xfId="6380" xr:uid="{00000000-0005-0000-0000-0000EF0C0000}"/>
    <cellStyle name="Migliaia 26 3 3 3" xfId="5042" xr:uid="{00000000-0005-0000-0000-0000F00C0000}"/>
    <cellStyle name="Migliaia 26 3 3 4" xfId="5884" xr:uid="{00000000-0005-0000-0000-0000F10C0000}"/>
    <cellStyle name="Migliaia 26 3 4" xfId="2397" xr:uid="{00000000-0005-0000-0000-0000F20C0000}"/>
    <cellStyle name="Migliaia 26 3 4 2" xfId="5457" xr:uid="{00000000-0005-0000-0000-0000F30C0000}"/>
    <cellStyle name="Migliaia 26 3 4 3" xfId="6379" xr:uid="{00000000-0005-0000-0000-0000F40C0000}"/>
    <cellStyle name="Migliaia 26 3 5" xfId="5040" xr:uid="{00000000-0005-0000-0000-0000F50C0000}"/>
    <cellStyle name="Migliaia 26 3 6" xfId="5882" xr:uid="{00000000-0005-0000-0000-0000F60C0000}"/>
    <cellStyle name="Migliaia 26 4" xfId="635" xr:uid="{00000000-0005-0000-0000-0000F70C0000}"/>
    <cellStyle name="Migliaia 26 4 2" xfId="636" xr:uid="{00000000-0005-0000-0000-0000F80C0000}"/>
    <cellStyle name="Migliaia 26 4 2 2" xfId="2400" xr:uid="{00000000-0005-0000-0000-0000F90C0000}"/>
    <cellStyle name="Migliaia 26 4 2 2 2" xfId="5460" xr:uid="{00000000-0005-0000-0000-0000FA0C0000}"/>
    <cellStyle name="Migliaia 26 4 2 2 3" xfId="6382" xr:uid="{00000000-0005-0000-0000-0000FB0C0000}"/>
    <cellStyle name="Migliaia 26 4 2 3" xfId="5044" xr:uid="{00000000-0005-0000-0000-0000FC0C0000}"/>
    <cellStyle name="Migliaia 26 4 2 4" xfId="5886" xr:uid="{00000000-0005-0000-0000-0000FD0C0000}"/>
    <cellStyle name="Migliaia 26 4 3" xfId="2399" xr:uid="{00000000-0005-0000-0000-0000FE0C0000}"/>
    <cellStyle name="Migliaia 26 4 3 2" xfId="5459" xr:uid="{00000000-0005-0000-0000-0000FF0C0000}"/>
    <cellStyle name="Migliaia 26 4 3 3" xfId="6381" xr:uid="{00000000-0005-0000-0000-0000000D0000}"/>
    <cellStyle name="Migliaia 26 4 4" xfId="5043" xr:uid="{00000000-0005-0000-0000-0000010D0000}"/>
    <cellStyle name="Migliaia 26 4 5" xfId="5885" xr:uid="{00000000-0005-0000-0000-0000020D0000}"/>
    <cellStyle name="Migliaia 26 5" xfId="637" xr:uid="{00000000-0005-0000-0000-0000030D0000}"/>
    <cellStyle name="Migliaia 26 5 2" xfId="5045" xr:uid="{00000000-0005-0000-0000-0000040D0000}"/>
    <cellStyle name="Migliaia 26 5 3" xfId="5887" xr:uid="{00000000-0005-0000-0000-0000050D0000}"/>
    <cellStyle name="Migliaia 26 6" xfId="4817" xr:uid="{00000000-0005-0000-0000-0000060D0000}"/>
    <cellStyle name="Migliaia 26 7" xfId="5880" xr:uid="{00000000-0005-0000-0000-0000070D0000}"/>
    <cellStyle name="Migliaia 27" xfId="638" xr:uid="{00000000-0005-0000-0000-0000080D0000}"/>
    <cellStyle name="Migliaia 27 2" xfId="639" xr:uid="{00000000-0005-0000-0000-0000090D0000}"/>
    <cellStyle name="Migliaia 27 2 2" xfId="2401" xr:uid="{00000000-0005-0000-0000-00000A0D0000}"/>
    <cellStyle name="Migliaia 27 2 2 2" xfId="5461" xr:uid="{00000000-0005-0000-0000-00000B0D0000}"/>
    <cellStyle name="Migliaia 27 2 2 3" xfId="6383" xr:uid="{00000000-0005-0000-0000-00000C0D0000}"/>
    <cellStyle name="Migliaia 27 2 3" xfId="4882" xr:uid="{00000000-0005-0000-0000-00000D0D0000}"/>
    <cellStyle name="Migliaia 27 2 4" xfId="5889" xr:uid="{00000000-0005-0000-0000-00000E0D0000}"/>
    <cellStyle name="Migliaia 27 3" xfId="640" xr:uid="{00000000-0005-0000-0000-00000F0D0000}"/>
    <cellStyle name="Migliaia 27 3 2" xfId="641" xr:uid="{00000000-0005-0000-0000-0000100D0000}"/>
    <cellStyle name="Migliaia 27 3 2 2" xfId="5047" xr:uid="{00000000-0005-0000-0000-0000110D0000}"/>
    <cellStyle name="Migliaia 27 3 2 3" xfId="5891" xr:uid="{00000000-0005-0000-0000-0000120D0000}"/>
    <cellStyle name="Migliaia 27 3 3" xfId="642" xr:uid="{00000000-0005-0000-0000-0000130D0000}"/>
    <cellStyle name="Migliaia 27 3 3 2" xfId="2403" xr:uid="{00000000-0005-0000-0000-0000140D0000}"/>
    <cellStyle name="Migliaia 27 3 3 2 2" xfId="5463" xr:uid="{00000000-0005-0000-0000-0000150D0000}"/>
    <cellStyle name="Migliaia 27 3 3 2 3" xfId="6385" xr:uid="{00000000-0005-0000-0000-0000160D0000}"/>
    <cellStyle name="Migliaia 27 3 3 3" xfId="5048" xr:uid="{00000000-0005-0000-0000-0000170D0000}"/>
    <cellStyle name="Migliaia 27 3 3 4" xfId="5892" xr:uid="{00000000-0005-0000-0000-0000180D0000}"/>
    <cellStyle name="Migliaia 27 3 4" xfId="2402" xr:uid="{00000000-0005-0000-0000-0000190D0000}"/>
    <cellStyle name="Migliaia 27 3 4 2" xfId="5462" xr:uid="{00000000-0005-0000-0000-00001A0D0000}"/>
    <cellStyle name="Migliaia 27 3 4 3" xfId="6384" xr:uid="{00000000-0005-0000-0000-00001B0D0000}"/>
    <cellStyle name="Migliaia 27 3 5" xfId="5046" xr:uid="{00000000-0005-0000-0000-00001C0D0000}"/>
    <cellStyle name="Migliaia 27 3 6" xfId="5890" xr:uid="{00000000-0005-0000-0000-00001D0D0000}"/>
    <cellStyle name="Migliaia 27 4" xfId="643" xr:uid="{00000000-0005-0000-0000-00001E0D0000}"/>
    <cellStyle name="Migliaia 27 4 2" xfId="644" xr:uid="{00000000-0005-0000-0000-00001F0D0000}"/>
    <cellStyle name="Migliaia 27 4 2 2" xfId="2405" xr:uid="{00000000-0005-0000-0000-0000200D0000}"/>
    <cellStyle name="Migliaia 27 4 2 2 2" xfId="5465" xr:uid="{00000000-0005-0000-0000-0000210D0000}"/>
    <cellStyle name="Migliaia 27 4 2 2 3" xfId="6387" xr:uid="{00000000-0005-0000-0000-0000220D0000}"/>
    <cellStyle name="Migliaia 27 4 2 3" xfId="5050" xr:uid="{00000000-0005-0000-0000-0000230D0000}"/>
    <cellStyle name="Migliaia 27 4 2 4" xfId="5894" xr:uid="{00000000-0005-0000-0000-0000240D0000}"/>
    <cellStyle name="Migliaia 27 4 3" xfId="2404" xr:uid="{00000000-0005-0000-0000-0000250D0000}"/>
    <cellStyle name="Migliaia 27 4 3 2" xfId="5464" xr:uid="{00000000-0005-0000-0000-0000260D0000}"/>
    <cellStyle name="Migliaia 27 4 3 3" xfId="6386" xr:uid="{00000000-0005-0000-0000-0000270D0000}"/>
    <cellStyle name="Migliaia 27 4 4" xfId="5049" xr:uid="{00000000-0005-0000-0000-0000280D0000}"/>
    <cellStyle name="Migliaia 27 4 5" xfId="5893" xr:uid="{00000000-0005-0000-0000-0000290D0000}"/>
    <cellStyle name="Migliaia 27 5" xfId="645" xr:uid="{00000000-0005-0000-0000-00002A0D0000}"/>
    <cellStyle name="Migliaia 27 5 2" xfId="5051" xr:uid="{00000000-0005-0000-0000-00002B0D0000}"/>
    <cellStyle name="Migliaia 27 5 3" xfId="5895" xr:uid="{00000000-0005-0000-0000-00002C0D0000}"/>
    <cellStyle name="Migliaia 27 6" xfId="4818" xr:uid="{00000000-0005-0000-0000-00002D0D0000}"/>
    <cellStyle name="Migliaia 27 7" xfId="5888" xr:uid="{00000000-0005-0000-0000-00002E0D0000}"/>
    <cellStyle name="Migliaia 28" xfId="646" xr:uid="{00000000-0005-0000-0000-00002F0D0000}"/>
    <cellStyle name="Migliaia 28 2" xfId="647" xr:uid="{00000000-0005-0000-0000-0000300D0000}"/>
    <cellStyle name="Migliaia 28 2 2" xfId="2406" xr:uid="{00000000-0005-0000-0000-0000310D0000}"/>
    <cellStyle name="Migliaia 28 2 2 2" xfId="5466" xr:uid="{00000000-0005-0000-0000-0000320D0000}"/>
    <cellStyle name="Migliaia 28 2 2 3" xfId="6388" xr:uid="{00000000-0005-0000-0000-0000330D0000}"/>
    <cellStyle name="Migliaia 28 2 3" xfId="4883" xr:uid="{00000000-0005-0000-0000-0000340D0000}"/>
    <cellStyle name="Migliaia 28 2 4" xfId="5897" xr:uid="{00000000-0005-0000-0000-0000350D0000}"/>
    <cellStyle name="Migliaia 28 3" xfId="648" xr:uid="{00000000-0005-0000-0000-0000360D0000}"/>
    <cellStyle name="Migliaia 28 3 2" xfId="649" xr:uid="{00000000-0005-0000-0000-0000370D0000}"/>
    <cellStyle name="Migliaia 28 3 2 2" xfId="5053" xr:uid="{00000000-0005-0000-0000-0000380D0000}"/>
    <cellStyle name="Migliaia 28 3 2 3" xfId="5899" xr:uid="{00000000-0005-0000-0000-0000390D0000}"/>
    <cellStyle name="Migliaia 28 3 3" xfId="650" xr:uid="{00000000-0005-0000-0000-00003A0D0000}"/>
    <cellStyle name="Migliaia 28 3 3 2" xfId="2408" xr:uid="{00000000-0005-0000-0000-00003B0D0000}"/>
    <cellStyle name="Migliaia 28 3 3 2 2" xfId="5468" xr:uid="{00000000-0005-0000-0000-00003C0D0000}"/>
    <cellStyle name="Migliaia 28 3 3 2 3" xfId="6390" xr:uid="{00000000-0005-0000-0000-00003D0D0000}"/>
    <cellStyle name="Migliaia 28 3 3 3" xfId="5054" xr:uid="{00000000-0005-0000-0000-00003E0D0000}"/>
    <cellStyle name="Migliaia 28 3 3 4" xfId="5900" xr:uid="{00000000-0005-0000-0000-00003F0D0000}"/>
    <cellStyle name="Migliaia 28 3 4" xfId="2407" xr:uid="{00000000-0005-0000-0000-0000400D0000}"/>
    <cellStyle name="Migliaia 28 3 4 2" xfId="5467" xr:uid="{00000000-0005-0000-0000-0000410D0000}"/>
    <cellStyle name="Migliaia 28 3 4 3" xfId="6389" xr:uid="{00000000-0005-0000-0000-0000420D0000}"/>
    <cellStyle name="Migliaia 28 3 5" xfId="5052" xr:uid="{00000000-0005-0000-0000-0000430D0000}"/>
    <cellStyle name="Migliaia 28 3 6" xfId="5898" xr:uid="{00000000-0005-0000-0000-0000440D0000}"/>
    <cellStyle name="Migliaia 28 4" xfId="651" xr:uid="{00000000-0005-0000-0000-0000450D0000}"/>
    <cellStyle name="Migliaia 28 4 2" xfId="652" xr:uid="{00000000-0005-0000-0000-0000460D0000}"/>
    <cellStyle name="Migliaia 28 4 2 2" xfId="2410" xr:uid="{00000000-0005-0000-0000-0000470D0000}"/>
    <cellStyle name="Migliaia 28 4 2 2 2" xfId="5470" xr:uid="{00000000-0005-0000-0000-0000480D0000}"/>
    <cellStyle name="Migliaia 28 4 2 2 3" xfId="6392" xr:uid="{00000000-0005-0000-0000-0000490D0000}"/>
    <cellStyle name="Migliaia 28 4 2 3" xfId="5056" xr:uid="{00000000-0005-0000-0000-00004A0D0000}"/>
    <cellStyle name="Migliaia 28 4 2 4" xfId="5902" xr:uid="{00000000-0005-0000-0000-00004B0D0000}"/>
    <cellStyle name="Migliaia 28 4 3" xfId="2409" xr:uid="{00000000-0005-0000-0000-00004C0D0000}"/>
    <cellStyle name="Migliaia 28 4 3 2" xfId="5469" xr:uid="{00000000-0005-0000-0000-00004D0D0000}"/>
    <cellStyle name="Migliaia 28 4 3 3" xfId="6391" xr:uid="{00000000-0005-0000-0000-00004E0D0000}"/>
    <cellStyle name="Migliaia 28 4 4" xfId="5055" xr:uid="{00000000-0005-0000-0000-00004F0D0000}"/>
    <cellStyle name="Migliaia 28 4 5" xfId="5901" xr:uid="{00000000-0005-0000-0000-0000500D0000}"/>
    <cellStyle name="Migliaia 28 5" xfId="653" xr:uid="{00000000-0005-0000-0000-0000510D0000}"/>
    <cellStyle name="Migliaia 28 5 2" xfId="5057" xr:uid="{00000000-0005-0000-0000-0000520D0000}"/>
    <cellStyle name="Migliaia 28 5 3" xfId="5903" xr:uid="{00000000-0005-0000-0000-0000530D0000}"/>
    <cellStyle name="Migliaia 28 6" xfId="4819" xr:uid="{00000000-0005-0000-0000-0000540D0000}"/>
    <cellStyle name="Migliaia 28 7" xfId="5896" xr:uid="{00000000-0005-0000-0000-0000550D0000}"/>
    <cellStyle name="Migliaia 29" xfId="654" xr:uid="{00000000-0005-0000-0000-0000560D0000}"/>
    <cellStyle name="Migliaia 29 2" xfId="655" xr:uid="{00000000-0005-0000-0000-0000570D0000}"/>
    <cellStyle name="Migliaia 29 2 2" xfId="2411" xr:uid="{00000000-0005-0000-0000-0000580D0000}"/>
    <cellStyle name="Migliaia 29 2 2 2" xfId="5471" xr:uid="{00000000-0005-0000-0000-0000590D0000}"/>
    <cellStyle name="Migliaia 29 2 2 3" xfId="6393" xr:uid="{00000000-0005-0000-0000-00005A0D0000}"/>
    <cellStyle name="Migliaia 29 2 3" xfId="4884" xr:uid="{00000000-0005-0000-0000-00005B0D0000}"/>
    <cellStyle name="Migliaia 29 2 4" xfId="5905" xr:uid="{00000000-0005-0000-0000-00005C0D0000}"/>
    <cellStyle name="Migliaia 29 3" xfId="656" xr:uid="{00000000-0005-0000-0000-00005D0D0000}"/>
    <cellStyle name="Migliaia 29 3 2" xfId="657" xr:uid="{00000000-0005-0000-0000-00005E0D0000}"/>
    <cellStyle name="Migliaia 29 3 2 2" xfId="5059" xr:uid="{00000000-0005-0000-0000-00005F0D0000}"/>
    <cellStyle name="Migliaia 29 3 2 3" xfId="5907" xr:uid="{00000000-0005-0000-0000-0000600D0000}"/>
    <cellStyle name="Migliaia 29 3 3" xfId="658" xr:uid="{00000000-0005-0000-0000-0000610D0000}"/>
    <cellStyle name="Migliaia 29 3 3 2" xfId="2413" xr:uid="{00000000-0005-0000-0000-0000620D0000}"/>
    <cellStyle name="Migliaia 29 3 3 2 2" xfId="5473" xr:uid="{00000000-0005-0000-0000-0000630D0000}"/>
    <cellStyle name="Migliaia 29 3 3 2 3" xfId="6395" xr:uid="{00000000-0005-0000-0000-0000640D0000}"/>
    <cellStyle name="Migliaia 29 3 3 3" xfId="5060" xr:uid="{00000000-0005-0000-0000-0000650D0000}"/>
    <cellStyle name="Migliaia 29 3 3 4" xfId="5908" xr:uid="{00000000-0005-0000-0000-0000660D0000}"/>
    <cellStyle name="Migliaia 29 3 4" xfId="2412" xr:uid="{00000000-0005-0000-0000-0000670D0000}"/>
    <cellStyle name="Migliaia 29 3 4 2" xfId="5472" xr:uid="{00000000-0005-0000-0000-0000680D0000}"/>
    <cellStyle name="Migliaia 29 3 4 3" xfId="6394" xr:uid="{00000000-0005-0000-0000-0000690D0000}"/>
    <cellStyle name="Migliaia 29 3 5" xfId="5058" xr:uid="{00000000-0005-0000-0000-00006A0D0000}"/>
    <cellStyle name="Migliaia 29 3 6" xfId="5906" xr:uid="{00000000-0005-0000-0000-00006B0D0000}"/>
    <cellStyle name="Migliaia 29 4" xfId="659" xr:uid="{00000000-0005-0000-0000-00006C0D0000}"/>
    <cellStyle name="Migliaia 29 4 2" xfId="660" xr:uid="{00000000-0005-0000-0000-00006D0D0000}"/>
    <cellStyle name="Migliaia 29 4 2 2" xfId="2415" xr:uid="{00000000-0005-0000-0000-00006E0D0000}"/>
    <cellStyle name="Migliaia 29 4 2 2 2" xfId="5475" xr:uid="{00000000-0005-0000-0000-00006F0D0000}"/>
    <cellStyle name="Migliaia 29 4 2 2 3" xfId="6397" xr:uid="{00000000-0005-0000-0000-0000700D0000}"/>
    <cellStyle name="Migliaia 29 4 2 3" xfId="5062" xr:uid="{00000000-0005-0000-0000-0000710D0000}"/>
    <cellStyle name="Migliaia 29 4 2 4" xfId="5910" xr:uid="{00000000-0005-0000-0000-0000720D0000}"/>
    <cellStyle name="Migliaia 29 4 3" xfId="2414" xr:uid="{00000000-0005-0000-0000-0000730D0000}"/>
    <cellStyle name="Migliaia 29 4 3 2" xfId="5474" xr:uid="{00000000-0005-0000-0000-0000740D0000}"/>
    <cellStyle name="Migliaia 29 4 3 3" xfId="6396" xr:uid="{00000000-0005-0000-0000-0000750D0000}"/>
    <cellStyle name="Migliaia 29 4 4" xfId="5061" xr:uid="{00000000-0005-0000-0000-0000760D0000}"/>
    <cellStyle name="Migliaia 29 4 5" xfId="5909" xr:uid="{00000000-0005-0000-0000-0000770D0000}"/>
    <cellStyle name="Migliaia 29 5" xfId="661" xr:uid="{00000000-0005-0000-0000-0000780D0000}"/>
    <cellStyle name="Migliaia 29 5 2" xfId="5063" xr:uid="{00000000-0005-0000-0000-0000790D0000}"/>
    <cellStyle name="Migliaia 29 5 3" xfId="5911" xr:uid="{00000000-0005-0000-0000-00007A0D0000}"/>
    <cellStyle name="Migliaia 29 6" xfId="4820" xr:uid="{00000000-0005-0000-0000-00007B0D0000}"/>
    <cellStyle name="Migliaia 29 7" xfId="5904" xr:uid="{00000000-0005-0000-0000-00007C0D0000}"/>
    <cellStyle name="Migliaia 3" xfId="662" xr:uid="{00000000-0005-0000-0000-00007D0D0000}"/>
    <cellStyle name="Migliaia 3 2" xfId="663" xr:uid="{00000000-0005-0000-0000-00007E0D0000}"/>
    <cellStyle name="Migliaia 3 2 2" xfId="2416" xr:uid="{00000000-0005-0000-0000-00007F0D0000}"/>
    <cellStyle name="Migliaia 3 2 2 2" xfId="5476" xr:uid="{00000000-0005-0000-0000-0000800D0000}"/>
    <cellStyle name="Migliaia 3 2 2 3" xfId="6398" xr:uid="{00000000-0005-0000-0000-0000810D0000}"/>
    <cellStyle name="Migliaia 3 2 3" xfId="4885" xr:uid="{00000000-0005-0000-0000-0000820D0000}"/>
    <cellStyle name="Migliaia 3 2 4" xfId="5913" xr:uid="{00000000-0005-0000-0000-0000830D0000}"/>
    <cellStyle name="Migliaia 3 3" xfId="664" xr:uid="{00000000-0005-0000-0000-0000840D0000}"/>
    <cellStyle name="Migliaia 3 3 2" xfId="665" xr:uid="{00000000-0005-0000-0000-0000850D0000}"/>
    <cellStyle name="Migliaia 3 3 2 2" xfId="5065" xr:uid="{00000000-0005-0000-0000-0000860D0000}"/>
    <cellStyle name="Migliaia 3 3 2 3" xfId="5915" xr:uid="{00000000-0005-0000-0000-0000870D0000}"/>
    <cellStyle name="Migliaia 3 3 3" xfId="666" xr:uid="{00000000-0005-0000-0000-0000880D0000}"/>
    <cellStyle name="Migliaia 3 3 3 2" xfId="2418" xr:uid="{00000000-0005-0000-0000-0000890D0000}"/>
    <cellStyle name="Migliaia 3 3 3 2 2" xfId="5478" xr:uid="{00000000-0005-0000-0000-00008A0D0000}"/>
    <cellStyle name="Migliaia 3 3 3 2 3" xfId="6400" xr:uid="{00000000-0005-0000-0000-00008B0D0000}"/>
    <cellStyle name="Migliaia 3 3 3 3" xfId="5066" xr:uid="{00000000-0005-0000-0000-00008C0D0000}"/>
    <cellStyle name="Migliaia 3 3 3 4" xfId="5916" xr:uid="{00000000-0005-0000-0000-00008D0D0000}"/>
    <cellStyle name="Migliaia 3 3 4" xfId="2417" xr:uid="{00000000-0005-0000-0000-00008E0D0000}"/>
    <cellStyle name="Migliaia 3 3 4 2" xfId="5477" xr:uid="{00000000-0005-0000-0000-00008F0D0000}"/>
    <cellStyle name="Migliaia 3 3 4 3" xfId="6399" xr:uid="{00000000-0005-0000-0000-0000900D0000}"/>
    <cellStyle name="Migliaia 3 3 5" xfId="5064" xr:uid="{00000000-0005-0000-0000-0000910D0000}"/>
    <cellStyle name="Migliaia 3 3 6" xfId="5914" xr:uid="{00000000-0005-0000-0000-0000920D0000}"/>
    <cellStyle name="Migliaia 3 4" xfId="667" xr:uid="{00000000-0005-0000-0000-0000930D0000}"/>
    <cellStyle name="Migliaia 3 4 2" xfId="668" xr:uid="{00000000-0005-0000-0000-0000940D0000}"/>
    <cellStyle name="Migliaia 3 4 2 2" xfId="2420" xr:uid="{00000000-0005-0000-0000-0000950D0000}"/>
    <cellStyle name="Migliaia 3 4 2 2 2" xfId="5480" xr:uid="{00000000-0005-0000-0000-0000960D0000}"/>
    <cellStyle name="Migliaia 3 4 2 2 3" xfId="6402" xr:uid="{00000000-0005-0000-0000-0000970D0000}"/>
    <cellStyle name="Migliaia 3 4 2 3" xfId="5068" xr:uid="{00000000-0005-0000-0000-0000980D0000}"/>
    <cellStyle name="Migliaia 3 4 2 4" xfId="5918" xr:uid="{00000000-0005-0000-0000-0000990D0000}"/>
    <cellStyle name="Migliaia 3 4 3" xfId="2419" xr:uid="{00000000-0005-0000-0000-00009A0D0000}"/>
    <cellStyle name="Migliaia 3 4 3 2" xfId="5479" xr:uid="{00000000-0005-0000-0000-00009B0D0000}"/>
    <cellStyle name="Migliaia 3 4 3 3" xfId="6401" xr:uid="{00000000-0005-0000-0000-00009C0D0000}"/>
    <cellStyle name="Migliaia 3 4 4" xfId="5067" xr:uid="{00000000-0005-0000-0000-00009D0D0000}"/>
    <cellStyle name="Migliaia 3 4 5" xfId="5917" xr:uid="{00000000-0005-0000-0000-00009E0D0000}"/>
    <cellStyle name="Migliaia 3 5" xfId="669" xr:uid="{00000000-0005-0000-0000-00009F0D0000}"/>
    <cellStyle name="Migliaia 3 5 2" xfId="5069" xr:uid="{00000000-0005-0000-0000-0000A00D0000}"/>
    <cellStyle name="Migliaia 3 5 3" xfId="5919" xr:uid="{00000000-0005-0000-0000-0000A10D0000}"/>
    <cellStyle name="Migliaia 3 6" xfId="4821" xr:uid="{00000000-0005-0000-0000-0000A20D0000}"/>
    <cellStyle name="Migliaia 3 7" xfId="5912" xr:uid="{00000000-0005-0000-0000-0000A30D0000}"/>
    <cellStyle name="Migliaia 30" xfId="670" xr:uid="{00000000-0005-0000-0000-0000A40D0000}"/>
    <cellStyle name="Migliaia 30 2" xfId="671" xr:uid="{00000000-0005-0000-0000-0000A50D0000}"/>
    <cellStyle name="Migliaia 30 2 2" xfId="2421" xr:uid="{00000000-0005-0000-0000-0000A60D0000}"/>
    <cellStyle name="Migliaia 30 2 2 2" xfId="5481" xr:uid="{00000000-0005-0000-0000-0000A70D0000}"/>
    <cellStyle name="Migliaia 30 2 2 3" xfId="6403" xr:uid="{00000000-0005-0000-0000-0000A80D0000}"/>
    <cellStyle name="Migliaia 30 2 3" xfId="4886" xr:uid="{00000000-0005-0000-0000-0000A90D0000}"/>
    <cellStyle name="Migliaia 30 2 4" xfId="5921" xr:uid="{00000000-0005-0000-0000-0000AA0D0000}"/>
    <cellStyle name="Migliaia 30 3" xfId="672" xr:uid="{00000000-0005-0000-0000-0000AB0D0000}"/>
    <cellStyle name="Migliaia 30 3 2" xfId="673" xr:uid="{00000000-0005-0000-0000-0000AC0D0000}"/>
    <cellStyle name="Migliaia 30 3 2 2" xfId="5071" xr:uid="{00000000-0005-0000-0000-0000AD0D0000}"/>
    <cellStyle name="Migliaia 30 3 2 3" xfId="5923" xr:uid="{00000000-0005-0000-0000-0000AE0D0000}"/>
    <cellStyle name="Migliaia 30 3 3" xfId="674" xr:uid="{00000000-0005-0000-0000-0000AF0D0000}"/>
    <cellStyle name="Migliaia 30 3 3 2" xfId="2423" xr:uid="{00000000-0005-0000-0000-0000B00D0000}"/>
    <cellStyle name="Migliaia 30 3 3 2 2" xfId="5483" xr:uid="{00000000-0005-0000-0000-0000B10D0000}"/>
    <cellStyle name="Migliaia 30 3 3 2 3" xfId="6405" xr:uid="{00000000-0005-0000-0000-0000B20D0000}"/>
    <cellStyle name="Migliaia 30 3 3 3" xfId="5072" xr:uid="{00000000-0005-0000-0000-0000B30D0000}"/>
    <cellStyle name="Migliaia 30 3 3 4" xfId="5924" xr:uid="{00000000-0005-0000-0000-0000B40D0000}"/>
    <cellStyle name="Migliaia 30 3 4" xfId="2422" xr:uid="{00000000-0005-0000-0000-0000B50D0000}"/>
    <cellStyle name="Migliaia 30 3 4 2" xfId="5482" xr:uid="{00000000-0005-0000-0000-0000B60D0000}"/>
    <cellStyle name="Migliaia 30 3 4 3" xfId="6404" xr:uid="{00000000-0005-0000-0000-0000B70D0000}"/>
    <cellStyle name="Migliaia 30 3 5" xfId="5070" xr:uid="{00000000-0005-0000-0000-0000B80D0000}"/>
    <cellStyle name="Migliaia 30 3 6" xfId="5922" xr:uid="{00000000-0005-0000-0000-0000B90D0000}"/>
    <cellStyle name="Migliaia 30 4" xfId="675" xr:uid="{00000000-0005-0000-0000-0000BA0D0000}"/>
    <cellStyle name="Migliaia 30 4 2" xfId="676" xr:uid="{00000000-0005-0000-0000-0000BB0D0000}"/>
    <cellStyle name="Migliaia 30 4 2 2" xfId="2425" xr:uid="{00000000-0005-0000-0000-0000BC0D0000}"/>
    <cellStyle name="Migliaia 30 4 2 2 2" xfId="5485" xr:uid="{00000000-0005-0000-0000-0000BD0D0000}"/>
    <cellStyle name="Migliaia 30 4 2 2 3" xfId="6407" xr:uid="{00000000-0005-0000-0000-0000BE0D0000}"/>
    <cellStyle name="Migliaia 30 4 2 3" xfId="5074" xr:uid="{00000000-0005-0000-0000-0000BF0D0000}"/>
    <cellStyle name="Migliaia 30 4 2 4" xfId="5926" xr:uid="{00000000-0005-0000-0000-0000C00D0000}"/>
    <cellStyle name="Migliaia 30 4 3" xfId="2424" xr:uid="{00000000-0005-0000-0000-0000C10D0000}"/>
    <cellStyle name="Migliaia 30 4 3 2" xfId="5484" xr:uid="{00000000-0005-0000-0000-0000C20D0000}"/>
    <cellStyle name="Migliaia 30 4 3 3" xfId="6406" xr:uid="{00000000-0005-0000-0000-0000C30D0000}"/>
    <cellStyle name="Migliaia 30 4 4" xfId="5073" xr:uid="{00000000-0005-0000-0000-0000C40D0000}"/>
    <cellStyle name="Migliaia 30 4 5" xfId="5925" xr:uid="{00000000-0005-0000-0000-0000C50D0000}"/>
    <cellStyle name="Migliaia 30 5" xfId="677" xr:uid="{00000000-0005-0000-0000-0000C60D0000}"/>
    <cellStyle name="Migliaia 30 5 2" xfId="5075" xr:uid="{00000000-0005-0000-0000-0000C70D0000}"/>
    <cellStyle name="Migliaia 30 5 3" xfId="5927" xr:uid="{00000000-0005-0000-0000-0000C80D0000}"/>
    <cellStyle name="Migliaia 30 6" xfId="4822" xr:uid="{00000000-0005-0000-0000-0000C90D0000}"/>
    <cellStyle name="Migliaia 30 7" xfId="5920" xr:uid="{00000000-0005-0000-0000-0000CA0D0000}"/>
    <cellStyle name="Migliaia 31" xfId="678" xr:uid="{00000000-0005-0000-0000-0000CB0D0000}"/>
    <cellStyle name="Migliaia 31 2" xfId="679" xr:uid="{00000000-0005-0000-0000-0000CC0D0000}"/>
    <cellStyle name="Migliaia 31 2 2" xfId="2426" xr:uid="{00000000-0005-0000-0000-0000CD0D0000}"/>
    <cellStyle name="Migliaia 31 2 2 2" xfId="5486" xr:uid="{00000000-0005-0000-0000-0000CE0D0000}"/>
    <cellStyle name="Migliaia 31 2 2 3" xfId="6408" xr:uid="{00000000-0005-0000-0000-0000CF0D0000}"/>
    <cellStyle name="Migliaia 31 2 3" xfId="4887" xr:uid="{00000000-0005-0000-0000-0000D00D0000}"/>
    <cellStyle name="Migliaia 31 2 4" xfId="5929" xr:uid="{00000000-0005-0000-0000-0000D10D0000}"/>
    <cellStyle name="Migliaia 31 3" xfId="680" xr:uid="{00000000-0005-0000-0000-0000D20D0000}"/>
    <cellStyle name="Migliaia 31 3 2" xfId="681" xr:uid="{00000000-0005-0000-0000-0000D30D0000}"/>
    <cellStyle name="Migliaia 31 3 2 2" xfId="5077" xr:uid="{00000000-0005-0000-0000-0000D40D0000}"/>
    <cellStyle name="Migliaia 31 3 2 3" xfId="5931" xr:uid="{00000000-0005-0000-0000-0000D50D0000}"/>
    <cellStyle name="Migliaia 31 3 3" xfId="682" xr:uid="{00000000-0005-0000-0000-0000D60D0000}"/>
    <cellStyle name="Migliaia 31 3 3 2" xfId="2428" xr:uid="{00000000-0005-0000-0000-0000D70D0000}"/>
    <cellStyle name="Migliaia 31 3 3 2 2" xfId="5488" xr:uid="{00000000-0005-0000-0000-0000D80D0000}"/>
    <cellStyle name="Migliaia 31 3 3 2 3" xfId="6410" xr:uid="{00000000-0005-0000-0000-0000D90D0000}"/>
    <cellStyle name="Migliaia 31 3 3 3" xfId="5078" xr:uid="{00000000-0005-0000-0000-0000DA0D0000}"/>
    <cellStyle name="Migliaia 31 3 3 4" xfId="5932" xr:uid="{00000000-0005-0000-0000-0000DB0D0000}"/>
    <cellStyle name="Migliaia 31 3 4" xfId="2427" xr:uid="{00000000-0005-0000-0000-0000DC0D0000}"/>
    <cellStyle name="Migliaia 31 3 4 2" xfId="5487" xr:uid="{00000000-0005-0000-0000-0000DD0D0000}"/>
    <cellStyle name="Migliaia 31 3 4 3" xfId="6409" xr:uid="{00000000-0005-0000-0000-0000DE0D0000}"/>
    <cellStyle name="Migliaia 31 3 5" xfId="5076" xr:uid="{00000000-0005-0000-0000-0000DF0D0000}"/>
    <cellStyle name="Migliaia 31 3 6" xfId="5930" xr:uid="{00000000-0005-0000-0000-0000E00D0000}"/>
    <cellStyle name="Migliaia 31 4" xfId="683" xr:uid="{00000000-0005-0000-0000-0000E10D0000}"/>
    <cellStyle name="Migliaia 31 4 2" xfId="684" xr:uid="{00000000-0005-0000-0000-0000E20D0000}"/>
    <cellStyle name="Migliaia 31 4 2 2" xfId="2430" xr:uid="{00000000-0005-0000-0000-0000E30D0000}"/>
    <cellStyle name="Migliaia 31 4 2 2 2" xfId="5490" xr:uid="{00000000-0005-0000-0000-0000E40D0000}"/>
    <cellStyle name="Migliaia 31 4 2 2 3" xfId="6412" xr:uid="{00000000-0005-0000-0000-0000E50D0000}"/>
    <cellStyle name="Migliaia 31 4 2 3" xfId="5080" xr:uid="{00000000-0005-0000-0000-0000E60D0000}"/>
    <cellStyle name="Migliaia 31 4 2 4" xfId="5934" xr:uid="{00000000-0005-0000-0000-0000E70D0000}"/>
    <cellStyle name="Migliaia 31 4 3" xfId="2429" xr:uid="{00000000-0005-0000-0000-0000E80D0000}"/>
    <cellStyle name="Migliaia 31 4 3 2" xfId="5489" xr:uid="{00000000-0005-0000-0000-0000E90D0000}"/>
    <cellStyle name="Migliaia 31 4 3 3" xfId="6411" xr:uid="{00000000-0005-0000-0000-0000EA0D0000}"/>
    <cellStyle name="Migliaia 31 4 4" xfId="5079" xr:uid="{00000000-0005-0000-0000-0000EB0D0000}"/>
    <cellStyle name="Migliaia 31 4 5" xfId="5933" xr:uid="{00000000-0005-0000-0000-0000EC0D0000}"/>
    <cellStyle name="Migliaia 31 5" xfId="685" xr:uid="{00000000-0005-0000-0000-0000ED0D0000}"/>
    <cellStyle name="Migliaia 31 5 2" xfId="5081" xr:uid="{00000000-0005-0000-0000-0000EE0D0000}"/>
    <cellStyle name="Migliaia 31 5 3" xfId="5935" xr:uid="{00000000-0005-0000-0000-0000EF0D0000}"/>
    <cellStyle name="Migliaia 31 6" xfId="4823" xr:uid="{00000000-0005-0000-0000-0000F00D0000}"/>
    <cellStyle name="Migliaia 31 7" xfId="5928" xr:uid="{00000000-0005-0000-0000-0000F10D0000}"/>
    <cellStyle name="Migliaia 32" xfId="686" xr:uid="{00000000-0005-0000-0000-0000F20D0000}"/>
    <cellStyle name="Migliaia 32 2" xfId="687" xr:uid="{00000000-0005-0000-0000-0000F30D0000}"/>
    <cellStyle name="Migliaia 32 2 2" xfId="2431" xr:uid="{00000000-0005-0000-0000-0000F40D0000}"/>
    <cellStyle name="Migliaia 32 2 2 2" xfId="5491" xr:uid="{00000000-0005-0000-0000-0000F50D0000}"/>
    <cellStyle name="Migliaia 32 2 2 3" xfId="6413" xr:uid="{00000000-0005-0000-0000-0000F60D0000}"/>
    <cellStyle name="Migliaia 32 2 3" xfId="4888" xr:uid="{00000000-0005-0000-0000-0000F70D0000}"/>
    <cellStyle name="Migliaia 32 2 4" xfId="5937" xr:uid="{00000000-0005-0000-0000-0000F80D0000}"/>
    <cellStyle name="Migliaia 32 3" xfId="688" xr:uid="{00000000-0005-0000-0000-0000F90D0000}"/>
    <cellStyle name="Migliaia 32 3 2" xfId="689" xr:uid="{00000000-0005-0000-0000-0000FA0D0000}"/>
    <cellStyle name="Migliaia 32 3 2 2" xfId="5083" xr:uid="{00000000-0005-0000-0000-0000FB0D0000}"/>
    <cellStyle name="Migliaia 32 3 2 3" xfId="5939" xr:uid="{00000000-0005-0000-0000-0000FC0D0000}"/>
    <cellStyle name="Migliaia 32 3 3" xfId="690" xr:uid="{00000000-0005-0000-0000-0000FD0D0000}"/>
    <cellStyle name="Migliaia 32 3 3 2" xfId="2433" xr:uid="{00000000-0005-0000-0000-0000FE0D0000}"/>
    <cellStyle name="Migliaia 32 3 3 2 2" xfId="5493" xr:uid="{00000000-0005-0000-0000-0000FF0D0000}"/>
    <cellStyle name="Migliaia 32 3 3 2 3" xfId="6415" xr:uid="{00000000-0005-0000-0000-0000000E0000}"/>
    <cellStyle name="Migliaia 32 3 3 3" xfId="5084" xr:uid="{00000000-0005-0000-0000-0000010E0000}"/>
    <cellStyle name="Migliaia 32 3 3 4" xfId="5940" xr:uid="{00000000-0005-0000-0000-0000020E0000}"/>
    <cellStyle name="Migliaia 32 3 4" xfId="2432" xr:uid="{00000000-0005-0000-0000-0000030E0000}"/>
    <cellStyle name="Migliaia 32 3 4 2" xfId="5492" xr:uid="{00000000-0005-0000-0000-0000040E0000}"/>
    <cellStyle name="Migliaia 32 3 4 3" xfId="6414" xr:uid="{00000000-0005-0000-0000-0000050E0000}"/>
    <cellStyle name="Migliaia 32 3 5" xfId="5082" xr:uid="{00000000-0005-0000-0000-0000060E0000}"/>
    <cellStyle name="Migliaia 32 3 6" xfId="5938" xr:uid="{00000000-0005-0000-0000-0000070E0000}"/>
    <cellStyle name="Migliaia 32 4" xfId="691" xr:uid="{00000000-0005-0000-0000-0000080E0000}"/>
    <cellStyle name="Migliaia 32 4 2" xfId="692" xr:uid="{00000000-0005-0000-0000-0000090E0000}"/>
    <cellStyle name="Migliaia 32 4 2 2" xfId="2435" xr:uid="{00000000-0005-0000-0000-00000A0E0000}"/>
    <cellStyle name="Migliaia 32 4 2 2 2" xfId="5495" xr:uid="{00000000-0005-0000-0000-00000B0E0000}"/>
    <cellStyle name="Migliaia 32 4 2 2 3" xfId="6417" xr:uid="{00000000-0005-0000-0000-00000C0E0000}"/>
    <cellStyle name="Migliaia 32 4 2 3" xfId="5086" xr:uid="{00000000-0005-0000-0000-00000D0E0000}"/>
    <cellStyle name="Migliaia 32 4 2 4" xfId="5942" xr:uid="{00000000-0005-0000-0000-00000E0E0000}"/>
    <cellStyle name="Migliaia 32 4 3" xfId="2434" xr:uid="{00000000-0005-0000-0000-00000F0E0000}"/>
    <cellStyle name="Migliaia 32 4 3 2" xfId="5494" xr:uid="{00000000-0005-0000-0000-0000100E0000}"/>
    <cellStyle name="Migliaia 32 4 3 3" xfId="6416" xr:uid="{00000000-0005-0000-0000-0000110E0000}"/>
    <cellStyle name="Migliaia 32 4 4" xfId="5085" xr:uid="{00000000-0005-0000-0000-0000120E0000}"/>
    <cellStyle name="Migliaia 32 4 5" xfId="5941" xr:uid="{00000000-0005-0000-0000-0000130E0000}"/>
    <cellStyle name="Migliaia 32 5" xfId="693" xr:uid="{00000000-0005-0000-0000-0000140E0000}"/>
    <cellStyle name="Migliaia 32 5 2" xfId="5087" xr:uid="{00000000-0005-0000-0000-0000150E0000}"/>
    <cellStyle name="Migliaia 32 5 3" xfId="5943" xr:uid="{00000000-0005-0000-0000-0000160E0000}"/>
    <cellStyle name="Migliaia 32 6" xfId="4824" xr:uid="{00000000-0005-0000-0000-0000170E0000}"/>
    <cellStyle name="Migliaia 32 7" xfId="5936" xr:uid="{00000000-0005-0000-0000-0000180E0000}"/>
    <cellStyle name="Migliaia 33" xfId="694" xr:uid="{00000000-0005-0000-0000-0000190E0000}"/>
    <cellStyle name="Migliaia 33 2" xfId="695" xr:uid="{00000000-0005-0000-0000-00001A0E0000}"/>
    <cellStyle name="Migliaia 33 2 2" xfId="2436" xr:uid="{00000000-0005-0000-0000-00001B0E0000}"/>
    <cellStyle name="Migliaia 33 2 2 2" xfId="5496" xr:uid="{00000000-0005-0000-0000-00001C0E0000}"/>
    <cellStyle name="Migliaia 33 2 2 3" xfId="6418" xr:uid="{00000000-0005-0000-0000-00001D0E0000}"/>
    <cellStyle name="Migliaia 33 2 3" xfId="4889" xr:uid="{00000000-0005-0000-0000-00001E0E0000}"/>
    <cellStyle name="Migliaia 33 2 4" xfId="5945" xr:uid="{00000000-0005-0000-0000-00001F0E0000}"/>
    <cellStyle name="Migliaia 33 3" xfId="696" xr:uid="{00000000-0005-0000-0000-0000200E0000}"/>
    <cellStyle name="Migliaia 33 3 2" xfId="697" xr:uid="{00000000-0005-0000-0000-0000210E0000}"/>
    <cellStyle name="Migliaia 33 3 2 2" xfId="5089" xr:uid="{00000000-0005-0000-0000-0000220E0000}"/>
    <cellStyle name="Migliaia 33 3 2 3" xfId="5947" xr:uid="{00000000-0005-0000-0000-0000230E0000}"/>
    <cellStyle name="Migliaia 33 3 3" xfId="698" xr:uid="{00000000-0005-0000-0000-0000240E0000}"/>
    <cellStyle name="Migliaia 33 3 3 2" xfId="2438" xr:uid="{00000000-0005-0000-0000-0000250E0000}"/>
    <cellStyle name="Migliaia 33 3 3 2 2" xfId="5498" xr:uid="{00000000-0005-0000-0000-0000260E0000}"/>
    <cellStyle name="Migliaia 33 3 3 2 3" xfId="6420" xr:uid="{00000000-0005-0000-0000-0000270E0000}"/>
    <cellStyle name="Migliaia 33 3 3 3" xfId="5090" xr:uid="{00000000-0005-0000-0000-0000280E0000}"/>
    <cellStyle name="Migliaia 33 3 3 4" xfId="5948" xr:uid="{00000000-0005-0000-0000-0000290E0000}"/>
    <cellStyle name="Migliaia 33 3 4" xfId="2437" xr:uid="{00000000-0005-0000-0000-00002A0E0000}"/>
    <cellStyle name="Migliaia 33 3 4 2" xfId="5497" xr:uid="{00000000-0005-0000-0000-00002B0E0000}"/>
    <cellStyle name="Migliaia 33 3 4 3" xfId="6419" xr:uid="{00000000-0005-0000-0000-00002C0E0000}"/>
    <cellStyle name="Migliaia 33 3 5" xfId="5088" xr:uid="{00000000-0005-0000-0000-00002D0E0000}"/>
    <cellStyle name="Migliaia 33 3 6" xfId="5946" xr:uid="{00000000-0005-0000-0000-00002E0E0000}"/>
    <cellStyle name="Migliaia 33 4" xfId="699" xr:uid="{00000000-0005-0000-0000-00002F0E0000}"/>
    <cellStyle name="Migliaia 33 4 2" xfId="700" xr:uid="{00000000-0005-0000-0000-0000300E0000}"/>
    <cellStyle name="Migliaia 33 4 2 2" xfId="2440" xr:uid="{00000000-0005-0000-0000-0000310E0000}"/>
    <cellStyle name="Migliaia 33 4 2 2 2" xfId="5500" xr:uid="{00000000-0005-0000-0000-0000320E0000}"/>
    <cellStyle name="Migliaia 33 4 2 2 3" xfId="6422" xr:uid="{00000000-0005-0000-0000-0000330E0000}"/>
    <cellStyle name="Migliaia 33 4 2 3" xfId="5092" xr:uid="{00000000-0005-0000-0000-0000340E0000}"/>
    <cellStyle name="Migliaia 33 4 2 4" xfId="5950" xr:uid="{00000000-0005-0000-0000-0000350E0000}"/>
    <cellStyle name="Migliaia 33 4 3" xfId="2439" xr:uid="{00000000-0005-0000-0000-0000360E0000}"/>
    <cellStyle name="Migliaia 33 4 3 2" xfId="5499" xr:uid="{00000000-0005-0000-0000-0000370E0000}"/>
    <cellStyle name="Migliaia 33 4 3 3" xfId="6421" xr:uid="{00000000-0005-0000-0000-0000380E0000}"/>
    <cellStyle name="Migliaia 33 4 4" xfId="5091" xr:uid="{00000000-0005-0000-0000-0000390E0000}"/>
    <cellStyle name="Migliaia 33 4 5" xfId="5949" xr:uid="{00000000-0005-0000-0000-00003A0E0000}"/>
    <cellStyle name="Migliaia 33 5" xfId="701" xr:uid="{00000000-0005-0000-0000-00003B0E0000}"/>
    <cellStyle name="Migliaia 33 5 2" xfId="5093" xr:uid="{00000000-0005-0000-0000-00003C0E0000}"/>
    <cellStyle name="Migliaia 33 5 3" xfId="5951" xr:uid="{00000000-0005-0000-0000-00003D0E0000}"/>
    <cellStyle name="Migliaia 33 6" xfId="4825" xr:uid="{00000000-0005-0000-0000-00003E0E0000}"/>
    <cellStyle name="Migliaia 33 7" xfId="5944" xr:uid="{00000000-0005-0000-0000-00003F0E0000}"/>
    <cellStyle name="Migliaia 34" xfId="702" xr:uid="{00000000-0005-0000-0000-0000400E0000}"/>
    <cellStyle name="Migliaia 34 2" xfId="703" xr:uid="{00000000-0005-0000-0000-0000410E0000}"/>
    <cellStyle name="Migliaia 34 2 2" xfId="2441" xr:uid="{00000000-0005-0000-0000-0000420E0000}"/>
    <cellStyle name="Migliaia 34 2 2 2" xfId="5501" xr:uid="{00000000-0005-0000-0000-0000430E0000}"/>
    <cellStyle name="Migliaia 34 2 2 3" xfId="6423" xr:uid="{00000000-0005-0000-0000-0000440E0000}"/>
    <cellStyle name="Migliaia 34 2 3" xfId="4890" xr:uid="{00000000-0005-0000-0000-0000450E0000}"/>
    <cellStyle name="Migliaia 34 2 4" xfId="5953" xr:uid="{00000000-0005-0000-0000-0000460E0000}"/>
    <cellStyle name="Migliaia 34 3" xfId="704" xr:uid="{00000000-0005-0000-0000-0000470E0000}"/>
    <cellStyle name="Migliaia 34 3 2" xfId="705" xr:uid="{00000000-0005-0000-0000-0000480E0000}"/>
    <cellStyle name="Migliaia 34 3 2 2" xfId="5095" xr:uid="{00000000-0005-0000-0000-0000490E0000}"/>
    <cellStyle name="Migliaia 34 3 2 3" xfId="5955" xr:uid="{00000000-0005-0000-0000-00004A0E0000}"/>
    <cellStyle name="Migliaia 34 3 3" xfId="706" xr:uid="{00000000-0005-0000-0000-00004B0E0000}"/>
    <cellStyle name="Migliaia 34 3 3 2" xfId="2443" xr:uid="{00000000-0005-0000-0000-00004C0E0000}"/>
    <cellStyle name="Migliaia 34 3 3 2 2" xfId="5503" xr:uid="{00000000-0005-0000-0000-00004D0E0000}"/>
    <cellStyle name="Migliaia 34 3 3 2 3" xfId="6425" xr:uid="{00000000-0005-0000-0000-00004E0E0000}"/>
    <cellStyle name="Migliaia 34 3 3 3" xfId="5096" xr:uid="{00000000-0005-0000-0000-00004F0E0000}"/>
    <cellStyle name="Migliaia 34 3 3 4" xfId="5956" xr:uid="{00000000-0005-0000-0000-0000500E0000}"/>
    <cellStyle name="Migliaia 34 3 4" xfId="2442" xr:uid="{00000000-0005-0000-0000-0000510E0000}"/>
    <cellStyle name="Migliaia 34 3 4 2" xfId="5502" xr:uid="{00000000-0005-0000-0000-0000520E0000}"/>
    <cellStyle name="Migliaia 34 3 4 3" xfId="6424" xr:uid="{00000000-0005-0000-0000-0000530E0000}"/>
    <cellStyle name="Migliaia 34 3 5" xfId="5094" xr:uid="{00000000-0005-0000-0000-0000540E0000}"/>
    <cellStyle name="Migliaia 34 3 6" xfId="5954" xr:uid="{00000000-0005-0000-0000-0000550E0000}"/>
    <cellStyle name="Migliaia 34 4" xfId="707" xr:uid="{00000000-0005-0000-0000-0000560E0000}"/>
    <cellStyle name="Migliaia 34 4 2" xfId="708" xr:uid="{00000000-0005-0000-0000-0000570E0000}"/>
    <cellStyle name="Migliaia 34 4 2 2" xfId="2445" xr:uid="{00000000-0005-0000-0000-0000580E0000}"/>
    <cellStyle name="Migliaia 34 4 2 2 2" xfId="5505" xr:uid="{00000000-0005-0000-0000-0000590E0000}"/>
    <cellStyle name="Migliaia 34 4 2 2 3" xfId="6427" xr:uid="{00000000-0005-0000-0000-00005A0E0000}"/>
    <cellStyle name="Migliaia 34 4 2 3" xfId="5098" xr:uid="{00000000-0005-0000-0000-00005B0E0000}"/>
    <cellStyle name="Migliaia 34 4 2 4" xfId="5958" xr:uid="{00000000-0005-0000-0000-00005C0E0000}"/>
    <cellStyle name="Migliaia 34 4 3" xfId="2444" xr:uid="{00000000-0005-0000-0000-00005D0E0000}"/>
    <cellStyle name="Migliaia 34 4 3 2" xfId="5504" xr:uid="{00000000-0005-0000-0000-00005E0E0000}"/>
    <cellStyle name="Migliaia 34 4 3 3" xfId="6426" xr:uid="{00000000-0005-0000-0000-00005F0E0000}"/>
    <cellStyle name="Migliaia 34 4 4" xfId="5097" xr:uid="{00000000-0005-0000-0000-0000600E0000}"/>
    <cellStyle name="Migliaia 34 4 5" xfId="5957" xr:uid="{00000000-0005-0000-0000-0000610E0000}"/>
    <cellStyle name="Migliaia 34 5" xfId="709" xr:uid="{00000000-0005-0000-0000-0000620E0000}"/>
    <cellStyle name="Migliaia 34 5 2" xfId="5099" xr:uid="{00000000-0005-0000-0000-0000630E0000}"/>
    <cellStyle name="Migliaia 34 5 3" xfId="5959" xr:uid="{00000000-0005-0000-0000-0000640E0000}"/>
    <cellStyle name="Migliaia 34 6" xfId="4826" xr:uid="{00000000-0005-0000-0000-0000650E0000}"/>
    <cellStyle name="Migliaia 34 7" xfId="5952" xr:uid="{00000000-0005-0000-0000-0000660E0000}"/>
    <cellStyle name="Migliaia 35" xfId="710" xr:uid="{00000000-0005-0000-0000-0000670E0000}"/>
    <cellStyle name="Migliaia 35 2" xfId="711" xr:uid="{00000000-0005-0000-0000-0000680E0000}"/>
    <cellStyle name="Migliaia 35 2 2" xfId="2446" xr:uid="{00000000-0005-0000-0000-0000690E0000}"/>
    <cellStyle name="Migliaia 35 2 2 2" xfId="5506" xr:uid="{00000000-0005-0000-0000-00006A0E0000}"/>
    <cellStyle name="Migliaia 35 2 2 3" xfId="6428" xr:uid="{00000000-0005-0000-0000-00006B0E0000}"/>
    <cellStyle name="Migliaia 35 2 3" xfId="4891" xr:uid="{00000000-0005-0000-0000-00006C0E0000}"/>
    <cellStyle name="Migliaia 35 2 4" xfId="5961" xr:uid="{00000000-0005-0000-0000-00006D0E0000}"/>
    <cellStyle name="Migliaia 35 3" xfId="712" xr:uid="{00000000-0005-0000-0000-00006E0E0000}"/>
    <cellStyle name="Migliaia 35 3 2" xfId="713" xr:uid="{00000000-0005-0000-0000-00006F0E0000}"/>
    <cellStyle name="Migliaia 35 3 2 2" xfId="5101" xr:uid="{00000000-0005-0000-0000-0000700E0000}"/>
    <cellStyle name="Migliaia 35 3 2 3" xfId="5963" xr:uid="{00000000-0005-0000-0000-0000710E0000}"/>
    <cellStyle name="Migliaia 35 3 3" xfId="714" xr:uid="{00000000-0005-0000-0000-0000720E0000}"/>
    <cellStyle name="Migliaia 35 3 3 2" xfId="2448" xr:uid="{00000000-0005-0000-0000-0000730E0000}"/>
    <cellStyle name="Migliaia 35 3 3 2 2" xfId="5508" xr:uid="{00000000-0005-0000-0000-0000740E0000}"/>
    <cellStyle name="Migliaia 35 3 3 2 3" xfId="6430" xr:uid="{00000000-0005-0000-0000-0000750E0000}"/>
    <cellStyle name="Migliaia 35 3 3 3" xfId="5102" xr:uid="{00000000-0005-0000-0000-0000760E0000}"/>
    <cellStyle name="Migliaia 35 3 3 4" xfId="5964" xr:uid="{00000000-0005-0000-0000-0000770E0000}"/>
    <cellStyle name="Migliaia 35 3 4" xfId="2447" xr:uid="{00000000-0005-0000-0000-0000780E0000}"/>
    <cellStyle name="Migliaia 35 3 4 2" xfId="5507" xr:uid="{00000000-0005-0000-0000-0000790E0000}"/>
    <cellStyle name="Migliaia 35 3 4 3" xfId="6429" xr:uid="{00000000-0005-0000-0000-00007A0E0000}"/>
    <cellStyle name="Migliaia 35 3 5" xfId="5100" xr:uid="{00000000-0005-0000-0000-00007B0E0000}"/>
    <cellStyle name="Migliaia 35 3 6" xfId="5962" xr:uid="{00000000-0005-0000-0000-00007C0E0000}"/>
    <cellStyle name="Migliaia 35 4" xfId="715" xr:uid="{00000000-0005-0000-0000-00007D0E0000}"/>
    <cellStyle name="Migliaia 35 4 2" xfId="716" xr:uid="{00000000-0005-0000-0000-00007E0E0000}"/>
    <cellStyle name="Migliaia 35 4 2 2" xfId="2450" xr:uid="{00000000-0005-0000-0000-00007F0E0000}"/>
    <cellStyle name="Migliaia 35 4 2 2 2" xfId="5510" xr:uid="{00000000-0005-0000-0000-0000800E0000}"/>
    <cellStyle name="Migliaia 35 4 2 2 3" xfId="6432" xr:uid="{00000000-0005-0000-0000-0000810E0000}"/>
    <cellStyle name="Migliaia 35 4 2 3" xfId="5104" xr:uid="{00000000-0005-0000-0000-0000820E0000}"/>
    <cellStyle name="Migliaia 35 4 2 4" xfId="5966" xr:uid="{00000000-0005-0000-0000-0000830E0000}"/>
    <cellStyle name="Migliaia 35 4 3" xfId="2449" xr:uid="{00000000-0005-0000-0000-0000840E0000}"/>
    <cellStyle name="Migliaia 35 4 3 2" xfId="5509" xr:uid="{00000000-0005-0000-0000-0000850E0000}"/>
    <cellStyle name="Migliaia 35 4 3 3" xfId="6431" xr:uid="{00000000-0005-0000-0000-0000860E0000}"/>
    <cellStyle name="Migliaia 35 4 4" xfId="5103" xr:uid="{00000000-0005-0000-0000-0000870E0000}"/>
    <cellStyle name="Migliaia 35 4 5" xfId="5965" xr:uid="{00000000-0005-0000-0000-0000880E0000}"/>
    <cellStyle name="Migliaia 35 5" xfId="717" xr:uid="{00000000-0005-0000-0000-0000890E0000}"/>
    <cellStyle name="Migliaia 35 5 2" xfId="5105" xr:uid="{00000000-0005-0000-0000-00008A0E0000}"/>
    <cellStyle name="Migliaia 35 5 3" xfId="5967" xr:uid="{00000000-0005-0000-0000-00008B0E0000}"/>
    <cellStyle name="Migliaia 35 6" xfId="4827" xr:uid="{00000000-0005-0000-0000-00008C0E0000}"/>
    <cellStyle name="Migliaia 35 7" xfId="5960" xr:uid="{00000000-0005-0000-0000-00008D0E0000}"/>
    <cellStyle name="Migliaia 36" xfId="718" xr:uid="{00000000-0005-0000-0000-00008E0E0000}"/>
    <cellStyle name="Migliaia 36 2" xfId="719" xr:uid="{00000000-0005-0000-0000-00008F0E0000}"/>
    <cellStyle name="Migliaia 36 2 2" xfId="2451" xr:uid="{00000000-0005-0000-0000-0000900E0000}"/>
    <cellStyle name="Migliaia 36 2 2 2" xfId="5511" xr:uid="{00000000-0005-0000-0000-0000910E0000}"/>
    <cellStyle name="Migliaia 36 2 2 3" xfId="6433" xr:uid="{00000000-0005-0000-0000-0000920E0000}"/>
    <cellStyle name="Migliaia 36 2 3" xfId="4892" xr:uid="{00000000-0005-0000-0000-0000930E0000}"/>
    <cellStyle name="Migliaia 36 2 4" xfId="5969" xr:uid="{00000000-0005-0000-0000-0000940E0000}"/>
    <cellStyle name="Migliaia 36 3" xfId="720" xr:uid="{00000000-0005-0000-0000-0000950E0000}"/>
    <cellStyle name="Migliaia 36 3 2" xfId="721" xr:uid="{00000000-0005-0000-0000-0000960E0000}"/>
    <cellStyle name="Migliaia 36 3 2 2" xfId="5107" xr:uid="{00000000-0005-0000-0000-0000970E0000}"/>
    <cellStyle name="Migliaia 36 3 2 3" xfId="5971" xr:uid="{00000000-0005-0000-0000-0000980E0000}"/>
    <cellStyle name="Migliaia 36 3 3" xfId="722" xr:uid="{00000000-0005-0000-0000-0000990E0000}"/>
    <cellStyle name="Migliaia 36 3 3 2" xfId="2453" xr:uid="{00000000-0005-0000-0000-00009A0E0000}"/>
    <cellStyle name="Migliaia 36 3 3 2 2" xfId="5513" xr:uid="{00000000-0005-0000-0000-00009B0E0000}"/>
    <cellStyle name="Migliaia 36 3 3 2 3" xfId="6435" xr:uid="{00000000-0005-0000-0000-00009C0E0000}"/>
    <cellStyle name="Migliaia 36 3 3 3" xfId="5108" xr:uid="{00000000-0005-0000-0000-00009D0E0000}"/>
    <cellStyle name="Migliaia 36 3 3 4" xfId="5972" xr:uid="{00000000-0005-0000-0000-00009E0E0000}"/>
    <cellStyle name="Migliaia 36 3 4" xfId="2452" xr:uid="{00000000-0005-0000-0000-00009F0E0000}"/>
    <cellStyle name="Migliaia 36 3 4 2" xfId="5512" xr:uid="{00000000-0005-0000-0000-0000A00E0000}"/>
    <cellStyle name="Migliaia 36 3 4 3" xfId="6434" xr:uid="{00000000-0005-0000-0000-0000A10E0000}"/>
    <cellStyle name="Migliaia 36 3 5" xfId="5106" xr:uid="{00000000-0005-0000-0000-0000A20E0000}"/>
    <cellStyle name="Migliaia 36 3 6" xfId="5970" xr:uid="{00000000-0005-0000-0000-0000A30E0000}"/>
    <cellStyle name="Migliaia 36 4" xfId="723" xr:uid="{00000000-0005-0000-0000-0000A40E0000}"/>
    <cellStyle name="Migliaia 36 4 2" xfId="724" xr:uid="{00000000-0005-0000-0000-0000A50E0000}"/>
    <cellStyle name="Migliaia 36 4 2 2" xfId="2455" xr:uid="{00000000-0005-0000-0000-0000A60E0000}"/>
    <cellStyle name="Migliaia 36 4 2 2 2" xfId="5515" xr:uid="{00000000-0005-0000-0000-0000A70E0000}"/>
    <cellStyle name="Migliaia 36 4 2 2 3" xfId="6437" xr:uid="{00000000-0005-0000-0000-0000A80E0000}"/>
    <cellStyle name="Migliaia 36 4 2 3" xfId="5110" xr:uid="{00000000-0005-0000-0000-0000A90E0000}"/>
    <cellStyle name="Migliaia 36 4 2 4" xfId="5974" xr:uid="{00000000-0005-0000-0000-0000AA0E0000}"/>
    <cellStyle name="Migliaia 36 4 3" xfId="2454" xr:uid="{00000000-0005-0000-0000-0000AB0E0000}"/>
    <cellStyle name="Migliaia 36 4 3 2" xfId="5514" xr:uid="{00000000-0005-0000-0000-0000AC0E0000}"/>
    <cellStyle name="Migliaia 36 4 3 3" xfId="6436" xr:uid="{00000000-0005-0000-0000-0000AD0E0000}"/>
    <cellStyle name="Migliaia 36 4 4" xfId="5109" xr:uid="{00000000-0005-0000-0000-0000AE0E0000}"/>
    <cellStyle name="Migliaia 36 4 5" xfId="5973" xr:uid="{00000000-0005-0000-0000-0000AF0E0000}"/>
    <cellStyle name="Migliaia 36 5" xfId="725" xr:uid="{00000000-0005-0000-0000-0000B00E0000}"/>
    <cellStyle name="Migliaia 36 5 2" xfId="5111" xr:uid="{00000000-0005-0000-0000-0000B10E0000}"/>
    <cellStyle name="Migliaia 36 5 3" xfId="5975" xr:uid="{00000000-0005-0000-0000-0000B20E0000}"/>
    <cellStyle name="Migliaia 36 6" xfId="4828" xr:uid="{00000000-0005-0000-0000-0000B30E0000}"/>
    <cellStyle name="Migliaia 36 7" xfId="5968" xr:uid="{00000000-0005-0000-0000-0000B40E0000}"/>
    <cellStyle name="Migliaia 37" xfId="726" xr:uid="{00000000-0005-0000-0000-0000B50E0000}"/>
    <cellStyle name="Migliaia 37 2" xfId="727" xr:uid="{00000000-0005-0000-0000-0000B60E0000}"/>
    <cellStyle name="Migliaia 37 2 2" xfId="2456" xr:uid="{00000000-0005-0000-0000-0000B70E0000}"/>
    <cellStyle name="Migliaia 37 2 2 2" xfId="5516" xr:uid="{00000000-0005-0000-0000-0000B80E0000}"/>
    <cellStyle name="Migliaia 37 2 2 3" xfId="6438" xr:uid="{00000000-0005-0000-0000-0000B90E0000}"/>
    <cellStyle name="Migliaia 37 2 3" xfId="4893" xr:uid="{00000000-0005-0000-0000-0000BA0E0000}"/>
    <cellStyle name="Migliaia 37 2 4" xfId="5977" xr:uid="{00000000-0005-0000-0000-0000BB0E0000}"/>
    <cellStyle name="Migliaia 37 3" xfId="728" xr:uid="{00000000-0005-0000-0000-0000BC0E0000}"/>
    <cellStyle name="Migliaia 37 3 2" xfId="729" xr:uid="{00000000-0005-0000-0000-0000BD0E0000}"/>
    <cellStyle name="Migliaia 37 3 2 2" xfId="5113" xr:uid="{00000000-0005-0000-0000-0000BE0E0000}"/>
    <cellStyle name="Migliaia 37 3 2 3" xfId="5979" xr:uid="{00000000-0005-0000-0000-0000BF0E0000}"/>
    <cellStyle name="Migliaia 37 3 3" xfId="730" xr:uid="{00000000-0005-0000-0000-0000C00E0000}"/>
    <cellStyle name="Migliaia 37 3 3 2" xfId="2458" xr:uid="{00000000-0005-0000-0000-0000C10E0000}"/>
    <cellStyle name="Migliaia 37 3 3 2 2" xfId="5518" xr:uid="{00000000-0005-0000-0000-0000C20E0000}"/>
    <cellStyle name="Migliaia 37 3 3 2 3" xfId="6440" xr:uid="{00000000-0005-0000-0000-0000C30E0000}"/>
    <cellStyle name="Migliaia 37 3 3 3" xfId="5114" xr:uid="{00000000-0005-0000-0000-0000C40E0000}"/>
    <cellStyle name="Migliaia 37 3 3 4" xfId="5980" xr:uid="{00000000-0005-0000-0000-0000C50E0000}"/>
    <cellStyle name="Migliaia 37 3 4" xfId="2457" xr:uid="{00000000-0005-0000-0000-0000C60E0000}"/>
    <cellStyle name="Migliaia 37 3 4 2" xfId="5517" xr:uid="{00000000-0005-0000-0000-0000C70E0000}"/>
    <cellStyle name="Migliaia 37 3 4 3" xfId="6439" xr:uid="{00000000-0005-0000-0000-0000C80E0000}"/>
    <cellStyle name="Migliaia 37 3 5" xfId="5112" xr:uid="{00000000-0005-0000-0000-0000C90E0000}"/>
    <cellStyle name="Migliaia 37 3 6" xfId="5978" xr:uid="{00000000-0005-0000-0000-0000CA0E0000}"/>
    <cellStyle name="Migliaia 37 4" xfId="731" xr:uid="{00000000-0005-0000-0000-0000CB0E0000}"/>
    <cellStyle name="Migliaia 37 4 2" xfId="732" xr:uid="{00000000-0005-0000-0000-0000CC0E0000}"/>
    <cellStyle name="Migliaia 37 4 2 2" xfId="2460" xr:uid="{00000000-0005-0000-0000-0000CD0E0000}"/>
    <cellStyle name="Migliaia 37 4 2 2 2" xfId="5520" xr:uid="{00000000-0005-0000-0000-0000CE0E0000}"/>
    <cellStyle name="Migliaia 37 4 2 2 3" xfId="6442" xr:uid="{00000000-0005-0000-0000-0000CF0E0000}"/>
    <cellStyle name="Migliaia 37 4 2 3" xfId="5116" xr:uid="{00000000-0005-0000-0000-0000D00E0000}"/>
    <cellStyle name="Migliaia 37 4 2 4" xfId="5982" xr:uid="{00000000-0005-0000-0000-0000D10E0000}"/>
    <cellStyle name="Migliaia 37 4 3" xfId="2459" xr:uid="{00000000-0005-0000-0000-0000D20E0000}"/>
    <cellStyle name="Migliaia 37 4 3 2" xfId="5519" xr:uid="{00000000-0005-0000-0000-0000D30E0000}"/>
    <cellStyle name="Migliaia 37 4 3 3" xfId="6441" xr:uid="{00000000-0005-0000-0000-0000D40E0000}"/>
    <cellStyle name="Migliaia 37 4 4" xfId="5115" xr:uid="{00000000-0005-0000-0000-0000D50E0000}"/>
    <cellStyle name="Migliaia 37 4 5" xfId="5981" xr:uid="{00000000-0005-0000-0000-0000D60E0000}"/>
    <cellStyle name="Migliaia 37 5" xfId="733" xr:uid="{00000000-0005-0000-0000-0000D70E0000}"/>
    <cellStyle name="Migliaia 37 5 2" xfId="5117" xr:uid="{00000000-0005-0000-0000-0000D80E0000}"/>
    <cellStyle name="Migliaia 37 5 3" xfId="5983" xr:uid="{00000000-0005-0000-0000-0000D90E0000}"/>
    <cellStyle name="Migliaia 37 6" xfId="4829" xr:uid="{00000000-0005-0000-0000-0000DA0E0000}"/>
    <cellStyle name="Migliaia 37 7" xfId="5976" xr:uid="{00000000-0005-0000-0000-0000DB0E0000}"/>
    <cellStyle name="Migliaia 38" xfId="734" xr:uid="{00000000-0005-0000-0000-0000DC0E0000}"/>
    <cellStyle name="Migliaia 38 2" xfId="735" xr:uid="{00000000-0005-0000-0000-0000DD0E0000}"/>
    <cellStyle name="Migliaia 38 2 2" xfId="2461" xr:uid="{00000000-0005-0000-0000-0000DE0E0000}"/>
    <cellStyle name="Migliaia 38 2 2 2" xfId="5521" xr:uid="{00000000-0005-0000-0000-0000DF0E0000}"/>
    <cellStyle name="Migliaia 38 2 2 3" xfId="6443" xr:uid="{00000000-0005-0000-0000-0000E00E0000}"/>
    <cellStyle name="Migliaia 38 2 3" xfId="4894" xr:uid="{00000000-0005-0000-0000-0000E10E0000}"/>
    <cellStyle name="Migliaia 38 2 4" xfId="5985" xr:uid="{00000000-0005-0000-0000-0000E20E0000}"/>
    <cellStyle name="Migliaia 38 3" xfId="736" xr:uid="{00000000-0005-0000-0000-0000E30E0000}"/>
    <cellStyle name="Migliaia 38 3 2" xfId="737" xr:uid="{00000000-0005-0000-0000-0000E40E0000}"/>
    <cellStyle name="Migliaia 38 3 2 2" xfId="5119" xr:uid="{00000000-0005-0000-0000-0000E50E0000}"/>
    <cellStyle name="Migliaia 38 3 2 3" xfId="5987" xr:uid="{00000000-0005-0000-0000-0000E60E0000}"/>
    <cellStyle name="Migliaia 38 3 3" xfId="738" xr:uid="{00000000-0005-0000-0000-0000E70E0000}"/>
    <cellStyle name="Migliaia 38 3 3 2" xfId="2463" xr:uid="{00000000-0005-0000-0000-0000E80E0000}"/>
    <cellStyle name="Migliaia 38 3 3 2 2" xfId="5523" xr:uid="{00000000-0005-0000-0000-0000E90E0000}"/>
    <cellStyle name="Migliaia 38 3 3 2 3" xfId="6445" xr:uid="{00000000-0005-0000-0000-0000EA0E0000}"/>
    <cellStyle name="Migliaia 38 3 3 3" xfId="5120" xr:uid="{00000000-0005-0000-0000-0000EB0E0000}"/>
    <cellStyle name="Migliaia 38 3 3 4" xfId="5988" xr:uid="{00000000-0005-0000-0000-0000EC0E0000}"/>
    <cellStyle name="Migliaia 38 3 4" xfId="2462" xr:uid="{00000000-0005-0000-0000-0000ED0E0000}"/>
    <cellStyle name="Migliaia 38 3 4 2" xfId="5522" xr:uid="{00000000-0005-0000-0000-0000EE0E0000}"/>
    <cellStyle name="Migliaia 38 3 4 3" xfId="6444" xr:uid="{00000000-0005-0000-0000-0000EF0E0000}"/>
    <cellStyle name="Migliaia 38 3 5" xfId="5118" xr:uid="{00000000-0005-0000-0000-0000F00E0000}"/>
    <cellStyle name="Migliaia 38 3 6" xfId="5986" xr:uid="{00000000-0005-0000-0000-0000F10E0000}"/>
    <cellStyle name="Migliaia 38 4" xfId="739" xr:uid="{00000000-0005-0000-0000-0000F20E0000}"/>
    <cellStyle name="Migliaia 38 4 2" xfId="740" xr:uid="{00000000-0005-0000-0000-0000F30E0000}"/>
    <cellStyle name="Migliaia 38 4 2 2" xfId="2465" xr:uid="{00000000-0005-0000-0000-0000F40E0000}"/>
    <cellStyle name="Migliaia 38 4 2 2 2" xfId="5525" xr:uid="{00000000-0005-0000-0000-0000F50E0000}"/>
    <cellStyle name="Migliaia 38 4 2 2 3" xfId="6447" xr:uid="{00000000-0005-0000-0000-0000F60E0000}"/>
    <cellStyle name="Migliaia 38 4 2 3" xfId="5122" xr:uid="{00000000-0005-0000-0000-0000F70E0000}"/>
    <cellStyle name="Migliaia 38 4 2 4" xfId="5990" xr:uid="{00000000-0005-0000-0000-0000F80E0000}"/>
    <cellStyle name="Migliaia 38 4 3" xfId="2464" xr:uid="{00000000-0005-0000-0000-0000F90E0000}"/>
    <cellStyle name="Migliaia 38 4 3 2" xfId="5524" xr:uid="{00000000-0005-0000-0000-0000FA0E0000}"/>
    <cellStyle name="Migliaia 38 4 3 3" xfId="6446" xr:uid="{00000000-0005-0000-0000-0000FB0E0000}"/>
    <cellStyle name="Migliaia 38 4 4" xfId="5121" xr:uid="{00000000-0005-0000-0000-0000FC0E0000}"/>
    <cellStyle name="Migliaia 38 4 5" xfId="5989" xr:uid="{00000000-0005-0000-0000-0000FD0E0000}"/>
    <cellStyle name="Migliaia 38 5" xfId="741" xr:uid="{00000000-0005-0000-0000-0000FE0E0000}"/>
    <cellStyle name="Migliaia 38 5 2" xfId="5123" xr:uid="{00000000-0005-0000-0000-0000FF0E0000}"/>
    <cellStyle name="Migliaia 38 5 3" xfId="5991" xr:uid="{00000000-0005-0000-0000-0000000F0000}"/>
    <cellStyle name="Migliaia 38 6" xfId="4830" xr:uid="{00000000-0005-0000-0000-0000010F0000}"/>
    <cellStyle name="Migliaia 38 7" xfId="5984" xr:uid="{00000000-0005-0000-0000-0000020F0000}"/>
    <cellStyle name="Migliaia 39" xfId="742" xr:uid="{00000000-0005-0000-0000-0000030F0000}"/>
    <cellStyle name="Migliaia 39 2" xfId="743" xr:uid="{00000000-0005-0000-0000-0000040F0000}"/>
    <cellStyle name="Migliaia 39 2 2" xfId="2466" xr:uid="{00000000-0005-0000-0000-0000050F0000}"/>
    <cellStyle name="Migliaia 39 2 2 2" xfId="5526" xr:uid="{00000000-0005-0000-0000-0000060F0000}"/>
    <cellStyle name="Migliaia 39 2 2 3" xfId="6448" xr:uid="{00000000-0005-0000-0000-0000070F0000}"/>
    <cellStyle name="Migliaia 39 2 3" xfId="4895" xr:uid="{00000000-0005-0000-0000-0000080F0000}"/>
    <cellStyle name="Migliaia 39 2 4" xfId="5993" xr:uid="{00000000-0005-0000-0000-0000090F0000}"/>
    <cellStyle name="Migliaia 39 3" xfId="744" xr:uid="{00000000-0005-0000-0000-00000A0F0000}"/>
    <cellStyle name="Migliaia 39 3 2" xfId="745" xr:uid="{00000000-0005-0000-0000-00000B0F0000}"/>
    <cellStyle name="Migliaia 39 3 2 2" xfId="5125" xr:uid="{00000000-0005-0000-0000-00000C0F0000}"/>
    <cellStyle name="Migliaia 39 3 2 3" xfId="5995" xr:uid="{00000000-0005-0000-0000-00000D0F0000}"/>
    <cellStyle name="Migliaia 39 3 3" xfId="746" xr:uid="{00000000-0005-0000-0000-00000E0F0000}"/>
    <cellStyle name="Migliaia 39 3 3 2" xfId="2468" xr:uid="{00000000-0005-0000-0000-00000F0F0000}"/>
    <cellStyle name="Migliaia 39 3 3 2 2" xfId="5528" xr:uid="{00000000-0005-0000-0000-0000100F0000}"/>
    <cellStyle name="Migliaia 39 3 3 2 3" xfId="6450" xr:uid="{00000000-0005-0000-0000-0000110F0000}"/>
    <cellStyle name="Migliaia 39 3 3 3" xfId="5126" xr:uid="{00000000-0005-0000-0000-0000120F0000}"/>
    <cellStyle name="Migliaia 39 3 3 4" xfId="5996" xr:uid="{00000000-0005-0000-0000-0000130F0000}"/>
    <cellStyle name="Migliaia 39 3 4" xfId="2467" xr:uid="{00000000-0005-0000-0000-0000140F0000}"/>
    <cellStyle name="Migliaia 39 3 4 2" xfId="5527" xr:uid="{00000000-0005-0000-0000-0000150F0000}"/>
    <cellStyle name="Migliaia 39 3 4 3" xfId="6449" xr:uid="{00000000-0005-0000-0000-0000160F0000}"/>
    <cellStyle name="Migliaia 39 3 5" xfId="5124" xr:uid="{00000000-0005-0000-0000-0000170F0000}"/>
    <cellStyle name="Migliaia 39 3 6" xfId="5994" xr:uid="{00000000-0005-0000-0000-0000180F0000}"/>
    <cellStyle name="Migliaia 39 4" xfId="747" xr:uid="{00000000-0005-0000-0000-0000190F0000}"/>
    <cellStyle name="Migliaia 39 4 2" xfId="748" xr:uid="{00000000-0005-0000-0000-00001A0F0000}"/>
    <cellStyle name="Migliaia 39 4 2 2" xfId="2470" xr:uid="{00000000-0005-0000-0000-00001B0F0000}"/>
    <cellStyle name="Migliaia 39 4 2 2 2" xfId="5530" xr:uid="{00000000-0005-0000-0000-00001C0F0000}"/>
    <cellStyle name="Migliaia 39 4 2 2 3" xfId="6452" xr:uid="{00000000-0005-0000-0000-00001D0F0000}"/>
    <cellStyle name="Migliaia 39 4 2 3" xfId="5128" xr:uid="{00000000-0005-0000-0000-00001E0F0000}"/>
    <cellStyle name="Migliaia 39 4 2 4" xfId="5998" xr:uid="{00000000-0005-0000-0000-00001F0F0000}"/>
    <cellStyle name="Migliaia 39 4 3" xfId="2469" xr:uid="{00000000-0005-0000-0000-0000200F0000}"/>
    <cellStyle name="Migliaia 39 4 3 2" xfId="5529" xr:uid="{00000000-0005-0000-0000-0000210F0000}"/>
    <cellStyle name="Migliaia 39 4 3 3" xfId="6451" xr:uid="{00000000-0005-0000-0000-0000220F0000}"/>
    <cellStyle name="Migliaia 39 4 4" xfId="5127" xr:uid="{00000000-0005-0000-0000-0000230F0000}"/>
    <cellStyle name="Migliaia 39 4 5" xfId="5997" xr:uid="{00000000-0005-0000-0000-0000240F0000}"/>
    <cellStyle name="Migliaia 39 5" xfId="749" xr:uid="{00000000-0005-0000-0000-0000250F0000}"/>
    <cellStyle name="Migliaia 39 5 2" xfId="5129" xr:uid="{00000000-0005-0000-0000-0000260F0000}"/>
    <cellStyle name="Migliaia 39 5 3" xfId="5999" xr:uid="{00000000-0005-0000-0000-0000270F0000}"/>
    <cellStyle name="Migliaia 39 6" xfId="4831" xr:uid="{00000000-0005-0000-0000-0000280F0000}"/>
    <cellStyle name="Migliaia 39 7" xfId="5992" xr:uid="{00000000-0005-0000-0000-0000290F0000}"/>
    <cellStyle name="Migliaia 4" xfId="750" xr:uid="{00000000-0005-0000-0000-00002A0F0000}"/>
    <cellStyle name="Migliaia 4 2" xfId="751" xr:uid="{00000000-0005-0000-0000-00002B0F0000}"/>
    <cellStyle name="Migliaia 4 2 2" xfId="2471" xr:uid="{00000000-0005-0000-0000-00002C0F0000}"/>
    <cellStyle name="Migliaia 4 2 2 2" xfId="5531" xr:uid="{00000000-0005-0000-0000-00002D0F0000}"/>
    <cellStyle name="Migliaia 4 2 2 3" xfId="6453" xr:uid="{00000000-0005-0000-0000-00002E0F0000}"/>
    <cellStyle name="Migliaia 4 2 3" xfId="4896" xr:uid="{00000000-0005-0000-0000-00002F0F0000}"/>
    <cellStyle name="Migliaia 4 2 4" xfId="6001" xr:uid="{00000000-0005-0000-0000-0000300F0000}"/>
    <cellStyle name="Migliaia 4 3" xfId="752" xr:uid="{00000000-0005-0000-0000-0000310F0000}"/>
    <cellStyle name="Migliaia 4 3 2" xfId="753" xr:uid="{00000000-0005-0000-0000-0000320F0000}"/>
    <cellStyle name="Migliaia 4 3 2 2" xfId="5131" xr:uid="{00000000-0005-0000-0000-0000330F0000}"/>
    <cellStyle name="Migliaia 4 3 2 3" xfId="6003" xr:uid="{00000000-0005-0000-0000-0000340F0000}"/>
    <cellStyle name="Migliaia 4 3 3" xfId="754" xr:uid="{00000000-0005-0000-0000-0000350F0000}"/>
    <cellStyle name="Migliaia 4 3 3 2" xfId="2473" xr:uid="{00000000-0005-0000-0000-0000360F0000}"/>
    <cellStyle name="Migliaia 4 3 3 2 2" xfId="5533" xr:uid="{00000000-0005-0000-0000-0000370F0000}"/>
    <cellStyle name="Migliaia 4 3 3 2 3" xfId="6455" xr:uid="{00000000-0005-0000-0000-0000380F0000}"/>
    <cellStyle name="Migliaia 4 3 3 3" xfId="5132" xr:uid="{00000000-0005-0000-0000-0000390F0000}"/>
    <cellStyle name="Migliaia 4 3 3 4" xfId="6004" xr:uid="{00000000-0005-0000-0000-00003A0F0000}"/>
    <cellStyle name="Migliaia 4 3 4" xfId="2472" xr:uid="{00000000-0005-0000-0000-00003B0F0000}"/>
    <cellStyle name="Migliaia 4 3 4 2" xfId="5532" xr:uid="{00000000-0005-0000-0000-00003C0F0000}"/>
    <cellStyle name="Migliaia 4 3 4 3" xfId="6454" xr:uid="{00000000-0005-0000-0000-00003D0F0000}"/>
    <cellStyle name="Migliaia 4 3 5" xfId="5130" xr:uid="{00000000-0005-0000-0000-00003E0F0000}"/>
    <cellStyle name="Migliaia 4 3 6" xfId="6002" xr:uid="{00000000-0005-0000-0000-00003F0F0000}"/>
    <cellStyle name="Migliaia 4 4" xfId="755" xr:uid="{00000000-0005-0000-0000-0000400F0000}"/>
    <cellStyle name="Migliaia 4 4 2" xfId="756" xr:uid="{00000000-0005-0000-0000-0000410F0000}"/>
    <cellStyle name="Migliaia 4 4 2 2" xfId="2475" xr:uid="{00000000-0005-0000-0000-0000420F0000}"/>
    <cellStyle name="Migliaia 4 4 2 2 2" xfId="5535" xr:uid="{00000000-0005-0000-0000-0000430F0000}"/>
    <cellStyle name="Migliaia 4 4 2 2 3" xfId="6457" xr:uid="{00000000-0005-0000-0000-0000440F0000}"/>
    <cellStyle name="Migliaia 4 4 2 3" xfId="5134" xr:uid="{00000000-0005-0000-0000-0000450F0000}"/>
    <cellStyle name="Migliaia 4 4 2 4" xfId="6006" xr:uid="{00000000-0005-0000-0000-0000460F0000}"/>
    <cellStyle name="Migliaia 4 4 3" xfId="2474" xr:uid="{00000000-0005-0000-0000-0000470F0000}"/>
    <cellStyle name="Migliaia 4 4 3 2" xfId="5534" xr:uid="{00000000-0005-0000-0000-0000480F0000}"/>
    <cellStyle name="Migliaia 4 4 3 3" xfId="6456" xr:uid="{00000000-0005-0000-0000-0000490F0000}"/>
    <cellStyle name="Migliaia 4 4 4" xfId="5133" xr:uid="{00000000-0005-0000-0000-00004A0F0000}"/>
    <cellStyle name="Migliaia 4 4 5" xfId="6005" xr:uid="{00000000-0005-0000-0000-00004B0F0000}"/>
    <cellStyle name="Migliaia 4 5" xfId="757" xr:uid="{00000000-0005-0000-0000-00004C0F0000}"/>
    <cellStyle name="Migliaia 4 5 2" xfId="5135" xr:uid="{00000000-0005-0000-0000-00004D0F0000}"/>
    <cellStyle name="Migliaia 4 5 3" xfId="6007" xr:uid="{00000000-0005-0000-0000-00004E0F0000}"/>
    <cellStyle name="Migliaia 4 6" xfId="4832" xr:uid="{00000000-0005-0000-0000-00004F0F0000}"/>
    <cellStyle name="Migliaia 4 7" xfId="6000" xr:uid="{00000000-0005-0000-0000-0000500F0000}"/>
    <cellStyle name="Migliaia 40" xfId="758" xr:uid="{00000000-0005-0000-0000-0000510F0000}"/>
    <cellStyle name="Migliaia 40 2" xfId="759" xr:uid="{00000000-0005-0000-0000-0000520F0000}"/>
    <cellStyle name="Migliaia 40 2 2" xfId="2476" xr:uid="{00000000-0005-0000-0000-0000530F0000}"/>
    <cellStyle name="Migliaia 40 2 2 2" xfId="5536" xr:uid="{00000000-0005-0000-0000-0000540F0000}"/>
    <cellStyle name="Migliaia 40 2 2 3" xfId="6458" xr:uid="{00000000-0005-0000-0000-0000550F0000}"/>
    <cellStyle name="Migliaia 40 2 3" xfId="4897" xr:uid="{00000000-0005-0000-0000-0000560F0000}"/>
    <cellStyle name="Migliaia 40 2 4" xfId="6009" xr:uid="{00000000-0005-0000-0000-0000570F0000}"/>
    <cellStyle name="Migliaia 40 3" xfId="760" xr:uid="{00000000-0005-0000-0000-0000580F0000}"/>
    <cellStyle name="Migliaia 40 3 2" xfId="761" xr:uid="{00000000-0005-0000-0000-0000590F0000}"/>
    <cellStyle name="Migliaia 40 3 2 2" xfId="5137" xr:uid="{00000000-0005-0000-0000-00005A0F0000}"/>
    <cellStyle name="Migliaia 40 3 2 3" xfId="6011" xr:uid="{00000000-0005-0000-0000-00005B0F0000}"/>
    <cellStyle name="Migliaia 40 3 3" xfId="762" xr:uid="{00000000-0005-0000-0000-00005C0F0000}"/>
    <cellStyle name="Migliaia 40 3 3 2" xfId="2478" xr:uid="{00000000-0005-0000-0000-00005D0F0000}"/>
    <cellStyle name="Migliaia 40 3 3 2 2" xfId="5538" xr:uid="{00000000-0005-0000-0000-00005E0F0000}"/>
    <cellStyle name="Migliaia 40 3 3 2 3" xfId="6460" xr:uid="{00000000-0005-0000-0000-00005F0F0000}"/>
    <cellStyle name="Migliaia 40 3 3 3" xfId="5138" xr:uid="{00000000-0005-0000-0000-0000600F0000}"/>
    <cellStyle name="Migliaia 40 3 3 4" xfId="6012" xr:uid="{00000000-0005-0000-0000-0000610F0000}"/>
    <cellStyle name="Migliaia 40 3 4" xfId="2477" xr:uid="{00000000-0005-0000-0000-0000620F0000}"/>
    <cellStyle name="Migliaia 40 3 4 2" xfId="5537" xr:uid="{00000000-0005-0000-0000-0000630F0000}"/>
    <cellStyle name="Migliaia 40 3 4 3" xfId="6459" xr:uid="{00000000-0005-0000-0000-0000640F0000}"/>
    <cellStyle name="Migliaia 40 3 5" xfId="5136" xr:uid="{00000000-0005-0000-0000-0000650F0000}"/>
    <cellStyle name="Migliaia 40 3 6" xfId="6010" xr:uid="{00000000-0005-0000-0000-0000660F0000}"/>
    <cellStyle name="Migliaia 40 4" xfId="763" xr:uid="{00000000-0005-0000-0000-0000670F0000}"/>
    <cellStyle name="Migliaia 40 4 2" xfId="764" xr:uid="{00000000-0005-0000-0000-0000680F0000}"/>
    <cellStyle name="Migliaia 40 4 2 2" xfId="2480" xr:uid="{00000000-0005-0000-0000-0000690F0000}"/>
    <cellStyle name="Migliaia 40 4 2 2 2" xfId="5540" xr:uid="{00000000-0005-0000-0000-00006A0F0000}"/>
    <cellStyle name="Migliaia 40 4 2 2 3" xfId="6462" xr:uid="{00000000-0005-0000-0000-00006B0F0000}"/>
    <cellStyle name="Migliaia 40 4 2 3" xfId="5140" xr:uid="{00000000-0005-0000-0000-00006C0F0000}"/>
    <cellStyle name="Migliaia 40 4 2 4" xfId="6014" xr:uid="{00000000-0005-0000-0000-00006D0F0000}"/>
    <cellStyle name="Migliaia 40 4 3" xfId="2479" xr:uid="{00000000-0005-0000-0000-00006E0F0000}"/>
    <cellStyle name="Migliaia 40 4 3 2" xfId="5539" xr:uid="{00000000-0005-0000-0000-00006F0F0000}"/>
    <cellStyle name="Migliaia 40 4 3 3" xfId="6461" xr:uid="{00000000-0005-0000-0000-0000700F0000}"/>
    <cellStyle name="Migliaia 40 4 4" xfId="5139" xr:uid="{00000000-0005-0000-0000-0000710F0000}"/>
    <cellStyle name="Migliaia 40 4 5" xfId="6013" xr:uid="{00000000-0005-0000-0000-0000720F0000}"/>
    <cellStyle name="Migliaia 40 5" xfId="765" xr:uid="{00000000-0005-0000-0000-0000730F0000}"/>
    <cellStyle name="Migliaia 40 5 2" xfId="5141" xr:uid="{00000000-0005-0000-0000-0000740F0000}"/>
    <cellStyle name="Migliaia 40 5 3" xfId="6015" xr:uid="{00000000-0005-0000-0000-0000750F0000}"/>
    <cellStyle name="Migliaia 40 6" xfId="4833" xr:uid="{00000000-0005-0000-0000-0000760F0000}"/>
    <cellStyle name="Migliaia 40 7" xfId="6008" xr:uid="{00000000-0005-0000-0000-0000770F0000}"/>
    <cellStyle name="Migliaia 41" xfId="766" xr:uid="{00000000-0005-0000-0000-0000780F0000}"/>
    <cellStyle name="Migliaia 41 2" xfId="767" xr:uid="{00000000-0005-0000-0000-0000790F0000}"/>
    <cellStyle name="Migliaia 41 2 2" xfId="2481" xr:uid="{00000000-0005-0000-0000-00007A0F0000}"/>
    <cellStyle name="Migliaia 41 2 2 2" xfId="5541" xr:uid="{00000000-0005-0000-0000-00007B0F0000}"/>
    <cellStyle name="Migliaia 41 2 2 3" xfId="6463" xr:uid="{00000000-0005-0000-0000-00007C0F0000}"/>
    <cellStyle name="Migliaia 41 2 3" xfId="4898" xr:uid="{00000000-0005-0000-0000-00007D0F0000}"/>
    <cellStyle name="Migliaia 41 2 4" xfId="6017" xr:uid="{00000000-0005-0000-0000-00007E0F0000}"/>
    <cellStyle name="Migliaia 41 3" xfId="768" xr:uid="{00000000-0005-0000-0000-00007F0F0000}"/>
    <cellStyle name="Migliaia 41 3 2" xfId="769" xr:uid="{00000000-0005-0000-0000-0000800F0000}"/>
    <cellStyle name="Migliaia 41 3 2 2" xfId="5143" xr:uid="{00000000-0005-0000-0000-0000810F0000}"/>
    <cellStyle name="Migliaia 41 3 2 3" xfId="6019" xr:uid="{00000000-0005-0000-0000-0000820F0000}"/>
    <cellStyle name="Migliaia 41 3 3" xfId="770" xr:uid="{00000000-0005-0000-0000-0000830F0000}"/>
    <cellStyle name="Migliaia 41 3 3 2" xfId="2483" xr:uid="{00000000-0005-0000-0000-0000840F0000}"/>
    <cellStyle name="Migliaia 41 3 3 2 2" xfId="5543" xr:uid="{00000000-0005-0000-0000-0000850F0000}"/>
    <cellStyle name="Migliaia 41 3 3 2 3" xfId="6465" xr:uid="{00000000-0005-0000-0000-0000860F0000}"/>
    <cellStyle name="Migliaia 41 3 3 3" xfId="5144" xr:uid="{00000000-0005-0000-0000-0000870F0000}"/>
    <cellStyle name="Migliaia 41 3 3 4" xfId="6020" xr:uid="{00000000-0005-0000-0000-0000880F0000}"/>
    <cellStyle name="Migliaia 41 3 4" xfId="2482" xr:uid="{00000000-0005-0000-0000-0000890F0000}"/>
    <cellStyle name="Migliaia 41 3 4 2" xfId="5542" xr:uid="{00000000-0005-0000-0000-00008A0F0000}"/>
    <cellStyle name="Migliaia 41 3 4 3" xfId="6464" xr:uid="{00000000-0005-0000-0000-00008B0F0000}"/>
    <cellStyle name="Migliaia 41 3 5" xfId="5142" xr:uid="{00000000-0005-0000-0000-00008C0F0000}"/>
    <cellStyle name="Migliaia 41 3 6" xfId="6018" xr:uid="{00000000-0005-0000-0000-00008D0F0000}"/>
    <cellStyle name="Migliaia 41 4" xfId="771" xr:uid="{00000000-0005-0000-0000-00008E0F0000}"/>
    <cellStyle name="Migliaia 41 4 2" xfId="772" xr:uid="{00000000-0005-0000-0000-00008F0F0000}"/>
    <cellStyle name="Migliaia 41 4 2 2" xfId="2485" xr:uid="{00000000-0005-0000-0000-0000900F0000}"/>
    <cellStyle name="Migliaia 41 4 2 2 2" xfId="5545" xr:uid="{00000000-0005-0000-0000-0000910F0000}"/>
    <cellStyle name="Migliaia 41 4 2 2 3" xfId="6467" xr:uid="{00000000-0005-0000-0000-0000920F0000}"/>
    <cellStyle name="Migliaia 41 4 2 3" xfId="5146" xr:uid="{00000000-0005-0000-0000-0000930F0000}"/>
    <cellStyle name="Migliaia 41 4 2 4" xfId="6022" xr:uid="{00000000-0005-0000-0000-0000940F0000}"/>
    <cellStyle name="Migliaia 41 4 3" xfId="2484" xr:uid="{00000000-0005-0000-0000-0000950F0000}"/>
    <cellStyle name="Migliaia 41 4 3 2" xfId="5544" xr:uid="{00000000-0005-0000-0000-0000960F0000}"/>
    <cellStyle name="Migliaia 41 4 3 3" xfId="6466" xr:uid="{00000000-0005-0000-0000-0000970F0000}"/>
    <cellStyle name="Migliaia 41 4 4" xfId="5145" xr:uid="{00000000-0005-0000-0000-0000980F0000}"/>
    <cellStyle name="Migliaia 41 4 5" xfId="6021" xr:uid="{00000000-0005-0000-0000-0000990F0000}"/>
    <cellStyle name="Migliaia 41 5" xfId="773" xr:uid="{00000000-0005-0000-0000-00009A0F0000}"/>
    <cellStyle name="Migliaia 41 5 2" xfId="5147" xr:uid="{00000000-0005-0000-0000-00009B0F0000}"/>
    <cellStyle name="Migliaia 41 5 3" xfId="6023" xr:uid="{00000000-0005-0000-0000-00009C0F0000}"/>
    <cellStyle name="Migliaia 41 6" xfId="4834" xr:uid="{00000000-0005-0000-0000-00009D0F0000}"/>
    <cellStyle name="Migliaia 41 7" xfId="6016" xr:uid="{00000000-0005-0000-0000-00009E0F0000}"/>
    <cellStyle name="Migliaia 42" xfId="774" xr:uid="{00000000-0005-0000-0000-00009F0F0000}"/>
    <cellStyle name="Migliaia 42 2" xfId="775" xr:uid="{00000000-0005-0000-0000-0000A00F0000}"/>
    <cellStyle name="Migliaia 42 2 2" xfId="2486" xr:uid="{00000000-0005-0000-0000-0000A10F0000}"/>
    <cellStyle name="Migliaia 42 2 2 2" xfId="5546" xr:uid="{00000000-0005-0000-0000-0000A20F0000}"/>
    <cellStyle name="Migliaia 42 2 2 3" xfId="6468" xr:uid="{00000000-0005-0000-0000-0000A30F0000}"/>
    <cellStyle name="Migliaia 42 2 3" xfId="4899" xr:uid="{00000000-0005-0000-0000-0000A40F0000}"/>
    <cellStyle name="Migliaia 42 2 4" xfId="6025" xr:uid="{00000000-0005-0000-0000-0000A50F0000}"/>
    <cellStyle name="Migliaia 42 3" xfId="776" xr:uid="{00000000-0005-0000-0000-0000A60F0000}"/>
    <cellStyle name="Migliaia 42 3 2" xfId="777" xr:uid="{00000000-0005-0000-0000-0000A70F0000}"/>
    <cellStyle name="Migliaia 42 3 2 2" xfId="5149" xr:uid="{00000000-0005-0000-0000-0000A80F0000}"/>
    <cellStyle name="Migliaia 42 3 2 3" xfId="6027" xr:uid="{00000000-0005-0000-0000-0000A90F0000}"/>
    <cellStyle name="Migliaia 42 3 3" xfId="778" xr:uid="{00000000-0005-0000-0000-0000AA0F0000}"/>
    <cellStyle name="Migliaia 42 3 3 2" xfId="2488" xr:uid="{00000000-0005-0000-0000-0000AB0F0000}"/>
    <cellStyle name="Migliaia 42 3 3 2 2" xfId="5548" xr:uid="{00000000-0005-0000-0000-0000AC0F0000}"/>
    <cellStyle name="Migliaia 42 3 3 2 3" xfId="6470" xr:uid="{00000000-0005-0000-0000-0000AD0F0000}"/>
    <cellStyle name="Migliaia 42 3 3 3" xfId="5150" xr:uid="{00000000-0005-0000-0000-0000AE0F0000}"/>
    <cellStyle name="Migliaia 42 3 3 4" xfId="6028" xr:uid="{00000000-0005-0000-0000-0000AF0F0000}"/>
    <cellStyle name="Migliaia 42 3 4" xfId="2487" xr:uid="{00000000-0005-0000-0000-0000B00F0000}"/>
    <cellStyle name="Migliaia 42 3 4 2" xfId="5547" xr:uid="{00000000-0005-0000-0000-0000B10F0000}"/>
    <cellStyle name="Migliaia 42 3 4 3" xfId="6469" xr:uid="{00000000-0005-0000-0000-0000B20F0000}"/>
    <cellStyle name="Migliaia 42 3 5" xfId="5148" xr:uid="{00000000-0005-0000-0000-0000B30F0000}"/>
    <cellStyle name="Migliaia 42 3 6" xfId="6026" xr:uid="{00000000-0005-0000-0000-0000B40F0000}"/>
    <cellStyle name="Migliaia 42 4" xfId="779" xr:uid="{00000000-0005-0000-0000-0000B50F0000}"/>
    <cellStyle name="Migliaia 42 4 2" xfId="780" xr:uid="{00000000-0005-0000-0000-0000B60F0000}"/>
    <cellStyle name="Migliaia 42 4 2 2" xfId="2490" xr:uid="{00000000-0005-0000-0000-0000B70F0000}"/>
    <cellStyle name="Migliaia 42 4 2 2 2" xfId="5550" xr:uid="{00000000-0005-0000-0000-0000B80F0000}"/>
    <cellStyle name="Migliaia 42 4 2 2 3" xfId="6472" xr:uid="{00000000-0005-0000-0000-0000B90F0000}"/>
    <cellStyle name="Migliaia 42 4 2 3" xfId="5152" xr:uid="{00000000-0005-0000-0000-0000BA0F0000}"/>
    <cellStyle name="Migliaia 42 4 2 4" xfId="6030" xr:uid="{00000000-0005-0000-0000-0000BB0F0000}"/>
    <cellStyle name="Migliaia 42 4 3" xfId="2489" xr:uid="{00000000-0005-0000-0000-0000BC0F0000}"/>
    <cellStyle name="Migliaia 42 4 3 2" xfId="5549" xr:uid="{00000000-0005-0000-0000-0000BD0F0000}"/>
    <cellStyle name="Migliaia 42 4 3 3" xfId="6471" xr:uid="{00000000-0005-0000-0000-0000BE0F0000}"/>
    <cellStyle name="Migliaia 42 4 4" xfId="5151" xr:uid="{00000000-0005-0000-0000-0000BF0F0000}"/>
    <cellStyle name="Migliaia 42 4 5" xfId="6029" xr:uid="{00000000-0005-0000-0000-0000C00F0000}"/>
    <cellStyle name="Migliaia 42 5" xfId="781" xr:uid="{00000000-0005-0000-0000-0000C10F0000}"/>
    <cellStyle name="Migliaia 42 5 2" xfId="5153" xr:uid="{00000000-0005-0000-0000-0000C20F0000}"/>
    <cellStyle name="Migliaia 42 5 3" xfId="6031" xr:uid="{00000000-0005-0000-0000-0000C30F0000}"/>
    <cellStyle name="Migliaia 42 6" xfId="4835" xr:uid="{00000000-0005-0000-0000-0000C40F0000}"/>
    <cellStyle name="Migliaia 42 7" xfId="6024" xr:uid="{00000000-0005-0000-0000-0000C50F0000}"/>
    <cellStyle name="Migliaia 43" xfId="782" xr:uid="{00000000-0005-0000-0000-0000C60F0000}"/>
    <cellStyle name="Migliaia 43 2" xfId="783" xr:uid="{00000000-0005-0000-0000-0000C70F0000}"/>
    <cellStyle name="Migliaia 43 2 2" xfId="2491" xr:uid="{00000000-0005-0000-0000-0000C80F0000}"/>
    <cellStyle name="Migliaia 43 2 2 2" xfId="5551" xr:uid="{00000000-0005-0000-0000-0000C90F0000}"/>
    <cellStyle name="Migliaia 43 2 2 3" xfId="6473" xr:uid="{00000000-0005-0000-0000-0000CA0F0000}"/>
    <cellStyle name="Migliaia 43 2 3" xfId="4900" xr:uid="{00000000-0005-0000-0000-0000CB0F0000}"/>
    <cellStyle name="Migliaia 43 2 4" xfId="6033" xr:uid="{00000000-0005-0000-0000-0000CC0F0000}"/>
    <cellStyle name="Migliaia 43 3" xfId="784" xr:uid="{00000000-0005-0000-0000-0000CD0F0000}"/>
    <cellStyle name="Migliaia 43 3 2" xfId="785" xr:uid="{00000000-0005-0000-0000-0000CE0F0000}"/>
    <cellStyle name="Migliaia 43 3 2 2" xfId="5155" xr:uid="{00000000-0005-0000-0000-0000CF0F0000}"/>
    <cellStyle name="Migliaia 43 3 2 3" xfId="6035" xr:uid="{00000000-0005-0000-0000-0000D00F0000}"/>
    <cellStyle name="Migliaia 43 3 3" xfId="786" xr:uid="{00000000-0005-0000-0000-0000D10F0000}"/>
    <cellStyle name="Migliaia 43 3 3 2" xfId="2493" xr:uid="{00000000-0005-0000-0000-0000D20F0000}"/>
    <cellStyle name="Migliaia 43 3 3 2 2" xfId="5553" xr:uid="{00000000-0005-0000-0000-0000D30F0000}"/>
    <cellStyle name="Migliaia 43 3 3 2 3" xfId="6475" xr:uid="{00000000-0005-0000-0000-0000D40F0000}"/>
    <cellStyle name="Migliaia 43 3 3 3" xfId="5156" xr:uid="{00000000-0005-0000-0000-0000D50F0000}"/>
    <cellStyle name="Migliaia 43 3 3 4" xfId="6036" xr:uid="{00000000-0005-0000-0000-0000D60F0000}"/>
    <cellStyle name="Migliaia 43 3 4" xfId="2492" xr:uid="{00000000-0005-0000-0000-0000D70F0000}"/>
    <cellStyle name="Migliaia 43 3 4 2" xfId="5552" xr:uid="{00000000-0005-0000-0000-0000D80F0000}"/>
    <cellStyle name="Migliaia 43 3 4 3" xfId="6474" xr:uid="{00000000-0005-0000-0000-0000D90F0000}"/>
    <cellStyle name="Migliaia 43 3 5" xfId="5154" xr:uid="{00000000-0005-0000-0000-0000DA0F0000}"/>
    <cellStyle name="Migliaia 43 3 6" xfId="6034" xr:uid="{00000000-0005-0000-0000-0000DB0F0000}"/>
    <cellStyle name="Migliaia 43 4" xfId="787" xr:uid="{00000000-0005-0000-0000-0000DC0F0000}"/>
    <cellStyle name="Migliaia 43 4 2" xfId="788" xr:uid="{00000000-0005-0000-0000-0000DD0F0000}"/>
    <cellStyle name="Migliaia 43 4 2 2" xfId="2495" xr:uid="{00000000-0005-0000-0000-0000DE0F0000}"/>
    <cellStyle name="Migliaia 43 4 2 2 2" xfId="5555" xr:uid="{00000000-0005-0000-0000-0000DF0F0000}"/>
    <cellStyle name="Migliaia 43 4 2 2 3" xfId="6477" xr:uid="{00000000-0005-0000-0000-0000E00F0000}"/>
    <cellStyle name="Migliaia 43 4 2 3" xfId="5158" xr:uid="{00000000-0005-0000-0000-0000E10F0000}"/>
    <cellStyle name="Migliaia 43 4 2 4" xfId="6038" xr:uid="{00000000-0005-0000-0000-0000E20F0000}"/>
    <cellStyle name="Migliaia 43 4 3" xfId="2494" xr:uid="{00000000-0005-0000-0000-0000E30F0000}"/>
    <cellStyle name="Migliaia 43 4 3 2" xfId="5554" xr:uid="{00000000-0005-0000-0000-0000E40F0000}"/>
    <cellStyle name="Migliaia 43 4 3 3" xfId="6476" xr:uid="{00000000-0005-0000-0000-0000E50F0000}"/>
    <cellStyle name="Migliaia 43 4 4" xfId="5157" xr:uid="{00000000-0005-0000-0000-0000E60F0000}"/>
    <cellStyle name="Migliaia 43 4 5" xfId="6037" xr:uid="{00000000-0005-0000-0000-0000E70F0000}"/>
    <cellStyle name="Migliaia 43 5" xfId="789" xr:uid="{00000000-0005-0000-0000-0000E80F0000}"/>
    <cellStyle name="Migliaia 43 5 2" xfId="5159" xr:uid="{00000000-0005-0000-0000-0000E90F0000}"/>
    <cellStyle name="Migliaia 43 5 3" xfId="6039" xr:uid="{00000000-0005-0000-0000-0000EA0F0000}"/>
    <cellStyle name="Migliaia 43 6" xfId="4836" xr:uid="{00000000-0005-0000-0000-0000EB0F0000}"/>
    <cellStyle name="Migliaia 43 7" xfId="6032" xr:uid="{00000000-0005-0000-0000-0000EC0F0000}"/>
    <cellStyle name="Migliaia 44" xfId="790" xr:uid="{00000000-0005-0000-0000-0000ED0F0000}"/>
    <cellStyle name="Migliaia 44 2" xfId="791" xr:uid="{00000000-0005-0000-0000-0000EE0F0000}"/>
    <cellStyle name="Migliaia 44 2 2" xfId="2496" xr:uid="{00000000-0005-0000-0000-0000EF0F0000}"/>
    <cellStyle name="Migliaia 44 2 2 2" xfId="5556" xr:uid="{00000000-0005-0000-0000-0000F00F0000}"/>
    <cellStyle name="Migliaia 44 2 2 3" xfId="6478" xr:uid="{00000000-0005-0000-0000-0000F10F0000}"/>
    <cellStyle name="Migliaia 44 2 3" xfId="4901" xr:uid="{00000000-0005-0000-0000-0000F20F0000}"/>
    <cellStyle name="Migliaia 44 2 4" xfId="6041" xr:uid="{00000000-0005-0000-0000-0000F30F0000}"/>
    <cellStyle name="Migliaia 44 3" xfId="792" xr:uid="{00000000-0005-0000-0000-0000F40F0000}"/>
    <cellStyle name="Migliaia 44 3 2" xfId="793" xr:uid="{00000000-0005-0000-0000-0000F50F0000}"/>
    <cellStyle name="Migliaia 44 3 2 2" xfId="5161" xr:uid="{00000000-0005-0000-0000-0000F60F0000}"/>
    <cellStyle name="Migliaia 44 3 2 3" xfId="6043" xr:uid="{00000000-0005-0000-0000-0000F70F0000}"/>
    <cellStyle name="Migliaia 44 3 3" xfId="794" xr:uid="{00000000-0005-0000-0000-0000F80F0000}"/>
    <cellStyle name="Migliaia 44 3 3 2" xfId="2498" xr:uid="{00000000-0005-0000-0000-0000F90F0000}"/>
    <cellStyle name="Migliaia 44 3 3 2 2" xfId="5558" xr:uid="{00000000-0005-0000-0000-0000FA0F0000}"/>
    <cellStyle name="Migliaia 44 3 3 2 3" xfId="6480" xr:uid="{00000000-0005-0000-0000-0000FB0F0000}"/>
    <cellStyle name="Migliaia 44 3 3 3" xfId="5162" xr:uid="{00000000-0005-0000-0000-0000FC0F0000}"/>
    <cellStyle name="Migliaia 44 3 3 4" xfId="6044" xr:uid="{00000000-0005-0000-0000-0000FD0F0000}"/>
    <cellStyle name="Migliaia 44 3 4" xfId="2497" xr:uid="{00000000-0005-0000-0000-0000FE0F0000}"/>
    <cellStyle name="Migliaia 44 3 4 2" xfId="5557" xr:uid="{00000000-0005-0000-0000-0000FF0F0000}"/>
    <cellStyle name="Migliaia 44 3 4 3" xfId="6479" xr:uid="{00000000-0005-0000-0000-000000100000}"/>
    <cellStyle name="Migliaia 44 3 5" xfId="5160" xr:uid="{00000000-0005-0000-0000-000001100000}"/>
    <cellStyle name="Migliaia 44 3 6" xfId="6042" xr:uid="{00000000-0005-0000-0000-000002100000}"/>
    <cellStyle name="Migliaia 44 4" xfId="795" xr:uid="{00000000-0005-0000-0000-000003100000}"/>
    <cellStyle name="Migliaia 44 4 2" xfId="796" xr:uid="{00000000-0005-0000-0000-000004100000}"/>
    <cellStyle name="Migliaia 44 4 2 2" xfId="2500" xr:uid="{00000000-0005-0000-0000-000005100000}"/>
    <cellStyle name="Migliaia 44 4 2 2 2" xfId="5560" xr:uid="{00000000-0005-0000-0000-000006100000}"/>
    <cellStyle name="Migliaia 44 4 2 2 3" xfId="6482" xr:uid="{00000000-0005-0000-0000-000007100000}"/>
    <cellStyle name="Migliaia 44 4 2 3" xfId="5164" xr:uid="{00000000-0005-0000-0000-000008100000}"/>
    <cellStyle name="Migliaia 44 4 2 4" xfId="6046" xr:uid="{00000000-0005-0000-0000-000009100000}"/>
    <cellStyle name="Migliaia 44 4 3" xfId="2499" xr:uid="{00000000-0005-0000-0000-00000A100000}"/>
    <cellStyle name="Migliaia 44 4 3 2" xfId="5559" xr:uid="{00000000-0005-0000-0000-00000B100000}"/>
    <cellStyle name="Migliaia 44 4 3 3" xfId="6481" xr:uid="{00000000-0005-0000-0000-00000C100000}"/>
    <cellStyle name="Migliaia 44 4 4" xfId="5163" xr:uid="{00000000-0005-0000-0000-00000D100000}"/>
    <cellStyle name="Migliaia 44 4 5" xfId="6045" xr:uid="{00000000-0005-0000-0000-00000E100000}"/>
    <cellStyle name="Migliaia 44 5" xfId="797" xr:uid="{00000000-0005-0000-0000-00000F100000}"/>
    <cellStyle name="Migliaia 44 5 2" xfId="5165" xr:uid="{00000000-0005-0000-0000-000010100000}"/>
    <cellStyle name="Migliaia 44 5 3" xfId="6047" xr:uid="{00000000-0005-0000-0000-000011100000}"/>
    <cellStyle name="Migliaia 44 6" xfId="4837" xr:uid="{00000000-0005-0000-0000-000012100000}"/>
    <cellStyle name="Migliaia 44 7" xfId="6040" xr:uid="{00000000-0005-0000-0000-000013100000}"/>
    <cellStyle name="Migliaia 45" xfId="798" xr:uid="{00000000-0005-0000-0000-000014100000}"/>
    <cellStyle name="Migliaia 45 2" xfId="799" xr:uid="{00000000-0005-0000-0000-000015100000}"/>
    <cellStyle name="Migliaia 45 2 2" xfId="2501" xr:uid="{00000000-0005-0000-0000-000016100000}"/>
    <cellStyle name="Migliaia 45 2 2 2" xfId="5561" xr:uid="{00000000-0005-0000-0000-000017100000}"/>
    <cellStyle name="Migliaia 45 2 2 3" xfId="6483" xr:uid="{00000000-0005-0000-0000-000018100000}"/>
    <cellStyle name="Migliaia 45 2 3" xfId="4902" xr:uid="{00000000-0005-0000-0000-000019100000}"/>
    <cellStyle name="Migliaia 45 2 4" xfId="6049" xr:uid="{00000000-0005-0000-0000-00001A100000}"/>
    <cellStyle name="Migliaia 45 3" xfId="800" xr:uid="{00000000-0005-0000-0000-00001B100000}"/>
    <cellStyle name="Migliaia 45 3 2" xfId="801" xr:uid="{00000000-0005-0000-0000-00001C100000}"/>
    <cellStyle name="Migliaia 45 3 2 2" xfId="5167" xr:uid="{00000000-0005-0000-0000-00001D100000}"/>
    <cellStyle name="Migliaia 45 3 2 3" xfId="6051" xr:uid="{00000000-0005-0000-0000-00001E100000}"/>
    <cellStyle name="Migliaia 45 3 3" xfId="802" xr:uid="{00000000-0005-0000-0000-00001F100000}"/>
    <cellStyle name="Migliaia 45 3 3 2" xfId="2503" xr:uid="{00000000-0005-0000-0000-000020100000}"/>
    <cellStyle name="Migliaia 45 3 3 2 2" xfId="5563" xr:uid="{00000000-0005-0000-0000-000021100000}"/>
    <cellStyle name="Migliaia 45 3 3 2 3" xfId="6485" xr:uid="{00000000-0005-0000-0000-000022100000}"/>
    <cellStyle name="Migliaia 45 3 3 3" xfId="5168" xr:uid="{00000000-0005-0000-0000-000023100000}"/>
    <cellStyle name="Migliaia 45 3 3 4" xfId="6052" xr:uid="{00000000-0005-0000-0000-000024100000}"/>
    <cellStyle name="Migliaia 45 3 4" xfId="2502" xr:uid="{00000000-0005-0000-0000-000025100000}"/>
    <cellStyle name="Migliaia 45 3 4 2" xfId="5562" xr:uid="{00000000-0005-0000-0000-000026100000}"/>
    <cellStyle name="Migliaia 45 3 4 3" xfId="6484" xr:uid="{00000000-0005-0000-0000-000027100000}"/>
    <cellStyle name="Migliaia 45 3 5" xfId="5166" xr:uid="{00000000-0005-0000-0000-000028100000}"/>
    <cellStyle name="Migliaia 45 3 6" xfId="6050" xr:uid="{00000000-0005-0000-0000-000029100000}"/>
    <cellStyle name="Migliaia 45 4" xfId="803" xr:uid="{00000000-0005-0000-0000-00002A100000}"/>
    <cellStyle name="Migliaia 45 4 2" xfId="804" xr:uid="{00000000-0005-0000-0000-00002B100000}"/>
    <cellStyle name="Migliaia 45 4 2 2" xfId="2505" xr:uid="{00000000-0005-0000-0000-00002C100000}"/>
    <cellStyle name="Migliaia 45 4 2 2 2" xfId="5565" xr:uid="{00000000-0005-0000-0000-00002D100000}"/>
    <cellStyle name="Migliaia 45 4 2 2 3" xfId="6487" xr:uid="{00000000-0005-0000-0000-00002E100000}"/>
    <cellStyle name="Migliaia 45 4 2 3" xfId="5170" xr:uid="{00000000-0005-0000-0000-00002F100000}"/>
    <cellStyle name="Migliaia 45 4 2 4" xfId="6054" xr:uid="{00000000-0005-0000-0000-000030100000}"/>
    <cellStyle name="Migliaia 45 4 3" xfId="2504" xr:uid="{00000000-0005-0000-0000-000031100000}"/>
    <cellStyle name="Migliaia 45 4 3 2" xfId="5564" xr:uid="{00000000-0005-0000-0000-000032100000}"/>
    <cellStyle name="Migliaia 45 4 3 3" xfId="6486" xr:uid="{00000000-0005-0000-0000-000033100000}"/>
    <cellStyle name="Migliaia 45 4 4" xfId="5169" xr:uid="{00000000-0005-0000-0000-000034100000}"/>
    <cellStyle name="Migliaia 45 4 5" xfId="6053" xr:uid="{00000000-0005-0000-0000-000035100000}"/>
    <cellStyle name="Migliaia 45 5" xfId="805" xr:uid="{00000000-0005-0000-0000-000036100000}"/>
    <cellStyle name="Migliaia 45 5 2" xfId="5171" xr:uid="{00000000-0005-0000-0000-000037100000}"/>
    <cellStyle name="Migliaia 45 5 3" xfId="6055" xr:uid="{00000000-0005-0000-0000-000038100000}"/>
    <cellStyle name="Migliaia 45 6" xfId="4838" xr:uid="{00000000-0005-0000-0000-000039100000}"/>
    <cellStyle name="Migliaia 45 7" xfId="6048" xr:uid="{00000000-0005-0000-0000-00003A100000}"/>
    <cellStyle name="Migliaia 46" xfId="806" xr:uid="{00000000-0005-0000-0000-00003B100000}"/>
    <cellStyle name="Migliaia 46 2" xfId="807" xr:uid="{00000000-0005-0000-0000-00003C100000}"/>
    <cellStyle name="Migliaia 46 2 2" xfId="2506" xr:uid="{00000000-0005-0000-0000-00003D100000}"/>
    <cellStyle name="Migliaia 46 2 2 2" xfId="5566" xr:uid="{00000000-0005-0000-0000-00003E100000}"/>
    <cellStyle name="Migliaia 46 2 2 3" xfId="6488" xr:uid="{00000000-0005-0000-0000-00003F100000}"/>
    <cellStyle name="Migliaia 46 2 3" xfId="4903" xr:uid="{00000000-0005-0000-0000-000040100000}"/>
    <cellStyle name="Migliaia 46 2 4" xfId="6057" xr:uid="{00000000-0005-0000-0000-000041100000}"/>
    <cellStyle name="Migliaia 46 3" xfId="808" xr:uid="{00000000-0005-0000-0000-000042100000}"/>
    <cellStyle name="Migliaia 46 3 2" xfId="809" xr:uid="{00000000-0005-0000-0000-000043100000}"/>
    <cellStyle name="Migliaia 46 3 2 2" xfId="5173" xr:uid="{00000000-0005-0000-0000-000044100000}"/>
    <cellStyle name="Migliaia 46 3 2 3" xfId="6059" xr:uid="{00000000-0005-0000-0000-000045100000}"/>
    <cellStyle name="Migliaia 46 3 3" xfId="810" xr:uid="{00000000-0005-0000-0000-000046100000}"/>
    <cellStyle name="Migliaia 46 3 3 2" xfId="2508" xr:uid="{00000000-0005-0000-0000-000047100000}"/>
    <cellStyle name="Migliaia 46 3 3 2 2" xfId="5568" xr:uid="{00000000-0005-0000-0000-000048100000}"/>
    <cellStyle name="Migliaia 46 3 3 2 3" xfId="6490" xr:uid="{00000000-0005-0000-0000-000049100000}"/>
    <cellStyle name="Migliaia 46 3 3 3" xfId="5174" xr:uid="{00000000-0005-0000-0000-00004A100000}"/>
    <cellStyle name="Migliaia 46 3 3 4" xfId="6060" xr:uid="{00000000-0005-0000-0000-00004B100000}"/>
    <cellStyle name="Migliaia 46 3 4" xfId="2507" xr:uid="{00000000-0005-0000-0000-00004C100000}"/>
    <cellStyle name="Migliaia 46 3 4 2" xfId="5567" xr:uid="{00000000-0005-0000-0000-00004D100000}"/>
    <cellStyle name="Migliaia 46 3 4 3" xfId="6489" xr:uid="{00000000-0005-0000-0000-00004E100000}"/>
    <cellStyle name="Migliaia 46 3 5" xfId="5172" xr:uid="{00000000-0005-0000-0000-00004F100000}"/>
    <cellStyle name="Migliaia 46 3 6" xfId="6058" xr:uid="{00000000-0005-0000-0000-000050100000}"/>
    <cellStyle name="Migliaia 46 4" xfId="811" xr:uid="{00000000-0005-0000-0000-000051100000}"/>
    <cellStyle name="Migliaia 46 4 2" xfId="812" xr:uid="{00000000-0005-0000-0000-000052100000}"/>
    <cellStyle name="Migliaia 46 4 2 2" xfId="2510" xr:uid="{00000000-0005-0000-0000-000053100000}"/>
    <cellStyle name="Migliaia 46 4 2 2 2" xfId="5570" xr:uid="{00000000-0005-0000-0000-000054100000}"/>
    <cellStyle name="Migliaia 46 4 2 2 3" xfId="6492" xr:uid="{00000000-0005-0000-0000-000055100000}"/>
    <cellStyle name="Migliaia 46 4 2 3" xfId="5176" xr:uid="{00000000-0005-0000-0000-000056100000}"/>
    <cellStyle name="Migliaia 46 4 2 4" xfId="6062" xr:uid="{00000000-0005-0000-0000-000057100000}"/>
    <cellStyle name="Migliaia 46 4 3" xfId="2509" xr:uid="{00000000-0005-0000-0000-000058100000}"/>
    <cellStyle name="Migliaia 46 4 3 2" xfId="5569" xr:uid="{00000000-0005-0000-0000-000059100000}"/>
    <cellStyle name="Migliaia 46 4 3 3" xfId="6491" xr:uid="{00000000-0005-0000-0000-00005A100000}"/>
    <cellStyle name="Migliaia 46 4 4" xfId="5175" xr:uid="{00000000-0005-0000-0000-00005B100000}"/>
    <cellStyle name="Migliaia 46 4 5" xfId="6061" xr:uid="{00000000-0005-0000-0000-00005C100000}"/>
    <cellStyle name="Migliaia 46 5" xfId="813" xr:uid="{00000000-0005-0000-0000-00005D100000}"/>
    <cellStyle name="Migliaia 46 5 2" xfId="5177" xr:uid="{00000000-0005-0000-0000-00005E100000}"/>
    <cellStyle name="Migliaia 46 5 3" xfId="6063" xr:uid="{00000000-0005-0000-0000-00005F100000}"/>
    <cellStyle name="Migliaia 46 6" xfId="4839" xr:uid="{00000000-0005-0000-0000-000060100000}"/>
    <cellStyle name="Migliaia 46 7" xfId="6056" xr:uid="{00000000-0005-0000-0000-000061100000}"/>
    <cellStyle name="Migliaia 47" xfId="814" xr:uid="{00000000-0005-0000-0000-000062100000}"/>
    <cellStyle name="Migliaia 47 2" xfId="815" xr:uid="{00000000-0005-0000-0000-000063100000}"/>
    <cellStyle name="Migliaia 47 2 2" xfId="2511" xr:uid="{00000000-0005-0000-0000-000064100000}"/>
    <cellStyle name="Migliaia 47 2 2 2" xfId="5571" xr:uid="{00000000-0005-0000-0000-000065100000}"/>
    <cellStyle name="Migliaia 47 2 2 3" xfId="6493" xr:uid="{00000000-0005-0000-0000-000066100000}"/>
    <cellStyle name="Migliaia 47 2 3" xfId="4904" xr:uid="{00000000-0005-0000-0000-000067100000}"/>
    <cellStyle name="Migliaia 47 2 4" xfId="6065" xr:uid="{00000000-0005-0000-0000-000068100000}"/>
    <cellStyle name="Migliaia 47 3" xfId="816" xr:uid="{00000000-0005-0000-0000-000069100000}"/>
    <cellStyle name="Migliaia 47 3 2" xfId="817" xr:uid="{00000000-0005-0000-0000-00006A100000}"/>
    <cellStyle name="Migliaia 47 3 2 2" xfId="5179" xr:uid="{00000000-0005-0000-0000-00006B100000}"/>
    <cellStyle name="Migliaia 47 3 2 3" xfId="6067" xr:uid="{00000000-0005-0000-0000-00006C100000}"/>
    <cellStyle name="Migliaia 47 3 3" xfId="818" xr:uid="{00000000-0005-0000-0000-00006D100000}"/>
    <cellStyle name="Migliaia 47 3 3 2" xfId="2513" xr:uid="{00000000-0005-0000-0000-00006E100000}"/>
    <cellStyle name="Migliaia 47 3 3 2 2" xfId="5573" xr:uid="{00000000-0005-0000-0000-00006F100000}"/>
    <cellStyle name="Migliaia 47 3 3 2 3" xfId="6495" xr:uid="{00000000-0005-0000-0000-000070100000}"/>
    <cellStyle name="Migliaia 47 3 3 3" xfId="5180" xr:uid="{00000000-0005-0000-0000-000071100000}"/>
    <cellStyle name="Migliaia 47 3 3 4" xfId="6068" xr:uid="{00000000-0005-0000-0000-000072100000}"/>
    <cellStyle name="Migliaia 47 3 4" xfId="2512" xr:uid="{00000000-0005-0000-0000-000073100000}"/>
    <cellStyle name="Migliaia 47 3 4 2" xfId="5572" xr:uid="{00000000-0005-0000-0000-000074100000}"/>
    <cellStyle name="Migliaia 47 3 4 3" xfId="6494" xr:uid="{00000000-0005-0000-0000-000075100000}"/>
    <cellStyle name="Migliaia 47 3 5" xfId="5178" xr:uid="{00000000-0005-0000-0000-000076100000}"/>
    <cellStyle name="Migliaia 47 3 6" xfId="6066" xr:uid="{00000000-0005-0000-0000-000077100000}"/>
    <cellStyle name="Migliaia 47 4" xfId="819" xr:uid="{00000000-0005-0000-0000-000078100000}"/>
    <cellStyle name="Migliaia 47 4 2" xfId="820" xr:uid="{00000000-0005-0000-0000-000079100000}"/>
    <cellStyle name="Migliaia 47 4 2 2" xfId="2515" xr:uid="{00000000-0005-0000-0000-00007A100000}"/>
    <cellStyle name="Migliaia 47 4 2 2 2" xfId="5575" xr:uid="{00000000-0005-0000-0000-00007B100000}"/>
    <cellStyle name="Migliaia 47 4 2 2 3" xfId="6497" xr:uid="{00000000-0005-0000-0000-00007C100000}"/>
    <cellStyle name="Migliaia 47 4 2 3" xfId="5182" xr:uid="{00000000-0005-0000-0000-00007D100000}"/>
    <cellStyle name="Migliaia 47 4 2 4" xfId="6070" xr:uid="{00000000-0005-0000-0000-00007E100000}"/>
    <cellStyle name="Migliaia 47 4 3" xfId="2514" xr:uid="{00000000-0005-0000-0000-00007F100000}"/>
    <cellStyle name="Migliaia 47 4 3 2" xfId="5574" xr:uid="{00000000-0005-0000-0000-000080100000}"/>
    <cellStyle name="Migliaia 47 4 3 3" xfId="6496" xr:uid="{00000000-0005-0000-0000-000081100000}"/>
    <cellStyle name="Migliaia 47 4 4" xfId="5181" xr:uid="{00000000-0005-0000-0000-000082100000}"/>
    <cellStyle name="Migliaia 47 4 5" xfId="6069" xr:uid="{00000000-0005-0000-0000-000083100000}"/>
    <cellStyle name="Migliaia 47 5" xfId="821" xr:uid="{00000000-0005-0000-0000-000084100000}"/>
    <cellStyle name="Migliaia 47 5 2" xfId="5183" xr:uid="{00000000-0005-0000-0000-000085100000}"/>
    <cellStyle name="Migliaia 47 5 3" xfId="6071" xr:uid="{00000000-0005-0000-0000-000086100000}"/>
    <cellStyle name="Migliaia 47 6" xfId="4840" xr:uid="{00000000-0005-0000-0000-000087100000}"/>
    <cellStyle name="Migliaia 47 7" xfId="6064" xr:uid="{00000000-0005-0000-0000-000088100000}"/>
    <cellStyle name="Migliaia 48" xfId="822" xr:uid="{00000000-0005-0000-0000-000089100000}"/>
    <cellStyle name="Migliaia 48 2" xfId="823" xr:uid="{00000000-0005-0000-0000-00008A100000}"/>
    <cellStyle name="Migliaia 48 2 2" xfId="2516" xr:uid="{00000000-0005-0000-0000-00008B100000}"/>
    <cellStyle name="Migliaia 48 2 2 2" xfId="5576" xr:uid="{00000000-0005-0000-0000-00008C100000}"/>
    <cellStyle name="Migliaia 48 2 2 3" xfId="6498" xr:uid="{00000000-0005-0000-0000-00008D100000}"/>
    <cellStyle name="Migliaia 48 2 3" xfId="4905" xr:uid="{00000000-0005-0000-0000-00008E100000}"/>
    <cellStyle name="Migliaia 48 2 4" xfId="6073" xr:uid="{00000000-0005-0000-0000-00008F100000}"/>
    <cellStyle name="Migliaia 48 3" xfId="824" xr:uid="{00000000-0005-0000-0000-000090100000}"/>
    <cellStyle name="Migliaia 48 3 2" xfId="825" xr:uid="{00000000-0005-0000-0000-000091100000}"/>
    <cellStyle name="Migliaia 48 3 2 2" xfId="5185" xr:uid="{00000000-0005-0000-0000-000092100000}"/>
    <cellStyle name="Migliaia 48 3 2 3" xfId="6075" xr:uid="{00000000-0005-0000-0000-000093100000}"/>
    <cellStyle name="Migliaia 48 3 3" xfId="826" xr:uid="{00000000-0005-0000-0000-000094100000}"/>
    <cellStyle name="Migliaia 48 3 3 2" xfId="2518" xr:uid="{00000000-0005-0000-0000-000095100000}"/>
    <cellStyle name="Migliaia 48 3 3 2 2" xfId="5578" xr:uid="{00000000-0005-0000-0000-000096100000}"/>
    <cellStyle name="Migliaia 48 3 3 2 3" xfId="6500" xr:uid="{00000000-0005-0000-0000-000097100000}"/>
    <cellStyle name="Migliaia 48 3 3 3" xfId="5186" xr:uid="{00000000-0005-0000-0000-000098100000}"/>
    <cellStyle name="Migliaia 48 3 3 4" xfId="6076" xr:uid="{00000000-0005-0000-0000-000099100000}"/>
    <cellStyle name="Migliaia 48 3 4" xfId="2517" xr:uid="{00000000-0005-0000-0000-00009A100000}"/>
    <cellStyle name="Migliaia 48 3 4 2" xfId="5577" xr:uid="{00000000-0005-0000-0000-00009B100000}"/>
    <cellStyle name="Migliaia 48 3 4 3" xfId="6499" xr:uid="{00000000-0005-0000-0000-00009C100000}"/>
    <cellStyle name="Migliaia 48 3 5" xfId="5184" xr:uid="{00000000-0005-0000-0000-00009D100000}"/>
    <cellStyle name="Migliaia 48 3 6" xfId="6074" xr:uid="{00000000-0005-0000-0000-00009E100000}"/>
    <cellStyle name="Migliaia 48 4" xfId="827" xr:uid="{00000000-0005-0000-0000-00009F100000}"/>
    <cellStyle name="Migliaia 48 4 2" xfId="828" xr:uid="{00000000-0005-0000-0000-0000A0100000}"/>
    <cellStyle name="Migliaia 48 4 2 2" xfId="2520" xr:uid="{00000000-0005-0000-0000-0000A1100000}"/>
    <cellStyle name="Migliaia 48 4 2 2 2" xfId="5580" xr:uid="{00000000-0005-0000-0000-0000A2100000}"/>
    <cellStyle name="Migliaia 48 4 2 2 3" xfId="6502" xr:uid="{00000000-0005-0000-0000-0000A3100000}"/>
    <cellStyle name="Migliaia 48 4 2 3" xfId="5188" xr:uid="{00000000-0005-0000-0000-0000A4100000}"/>
    <cellStyle name="Migliaia 48 4 2 4" xfId="6078" xr:uid="{00000000-0005-0000-0000-0000A5100000}"/>
    <cellStyle name="Migliaia 48 4 3" xfId="2519" xr:uid="{00000000-0005-0000-0000-0000A6100000}"/>
    <cellStyle name="Migliaia 48 4 3 2" xfId="5579" xr:uid="{00000000-0005-0000-0000-0000A7100000}"/>
    <cellStyle name="Migliaia 48 4 3 3" xfId="6501" xr:uid="{00000000-0005-0000-0000-0000A8100000}"/>
    <cellStyle name="Migliaia 48 4 4" xfId="5187" xr:uid="{00000000-0005-0000-0000-0000A9100000}"/>
    <cellStyle name="Migliaia 48 4 5" xfId="6077" xr:uid="{00000000-0005-0000-0000-0000AA100000}"/>
    <cellStyle name="Migliaia 48 5" xfId="829" xr:uid="{00000000-0005-0000-0000-0000AB100000}"/>
    <cellStyle name="Migliaia 48 5 2" xfId="5189" xr:uid="{00000000-0005-0000-0000-0000AC100000}"/>
    <cellStyle name="Migliaia 48 5 3" xfId="6079" xr:uid="{00000000-0005-0000-0000-0000AD100000}"/>
    <cellStyle name="Migliaia 48 6" xfId="4841" xr:uid="{00000000-0005-0000-0000-0000AE100000}"/>
    <cellStyle name="Migliaia 48 7" xfId="6072" xr:uid="{00000000-0005-0000-0000-0000AF100000}"/>
    <cellStyle name="Migliaia 49" xfId="830" xr:uid="{00000000-0005-0000-0000-0000B0100000}"/>
    <cellStyle name="Migliaia 49 2" xfId="831" xr:uid="{00000000-0005-0000-0000-0000B1100000}"/>
    <cellStyle name="Migliaia 49 2 2" xfId="2521" xr:uid="{00000000-0005-0000-0000-0000B2100000}"/>
    <cellStyle name="Migliaia 49 2 2 2" xfId="5581" xr:uid="{00000000-0005-0000-0000-0000B3100000}"/>
    <cellStyle name="Migliaia 49 2 2 3" xfId="6503" xr:uid="{00000000-0005-0000-0000-0000B4100000}"/>
    <cellStyle name="Migliaia 49 2 3" xfId="4906" xr:uid="{00000000-0005-0000-0000-0000B5100000}"/>
    <cellStyle name="Migliaia 49 2 4" xfId="6081" xr:uid="{00000000-0005-0000-0000-0000B6100000}"/>
    <cellStyle name="Migliaia 49 3" xfId="832" xr:uid="{00000000-0005-0000-0000-0000B7100000}"/>
    <cellStyle name="Migliaia 49 3 2" xfId="833" xr:uid="{00000000-0005-0000-0000-0000B8100000}"/>
    <cellStyle name="Migliaia 49 3 2 2" xfId="5191" xr:uid="{00000000-0005-0000-0000-0000B9100000}"/>
    <cellStyle name="Migliaia 49 3 2 3" xfId="6083" xr:uid="{00000000-0005-0000-0000-0000BA100000}"/>
    <cellStyle name="Migliaia 49 3 3" xfId="834" xr:uid="{00000000-0005-0000-0000-0000BB100000}"/>
    <cellStyle name="Migliaia 49 3 3 2" xfId="2523" xr:uid="{00000000-0005-0000-0000-0000BC100000}"/>
    <cellStyle name="Migliaia 49 3 3 2 2" xfId="5583" xr:uid="{00000000-0005-0000-0000-0000BD100000}"/>
    <cellStyle name="Migliaia 49 3 3 2 3" xfId="6505" xr:uid="{00000000-0005-0000-0000-0000BE100000}"/>
    <cellStyle name="Migliaia 49 3 3 3" xfId="5192" xr:uid="{00000000-0005-0000-0000-0000BF100000}"/>
    <cellStyle name="Migliaia 49 3 3 4" xfId="6084" xr:uid="{00000000-0005-0000-0000-0000C0100000}"/>
    <cellStyle name="Migliaia 49 3 4" xfId="2522" xr:uid="{00000000-0005-0000-0000-0000C1100000}"/>
    <cellStyle name="Migliaia 49 3 4 2" xfId="5582" xr:uid="{00000000-0005-0000-0000-0000C2100000}"/>
    <cellStyle name="Migliaia 49 3 4 3" xfId="6504" xr:uid="{00000000-0005-0000-0000-0000C3100000}"/>
    <cellStyle name="Migliaia 49 3 5" xfId="5190" xr:uid="{00000000-0005-0000-0000-0000C4100000}"/>
    <cellStyle name="Migliaia 49 3 6" xfId="6082" xr:uid="{00000000-0005-0000-0000-0000C5100000}"/>
    <cellStyle name="Migliaia 49 4" xfId="835" xr:uid="{00000000-0005-0000-0000-0000C6100000}"/>
    <cellStyle name="Migliaia 49 4 2" xfId="836" xr:uid="{00000000-0005-0000-0000-0000C7100000}"/>
    <cellStyle name="Migliaia 49 4 2 2" xfId="2525" xr:uid="{00000000-0005-0000-0000-0000C8100000}"/>
    <cellStyle name="Migliaia 49 4 2 2 2" xfId="5585" xr:uid="{00000000-0005-0000-0000-0000C9100000}"/>
    <cellStyle name="Migliaia 49 4 2 2 3" xfId="6507" xr:uid="{00000000-0005-0000-0000-0000CA100000}"/>
    <cellStyle name="Migliaia 49 4 2 3" xfId="5194" xr:uid="{00000000-0005-0000-0000-0000CB100000}"/>
    <cellStyle name="Migliaia 49 4 2 4" xfId="6086" xr:uid="{00000000-0005-0000-0000-0000CC100000}"/>
    <cellStyle name="Migliaia 49 4 3" xfId="2524" xr:uid="{00000000-0005-0000-0000-0000CD100000}"/>
    <cellStyle name="Migliaia 49 4 3 2" xfId="5584" xr:uid="{00000000-0005-0000-0000-0000CE100000}"/>
    <cellStyle name="Migliaia 49 4 3 3" xfId="6506" xr:uid="{00000000-0005-0000-0000-0000CF100000}"/>
    <cellStyle name="Migliaia 49 4 4" xfId="5193" xr:uid="{00000000-0005-0000-0000-0000D0100000}"/>
    <cellStyle name="Migliaia 49 4 5" xfId="6085" xr:uid="{00000000-0005-0000-0000-0000D1100000}"/>
    <cellStyle name="Migliaia 49 5" xfId="837" xr:uid="{00000000-0005-0000-0000-0000D2100000}"/>
    <cellStyle name="Migliaia 49 5 2" xfId="5195" xr:uid="{00000000-0005-0000-0000-0000D3100000}"/>
    <cellStyle name="Migliaia 49 5 3" xfId="6087" xr:uid="{00000000-0005-0000-0000-0000D4100000}"/>
    <cellStyle name="Migliaia 49 6" xfId="4842" xr:uid="{00000000-0005-0000-0000-0000D5100000}"/>
    <cellStyle name="Migliaia 49 7" xfId="6080" xr:uid="{00000000-0005-0000-0000-0000D6100000}"/>
    <cellStyle name="Migliaia 5" xfId="838" xr:uid="{00000000-0005-0000-0000-0000D7100000}"/>
    <cellStyle name="Migliaia 5 2" xfId="839" xr:uid="{00000000-0005-0000-0000-0000D8100000}"/>
    <cellStyle name="Migliaia 5 2 2" xfId="2526" xr:uid="{00000000-0005-0000-0000-0000D9100000}"/>
    <cellStyle name="Migliaia 5 2 2 2" xfId="5586" xr:uid="{00000000-0005-0000-0000-0000DA100000}"/>
    <cellStyle name="Migliaia 5 2 2 3" xfId="6508" xr:uid="{00000000-0005-0000-0000-0000DB100000}"/>
    <cellStyle name="Migliaia 5 2 3" xfId="4907" xr:uid="{00000000-0005-0000-0000-0000DC100000}"/>
    <cellStyle name="Migliaia 5 2 4" xfId="6089" xr:uid="{00000000-0005-0000-0000-0000DD100000}"/>
    <cellStyle name="Migliaia 5 3" xfId="840" xr:uid="{00000000-0005-0000-0000-0000DE100000}"/>
    <cellStyle name="Migliaia 5 3 2" xfId="841" xr:uid="{00000000-0005-0000-0000-0000DF100000}"/>
    <cellStyle name="Migliaia 5 3 2 2" xfId="5197" xr:uid="{00000000-0005-0000-0000-0000E0100000}"/>
    <cellStyle name="Migliaia 5 3 2 3" xfId="6091" xr:uid="{00000000-0005-0000-0000-0000E1100000}"/>
    <cellStyle name="Migliaia 5 3 3" xfId="842" xr:uid="{00000000-0005-0000-0000-0000E2100000}"/>
    <cellStyle name="Migliaia 5 3 3 2" xfId="2528" xr:uid="{00000000-0005-0000-0000-0000E3100000}"/>
    <cellStyle name="Migliaia 5 3 3 2 2" xfId="5588" xr:uid="{00000000-0005-0000-0000-0000E4100000}"/>
    <cellStyle name="Migliaia 5 3 3 2 3" xfId="6510" xr:uid="{00000000-0005-0000-0000-0000E5100000}"/>
    <cellStyle name="Migliaia 5 3 3 3" xfId="5198" xr:uid="{00000000-0005-0000-0000-0000E6100000}"/>
    <cellStyle name="Migliaia 5 3 3 4" xfId="6092" xr:uid="{00000000-0005-0000-0000-0000E7100000}"/>
    <cellStyle name="Migliaia 5 3 4" xfId="2527" xr:uid="{00000000-0005-0000-0000-0000E8100000}"/>
    <cellStyle name="Migliaia 5 3 4 2" xfId="5587" xr:uid="{00000000-0005-0000-0000-0000E9100000}"/>
    <cellStyle name="Migliaia 5 3 4 3" xfId="6509" xr:uid="{00000000-0005-0000-0000-0000EA100000}"/>
    <cellStyle name="Migliaia 5 3 5" xfId="5196" xr:uid="{00000000-0005-0000-0000-0000EB100000}"/>
    <cellStyle name="Migliaia 5 3 6" xfId="6090" xr:uid="{00000000-0005-0000-0000-0000EC100000}"/>
    <cellStyle name="Migliaia 5 4" xfId="843" xr:uid="{00000000-0005-0000-0000-0000ED100000}"/>
    <cellStyle name="Migliaia 5 4 2" xfId="844" xr:uid="{00000000-0005-0000-0000-0000EE100000}"/>
    <cellStyle name="Migliaia 5 4 2 2" xfId="2530" xr:uid="{00000000-0005-0000-0000-0000EF100000}"/>
    <cellStyle name="Migliaia 5 4 2 2 2" xfId="5590" xr:uid="{00000000-0005-0000-0000-0000F0100000}"/>
    <cellStyle name="Migliaia 5 4 2 2 3" xfId="6512" xr:uid="{00000000-0005-0000-0000-0000F1100000}"/>
    <cellStyle name="Migliaia 5 4 2 3" xfId="5200" xr:uid="{00000000-0005-0000-0000-0000F2100000}"/>
    <cellStyle name="Migliaia 5 4 2 4" xfId="6094" xr:uid="{00000000-0005-0000-0000-0000F3100000}"/>
    <cellStyle name="Migliaia 5 4 3" xfId="2529" xr:uid="{00000000-0005-0000-0000-0000F4100000}"/>
    <cellStyle name="Migliaia 5 4 3 2" xfId="5589" xr:uid="{00000000-0005-0000-0000-0000F5100000}"/>
    <cellStyle name="Migliaia 5 4 3 3" xfId="6511" xr:uid="{00000000-0005-0000-0000-0000F6100000}"/>
    <cellStyle name="Migliaia 5 4 4" xfId="5199" xr:uid="{00000000-0005-0000-0000-0000F7100000}"/>
    <cellStyle name="Migliaia 5 4 5" xfId="6093" xr:uid="{00000000-0005-0000-0000-0000F8100000}"/>
    <cellStyle name="Migliaia 5 5" xfId="845" xr:uid="{00000000-0005-0000-0000-0000F9100000}"/>
    <cellStyle name="Migliaia 5 5 2" xfId="5201" xr:uid="{00000000-0005-0000-0000-0000FA100000}"/>
    <cellStyle name="Migliaia 5 5 3" xfId="6095" xr:uid="{00000000-0005-0000-0000-0000FB100000}"/>
    <cellStyle name="Migliaia 5 6" xfId="4843" xr:uid="{00000000-0005-0000-0000-0000FC100000}"/>
    <cellStyle name="Migliaia 5 7" xfId="6088" xr:uid="{00000000-0005-0000-0000-0000FD100000}"/>
    <cellStyle name="Migliaia 50" xfId="846" xr:uid="{00000000-0005-0000-0000-0000FE100000}"/>
    <cellStyle name="Migliaia 50 2" xfId="847" xr:uid="{00000000-0005-0000-0000-0000FF100000}"/>
    <cellStyle name="Migliaia 50 2 2" xfId="2531" xr:uid="{00000000-0005-0000-0000-000000110000}"/>
    <cellStyle name="Migliaia 50 2 2 2" xfId="5591" xr:uid="{00000000-0005-0000-0000-000001110000}"/>
    <cellStyle name="Migliaia 50 2 2 3" xfId="6513" xr:uid="{00000000-0005-0000-0000-000002110000}"/>
    <cellStyle name="Migliaia 50 2 3" xfId="4908" xr:uid="{00000000-0005-0000-0000-000003110000}"/>
    <cellStyle name="Migliaia 50 2 4" xfId="6097" xr:uid="{00000000-0005-0000-0000-000004110000}"/>
    <cellStyle name="Migliaia 50 3" xfId="848" xr:uid="{00000000-0005-0000-0000-000005110000}"/>
    <cellStyle name="Migliaia 50 3 2" xfId="849" xr:uid="{00000000-0005-0000-0000-000006110000}"/>
    <cellStyle name="Migliaia 50 3 2 2" xfId="5203" xr:uid="{00000000-0005-0000-0000-000007110000}"/>
    <cellStyle name="Migliaia 50 3 2 3" xfId="6099" xr:uid="{00000000-0005-0000-0000-000008110000}"/>
    <cellStyle name="Migliaia 50 3 3" xfId="850" xr:uid="{00000000-0005-0000-0000-000009110000}"/>
    <cellStyle name="Migliaia 50 3 3 2" xfId="2533" xr:uid="{00000000-0005-0000-0000-00000A110000}"/>
    <cellStyle name="Migliaia 50 3 3 2 2" xfId="5593" xr:uid="{00000000-0005-0000-0000-00000B110000}"/>
    <cellStyle name="Migliaia 50 3 3 2 3" xfId="6515" xr:uid="{00000000-0005-0000-0000-00000C110000}"/>
    <cellStyle name="Migliaia 50 3 3 3" xfId="5204" xr:uid="{00000000-0005-0000-0000-00000D110000}"/>
    <cellStyle name="Migliaia 50 3 3 4" xfId="6100" xr:uid="{00000000-0005-0000-0000-00000E110000}"/>
    <cellStyle name="Migliaia 50 3 4" xfId="2532" xr:uid="{00000000-0005-0000-0000-00000F110000}"/>
    <cellStyle name="Migliaia 50 3 4 2" xfId="5592" xr:uid="{00000000-0005-0000-0000-000010110000}"/>
    <cellStyle name="Migliaia 50 3 4 3" xfId="6514" xr:uid="{00000000-0005-0000-0000-000011110000}"/>
    <cellStyle name="Migliaia 50 3 5" xfId="5202" xr:uid="{00000000-0005-0000-0000-000012110000}"/>
    <cellStyle name="Migliaia 50 3 6" xfId="6098" xr:uid="{00000000-0005-0000-0000-000013110000}"/>
    <cellStyle name="Migliaia 50 4" xfId="851" xr:uid="{00000000-0005-0000-0000-000014110000}"/>
    <cellStyle name="Migliaia 50 4 2" xfId="852" xr:uid="{00000000-0005-0000-0000-000015110000}"/>
    <cellStyle name="Migliaia 50 4 2 2" xfId="2535" xr:uid="{00000000-0005-0000-0000-000016110000}"/>
    <cellStyle name="Migliaia 50 4 2 2 2" xfId="5595" xr:uid="{00000000-0005-0000-0000-000017110000}"/>
    <cellStyle name="Migliaia 50 4 2 2 3" xfId="6517" xr:uid="{00000000-0005-0000-0000-000018110000}"/>
    <cellStyle name="Migliaia 50 4 2 3" xfId="5206" xr:uid="{00000000-0005-0000-0000-000019110000}"/>
    <cellStyle name="Migliaia 50 4 2 4" xfId="6102" xr:uid="{00000000-0005-0000-0000-00001A110000}"/>
    <cellStyle name="Migliaia 50 4 3" xfId="2534" xr:uid="{00000000-0005-0000-0000-00001B110000}"/>
    <cellStyle name="Migliaia 50 4 3 2" xfId="5594" xr:uid="{00000000-0005-0000-0000-00001C110000}"/>
    <cellStyle name="Migliaia 50 4 3 3" xfId="6516" xr:uid="{00000000-0005-0000-0000-00001D110000}"/>
    <cellStyle name="Migliaia 50 4 4" xfId="5205" xr:uid="{00000000-0005-0000-0000-00001E110000}"/>
    <cellStyle name="Migliaia 50 4 5" xfId="6101" xr:uid="{00000000-0005-0000-0000-00001F110000}"/>
    <cellStyle name="Migliaia 50 5" xfId="853" xr:uid="{00000000-0005-0000-0000-000020110000}"/>
    <cellStyle name="Migliaia 50 5 2" xfId="5207" xr:uid="{00000000-0005-0000-0000-000021110000}"/>
    <cellStyle name="Migliaia 50 5 3" xfId="6103" xr:uid="{00000000-0005-0000-0000-000022110000}"/>
    <cellStyle name="Migliaia 50 6" xfId="4844" xr:uid="{00000000-0005-0000-0000-000023110000}"/>
    <cellStyle name="Migliaia 50 7" xfId="6096" xr:uid="{00000000-0005-0000-0000-000024110000}"/>
    <cellStyle name="Migliaia 51" xfId="854" xr:uid="{00000000-0005-0000-0000-000025110000}"/>
    <cellStyle name="Migliaia 51 2" xfId="855" xr:uid="{00000000-0005-0000-0000-000026110000}"/>
    <cellStyle name="Migliaia 51 2 2" xfId="2536" xr:uid="{00000000-0005-0000-0000-000027110000}"/>
    <cellStyle name="Migliaia 51 2 2 2" xfId="5596" xr:uid="{00000000-0005-0000-0000-000028110000}"/>
    <cellStyle name="Migliaia 51 2 2 3" xfId="6518" xr:uid="{00000000-0005-0000-0000-000029110000}"/>
    <cellStyle name="Migliaia 51 2 3" xfId="4909" xr:uid="{00000000-0005-0000-0000-00002A110000}"/>
    <cellStyle name="Migliaia 51 2 4" xfId="6105" xr:uid="{00000000-0005-0000-0000-00002B110000}"/>
    <cellStyle name="Migliaia 51 3" xfId="856" xr:uid="{00000000-0005-0000-0000-00002C110000}"/>
    <cellStyle name="Migliaia 51 3 2" xfId="857" xr:uid="{00000000-0005-0000-0000-00002D110000}"/>
    <cellStyle name="Migliaia 51 3 2 2" xfId="5209" xr:uid="{00000000-0005-0000-0000-00002E110000}"/>
    <cellStyle name="Migliaia 51 3 2 3" xfId="6107" xr:uid="{00000000-0005-0000-0000-00002F110000}"/>
    <cellStyle name="Migliaia 51 3 3" xfId="858" xr:uid="{00000000-0005-0000-0000-000030110000}"/>
    <cellStyle name="Migliaia 51 3 3 2" xfId="2538" xr:uid="{00000000-0005-0000-0000-000031110000}"/>
    <cellStyle name="Migliaia 51 3 3 2 2" xfId="5598" xr:uid="{00000000-0005-0000-0000-000032110000}"/>
    <cellStyle name="Migliaia 51 3 3 2 3" xfId="6520" xr:uid="{00000000-0005-0000-0000-000033110000}"/>
    <cellStyle name="Migliaia 51 3 3 3" xfId="5210" xr:uid="{00000000-0005-0000-0000-000034110000}"/>
    <cellStyle name="Migliaia 51 3 3 4" xfId="6108" xr:uid="{00000000-0005-0000-0000-000035110000}"/>
    <cellStyle name="Migliaia 51 3 4" xfId="2537" xr:uid="{00000000-0005-0000-0000-000036110000}"/>
    <cellStyle name="Migliaia 51 3 4 2" xfId="5597" xr:uid="{00000000-0005-0000-0000-000037110000}"/>
    <cellStyle name="Migliaia 51 3 4 3" xfId="6519" xr:uid="{00000000-0005-0000-0000-000038110000}"/>
    <cellStyle name="Migliaia 51 3 5" xfId="5208" xr:uid="{00000000-0005-0000-0000-000039110000}"/>
    <cellStyle name="Migliaia 51 3 6" xfId="6106" xr:uid="{00000000-0005-0000-0000-00003A110000}"/>
    <cellStyle name="Migliaia 51 4" xfId="859" xr:uid="{00000000-0005-0000-0000-00003B110000}"/>
    <cellStyle name="Migliaia 51 4 2" xfId="860" xr:uid="{00000000-0005-0000-0000-00003C110000}"/>
    <cellStyle name="Migliaia 51 4 2 2" xfId="2540" xr:uid="{00000000-0005-0000-0000-00003D110000}"/>
    <cellStyle name="Migliaia 51 4 2 2 2" xfId="5600" xr:uid="{00000000-0005-0000-0000-00003E110000}"/>
    <cellStyle name="Migliaia 51 4 2 2 3" xfId="6522" xr:uid="{00000000-0005-0000-0000-00003F110000}"/>
    <cellStyle name="Migliaia 51 4 2 3" xfId="5212" xr:uid="{00000000-0005-0000-0000-000040110000}"/>
    <cellStyle name="Migliaia 51 4 2 4" xfId="6110" xr:uid="{00000000-0005-0000-0000-000041110000}"/>
    <cellStyle name="Migliaia 51 4 3" xfId="2539" xr:uid="{00000000-0005-0000-0000-000042110000}"/>
    <cellStyle name="Migliaia 51 4 3 2" xfId="5599" xr:uid="{00000000-0005-0000-0000-000043110000}"/>
    <cellStyle name="Migliaia 51 4 3 3" xfId="6521" xr:uid="{00000000-0005-0000-0000-000044110000}"/>
    <cellStyle name="Migliaia 51 4 4" xfId="5211" xr:uid="{00000000-0005-0000-0000-000045110000}"/>
    <cellStyle name="Migliaia 51 4 5" xfId="6109" xr:uid="{00000000-0005-0000-0000-000046110000}"/>
    <cellStyle name="Migliaia 51 5" xfId="861" xr:uid="{00000000-0005-0000-0000-000047110000}"/>
    <cellStyle name="Migliaia 51 5 2" xfId="5213" xr:uid="{00000000-0005-0000-0000-000048110000}"/>
    <cellStyle name="Migliaia 51 5 3" xfId="6111" xr:uid="{00000000-0005-0000-0000-000049110000}"/>
    <cellStyle name="Migliaia 51 6" xfId="4845" xr:uid="{00000000-0005-0000-0000-00004A110000}"/>
    <cellStyle name="Migliaia 51 7" xfId="6104" xr:uid="{00000000-0005-0000-0000-00004B110000}"/>
    <cellStyle name="Migliaia 52" xfId="862" xr:uid="{00000000-0005-0000-0000-00004C110000}"/>
    <cellStyle name="Migliaia 52 2" xfId="863" xr:uid="{00000000-0005-0000-0000-00004D110000}"/>
    <cellStyle name="Migliaia 52 2 2" xfId="2541" xr:uid="{00000000-0005-0000-0000-00004E110000}"/>
    <cellStyle name="Migliaia 52 2 2 2" xfId="5601" xr:uid="{00000000-0005-0000-0000-00004F110000}"/>
    <cellStyle name="Migliaia 52 2 2 3" xfId="6523" xr:uid="{00000000-0005-0000-0000-000050110000}"/>
    <cellStyle name="Migliaia 52 2 3" xfId="4910" xr:uid="{00000000-0005-0000-0000-000051110000}"/>
    <cellStyle name="Migliaia 52 2 4" xfId="6113" xr:uid="{00000000-0005-0000-0000-000052110000}"/>
    <cellStyle name="Migliaia 52 3" xfId="864" xr:uid="{00000000-0005-0000-0000-000053110000}"/>
    <cellStyle name="Migliaia 52 3 2" xfId="865" xr:uid="{00000000-0005-0000-0000-000054110000}"/>
    <cellStyle name="Migliaia 52 3 2 2" xfId="5215" xr:uid="{00000000-0005-0000-0000-000055110000}"/>
    <cellStyle name="Migliaia 52 3 2 3" xfId="6115" xr:uid="{00000000-0005-0000-0000-000056110000}"/>
    <cellStyle name="Migliaia 52 3 3" xfId="866" xr:uid="{00000000-0005-0000-0000-000057110000}"/>
    <cellStyle name="Migliaia 52 3 3 2" xfId="2543" xr:uid="{00000000-0005-0000-0000-000058110000}"/>
    <cellStyle name="Migliaia 52 3 3 2 2" xfId="5603" xr:uid="{00000000-0005-0000-0000-000059110000}"/>
    <cellStyle name="Migliaia 52 3 3 2 3" xfId="6525" xr:uid="{00000000-0005-0000-0000-00005A110000}"/>
    <cellStyle name="Migliaia 52 3 3 3" xfId="5216" xr:uid="{00000000-0005-0000-0000-00005B110000}"/>
    <cellStyle name="Migliaia 52 3 3 4" xfId="6116" xr:uid="{00000000-0005-0000-0000-00005C110000}"/>
    <cellStyle name="Migliaia 52 3 4" xfId="2542" xr:uid="{00000000-0005-0000-0000-00005D110000}"/>
    <cellStyle name="Migliaia 52 3 4 2" xfId="5602" xr:uid="{00000000-0005-0000-0000-00005E110000}"/>
    <cellStyle name="Migliaia 52 3 4 3" xfId="6524" xr:uid="{00000000-0005-0000-0000-00005F110000}"/>
    <cellStyle name="Migliaia 52 3 5" xfId="5214" xr:uid="{00000000-0005-0000-0000-000060110000}"/>
    <cellStyle name="Migliaia 52 3 6" xfId="6114" xr:uid="{00000000-0005-0000-0000-000061110000}"/>
    <cellStyle name="Migliaia 52 4" xfId="867" xr:uid="{00000000-0005-0000-0000-000062110000}"/>
    <cellStyle name="Migliaia 52 4 2" xfId="868" xr:uid="{00000000-0005-0000-0000-000063110000}"/>
    <cellStyle name="Migliaia 52 4 2 2" xfId="2545" xr:uid="{00000000-0005-0000-0000-000064110000}"/>
    <cellStyle name="Migliaia 52 4 2 2 2" xfId="5605" xr:uid="{00000000-0005-0000-0000-000065110000}"/>
    <cellStyle name="Migliaia 52 4 2 2 3" xfId="6527" xr:uid="{00000000-0005-0000-0000-000066110000}"/>
    <cellStyle name="Migliaia 52 4 2 3" xfId="5218" xr:uid="{00000000-0005-0000-0000-000067110000}"/>
    <cellStyle name="Migliaia 52 4 2 4" xfId="6118" xr:uid="{00000000-0005-0000-0000-000068110000}"/>
    <cellStyle name="Migliaia 52 4 3" xfId="2544" xr:uid="{00000000-0005-0000-0000-000069110000}"/>
    <cellStyle name="Migliaia 52 4 3 2" xfId="5604" xr:uid="{00000000-0005-0000-0000-00006A110000}"/>
    <cellStyle name="Migliaia 52 4 3 3" xfId="6526" xr:uid="{00000000-0005-0000-0000-00006B110000}"/>
    <cellStyle name="Migliaia 52 4 4" xfId="5217" xr:uid="{00000000-0005-0000-0000-00006C110000}"/>
    <cellStyle name="Migliaia 52 4 5" xfId="6117" xr:uid="{00000000-0005-0000-0000-00006D110000}"/>
    <cellStyle name="Migliaia 52 5" xfId="869" xr:uid="{00000000-0005-0000-0000-00006E110000}"/>
    <cellStyle name="Migliaia 52 5 2" xfId="5219" xr:uid="{00000000-0005-0000-0000-00006F110000}"/>
    <cellStyle name="Migliaia 52 5 3" xfId="6119" xr:uid="{00000000-0005-0000-0000-000070110000}"/>
    <cellStyle name="Migliaia 52 6" xfId="4846" xr:uid="{00000000-0005-0000-0000-000071110000}"/>
    <cellStyle name="Migliaia 52 7" xfId="6112" xr:uid="{00000000-0005-0000-0000-000072110000}"/>
    <cellStyle name="Migliaia 53" xfId="870" xr:uid="{00000000-0005-0000-0000-000073110000}"/>
    <cellStyle name="Migliaia 53 2" xfId="871" xr:uid="{00000000-0005-0000-0000-000074110000}"/>
    <cellStyle name="Migliaia 53 2 2" xfId="2546" xr:uid="{00000000-0005-0000-0000-000075110000}"/>
    <cellStyle name="Migliaia 53 2 2 2" xfId="5606" xr:uid="{00000000-0005-0000-0000-000076110000}"/>
    <cellStyle name="Migliaia 53 2 2 3" xfId="6528" xr:uid="{00000000-0005-0000-0000-000077110000}"/>
    <cellStyle name="Migliaia 53 2 3" xfId="4911" xr:uid="{00000000-0005-0000-0000-000078110000}"/>
    <cellStyle name="Migliaia 53 2 4" xfId="6121" xr:uid="{00000000-0005-0000-0000-000079110000}"/>
    <cellStyle name="Migliaia 53 3" xfId="872" xr:uid="{00000000-0005-0000-0000-00007A110000}"/>
    <cellStyle name="Migliaia 53 3 2" xfId="873" xr:uid="{00000000-0005-0000-0000-00007B110000}"/>
    <cellStyle name="Migliaia 53 3 2 2" xfId="5221" xr:uid="{00000000-0005-0000-0000-00007C110000}"/>
    <cellStyle name="Migliaia 53 3 2 3" xfId="6123" xr:uid="{00000000-0005-0000-0000-00007D110000}"/>
    <cellStyle name="Migliaia 53 3 3" xfId="874" xr:uid="{00000000-0005-0000-0000-00007E110000}"/>
    <cellStyle name="Migliaia 53 3 3 2" xfId="2548" xr:uid="{00000000-0005-0000-0000-00007F110000}"/>
    <cellStyle name="Migliaia 53 3 3 2 2" xfId="5608" xr:uid="{00000000-0005-0000-0000-000080110000}"/>
    <cellStyle name="Migliaia 53 3 3 2 3" xfId="6530" xr:uid="{00000000-0005-0000-0000-000081110000}"/>
    <cellStyle name="Migliaia 53 3 3 3" xfId="5222" xr:uid="{00000000-0005-0000-0000-000082110000}"/>
    <cellStyle name="Migliaia 53 3 3 4" xfId="6124" xr:uid="{00000000-0005-0000-0000-000083110000}"/>
    <cellStyle name="Migliaia 53 3 4" xfId="2547" xr:uid="{00000000-0005-0000-0000-000084110000}"/>
    <cellStyle name="Migliaia 53 3 4 2" xfId="5607" xr:uid="{00000000-0005-0000-0000-000085110000}"/>
    <cellStyle name="Migliaia 53 3 4 3" xfId="6529" xr:uid="{00000000-0005-0000-0000-000086110000}"/>
    <cellStyle name="Migliaia 53 3 5" xfId="5220" xr:uid="{00000000-0005-0000-0000-000087110000}"/>
    <cellStyle name="Migliaia 53 3 6" xfId="6122" xr:uid="{00000000-0005-0000-0000-000088110000}"/>
    <cellStyle name="Migliaia 53 4" xfId="875" xr:uid="{00000000-0005-0000-0000-000089110000}"/>
    <cellStyle name="Migliaia 53 4 2" xfId="876" xr:uid="{00000000-0005-0000-0000-00008A110000}"/>
    <cellStyle name="Migliaia 53 4 2 2" xfId="2550" xr:uid="{00000000-0005-0000-0000-00008B110000}"/>
    <cellStyle name="Migliaia 53 4 2 2 2" xfId="5610" xr:uid="{00000000-0005-0000-0000-00008C110000}"/>
    <cellStyle name="Migliaia 53 4 2 2 3" xfId="6532" xr:uid="{00000000-0005-0000-0000-00008D110000}"/>
    <cellStyle name="Migliaia 53 4 2 3" xfId="5224" xr:uid="{00000000-0005-0000-0000-00008E110000}"/>
    <cellStyle name="Migliaia 53 4 2 4" xfId="6126" xr:uid="{00000000-0005-0000-0000-00008F110000}"/>
    <cellStyle name="Migliaia 53 4 3" xfId="2549" xr:uid="{00000000-0005-0000-0000-000090110000}"/>
    <cellStyle name="Migliaia 53 4 3 2" xfId="5609" xr:uid="{00000000-0005-0000-0000-000091110000}"/>
    <cellStyle name="Migliaia 53 4 3 3" xfId="6531" xr:uid="{00000000-0005-0000-0000-000092110000}"/>
    <cellStyle name="Migliaia 53 4 4" xfId="5223" xr:uid="{00000000-0005-0000-0000-000093110000}"/>
    <cellStyle name="Migliaia 53 4 5" xfId="6125" xr:uid="{00000000-0005-0000-0000-000094110000}"/>
    <cellStyle name="Migliaia 53 5" xfId="877" xr:uid="{00000000-0005-0000-0000-000095110000}"/>
    <cellStyle name="Migliaia 53 5 2" xfId="5225" xr:uid="{00000000-0005-0000-0000-000096110000}"/>
    <cellStyle name="Migliaia 53 5 3" xfId="6127" xr:uid="{00000000-0005-0000-0000-000097110000}"/>
    <cellStyle name="Migliaia 53 6" xfId="4847" xr:uid="{00000000-0005-0000-0000-000098110000}"/>
    <cellStyle name="Migliaia 53 7" xfId="6120" xr:uid="{00000000-0005-0000-0000-000099110000}"/>
    <cellStyle name="Migliaia 54" xfId="878" xr:uid="{00000000-0005-0000-0000-00009A110000}"/>
    <cellStyle name="Migliaia 54 2" xfId="879" xr:uid="{00000000-0005-0000-0000-00009B110000}"/>
    <cellStyle name="Migliaia 54 2 2" xfId="2551" xr:uid="{00000000-0005-0000-0000-00009C110000}"/>
    <cellStyle name="Migliaia 54 2 2 2" xfId="5611" xr:uid="{00000000-0005-0000-0000-00009D110000}"/>
    <cellStyle name="Migliaia 54 2 2 3" xfId="6533" xr:uid="{00000000-0005-0000-0000-00009E110000}"/>
    <cellStyle name="Migliaia 54 2 3" xfId="4912" xr:uid="{00000000-0005-0000-0000-00009F110000}"/>
    <cellStyle name="Migliaia 54 2 4" xfId="6129" xr:uid="{00000000-0005-0000-0000-0000A0110000}"/>
    <cellStyle name="Migliaia 54 3" xfId="880" xr:uid="{00000000-0005-0000-0000-0000A1110000}"/>
    <cellStyle name="Migliaia 54 3 2" xfId="881" xr:uid="{00000000-0005-0000-0000-0000A2110000}"/>
    <cellStyle name="Migliaia 54 3 2 2" xfId="5227" xr:uid="{00000000-0005-0000-0000-0000A3110000}"/>
    <cellStyle name="Migliaia 54 3 2 3" xfId="6131" xr:uid="{00000000-0005-0000-0000-0000A4110000}"/>
    <cellStyle name="Migliaia 54 3 3" xfId="882" xr:uid="{00000000-0005-0000-0000-0000A5110000}"/>
    <cellStyle name="Migliaia 54 3 3 2" xfId="2553" xr:uid="{00000000-0005-0000-0000-0000A6110000}"/>
    <cellStyle name="Migliaia 54 3 3 2 2" xfId="5613" xr:uid="{00000000-0005-0000-0000-0000A7110000}"/>
    <cellStyle name="Migliaia 54 3 3 2 3" xfId="6535" xr:uid="{00000000-0005-0000-0000-0000A8110000}"/>
    <cellStyle name="Migliaia 54 3 3 3" xfId="5228" xr:uid="{00000000-0005-0000-0000-0000A9110000}"/>
    <cellStyle name="Migliaia 54 3 3 4" xfId="6132" xr:uid="{00000000-0005-0000-0000-0000AA110000}"/>
    <cellStyle name="Migliaia 54 3 4" xfId="2552" xr:uid="{00000000-0005-0000-0000-0000AB110000}"/>
    <cellStyle name="Migliaia 54 3 4 2" xfId="5612" xr:uid="{00000000-0005-0000-0000-0000AC110000}"/>
    <cellStyle name="Migliaia 54 3 4 3" xfId="6534" xr:uid="{00000000-0005-0000-0000-0000AD110000}"/>
    <cellStyle name="Migliaia 54 3 5" xfId="5226" xr:uid="{00000000-0005-0000-0000-0000AE110000}"/>
    <cellStyle name="Migliaia 54 3 6" xfId="6130" xr:uid="{00000000-0005-0000-0000-0000AF110000}"/>
    <cellStyle name="Migliaia 54 4" xfId="883" xr:uid="{00000000-0005-0000-0000-0000B0110000}"/>
    <cellStyle name="Migliaia 54 4 2" xfId="884" xr:uid="{00000000-0005-0000-0000-0000B1110000}"/>
    <cellStyle name="Migliaia 54 4 2 2" xfId="2555" xr:uid="{00000000-0005-0000-0000-0000B2110000}"/>
    <cellStyle name="Migliaia 54 4 2 2 2" xfId="5615" xr:uid="{00000000-0005-0000-0000-0000B3110000}"/>
    <cellStyle name="Migliaia 54 4 2 2 3" xfId="6537" xr:uid="{00000000-0005-0000-0000-0000B4110000}"/>
    <cellStyle name="Migliaia 54 4 2 3" xfId="5230" xr:uid="{00000000-0005-0000-0000-0000B5110000}"/>
    <cellStyle name="Migliaia 54 4 2 4" xfId="6134" xr:uid="{00000000-0005-0000-0000-0000B6110000}"/>
    <cellStyle name="Migliaia 54 4 3" xfId="2554" xr:uid="{00000000-0005-0000-0000-0000B7110000}"/>
    <cellStyle name="Migliaia 54 4 3 2" xfId="5614" xr:uid="{00000000-0005-0000-0000-0000B8110000}"/>
    <cellStyle name="Migliaia 54 4 3 3" xfId="6536" xr:uid="{00000000-0005-0000-0000-0000B9110000}"/>
    <cellStyle name="Migliaia 54 4 4" xfId="5229" xr:uid="{00000000-0005-0000-0000-0000BA110000}"/>
    <cellStyle name="Migliaia 54 4 5" xfId="6133" xr:uid="{00000000-0005-0000-0000-0000BB110000}"/>
    <cellStyle name="Migliaia 54 5" xfId="885" xr:uid="{00000000-0005-0000-0000-0000BC110000}"/>
    <cellStyle name="Migliaia 54 5 2" xfId="5231" xr:uid="{00000000-0005-0000-0000-0000BD110000}"/>
    <cellStyle name="Migliaia 54 5 3" xfId="6135" xr:uid="{00000000-0005-0000-0000-0000BE110000}"/>
    <cellStyle name="Migliaia 54 6" xfId="4848" xr:uid="{00000000-0005-0000-0000-0000BF110000}"/>
    <cellStyle name="Migliaia 54 7" xfId="6128" xr:uid="{00000000-0005-0000-0000-0000C0110000}"/>
    <cellStyle name="Migliaia 55" xfId="886" xr:uid="{00000000-0005-0000-0000-0000C1110000}"/>
    <cellStyle name="Migliaia 55 2" xfId="887" xr:uid="{00000000-0005-0000-0000-0000C2110000}"/>
    <cellStyle name="Migliaia 55 2 2" xfId="2556" xr:uid="{00000000-0005-0000-0000-0000C3110000}"/>
    <cellStyle name="Migliaia 55 2 2 2" xfId="5616" xr:uid="{00000000-0005-0000-0000-0000C4110000}"/>
    <cellStyle name="Migliaia 55 2 2 3" xfId="6538" xr:uid="{00000000-0005-0000-0000-0000C5110000}"/>
    <cellStyle name="Migliaia 55 2 3" xfId="4913" xr:uid="{00000000-0005-0000-0000-0000C6110000}"/>
    <cellStyle name="Migliaia 55 2 4" xfId="6137" xr:uid="{00000000-0005-0000-0000-0000C7110000}"/>
    <cellStyle name="Migliaia 55 3" xfId="888" xr:uid="{00000000-0005-0000-0000-0000C8110000}"/>
    <cellStyle name="Migliaia 55 3 2" xfId="889" xr:uid="{00000000-0005-0000-0000-0000C9110000}"/>
    <cellStyle name="Migliaia 55 3 2 2" xfId="5233" xr:uid="{00000000-0005-0000-0000-0000CA110000}"/>
    <cellStyle name="Migliaia 55 3 2 3" xfId="6139" xr:uid="{00000000-0005-0000-0000-0000CB110000}"/>
    <cellStyle name="Migliaia 55 3 3" xfId="890" xr:uid="{00000000-0005-0000-0000-0000CC110000}"/>
    <cellStyle name="Migliaia 55 3 3 2" xfId="2558" xr:uid="{00000000-0005-0000-0000-0000CD110000}"/>
    <cellStyle name="Migliaia 55 3 3 2 2" xfId="5618" xr:uid="{00000000-0005-0000-0000-0000CE110000}"/>
    <cellStyle name="Migliaia 55 3 3 2 3" xfId="6540" xr:uid="{00000000-0005-0000-0000-0000CF110000}"/>
    <cellStyle name="Migliaia 55 3 3 3" xfId="5234" xr:uid="{00000000-0005-0000-0000-0000D0110000}"/>
    <cellStyle name="Migliaia 55 3 3 4" xfId="6140" xr:uid="{00000000-0005-0000-0000-0000D1110000}"/>
    <cellStyle name="Migliaia 55 3 4" xfId="2557" xr:uid="{00000000-0005-0000-0000-0000D2110000}"/>
    <cellStyle name="Migliaia 55 3 4 2" xfId="5617" xr:uid="{00000000-0005-0000-0000-0000D3110000}"/>
    <cellStyle name="Migliaia 55 3 4 3" xfId="6539" xr:uid="{00000000-0005-0000-0000-0000D4110000}"/>
    <cellStyle name="Migliaia 55 3 5" xfId="5232" xr:uid="{00000000-0005-0000-0000-0000D5110000}"/>
    <cellStyle name="Migliaia 55 3 6" xfId="6138" xr:uid="{00000000-0005-0000-0000-0000D6110000}"/>
    <cellStyle name="Migliaia 55 4" xfId="891" xr:uid="{00000000-0005-0000-0000-0000D7110000}"/>
    <cellStyle name="Migliaia 55 4 2" xfId="892" xr:uid="{00000000-0005-0000-0000-0000D8110000}"/>
    <cellStyle name="Migliaia 55 4 2 2" xfId="2560" xr:uid="{00000000-0005-0000-0000-0000D9110000}"/>
    <cellStyle name="Migliaia 55 4 2 2 2" xfId="5620" xr:uid="{00000000-0005-0000-0000-0000DA110000}"/>
    <cellStyle name="Migliaia 55 4 2 2 3" xfId="6542" xr:uid="{00000000-0005-0000-0000-0000DB110000}"/>
    <cellStyle name="Migliaia 55 4 2 3" xfId="5236" xr:uid="{00000000-0005-0000-0000-0000DC110000}"/>
    <cellStyle name="Migliaia 55 4 2 4" xfId="6142" xr:uid="{00000000-0005-0000-0000-0000DD110000}"/>
    <cellStyle name="Migliaia 55 4 3" xfId="2559" xr:uid="{00000000-0005-0000-0000-0000DE110000}"/>
    <cellStyle name="Migliaia 55 4 3 2" xfId="5619" xr:uid="{00000000-0005-0000-0000-0000DF110000}"/>
    <cellStyle name="Migliaia 55 4 3 3" xfId="6541" xr:uid="{00000000-0005-0000-0000-0000E0110000}"/>
    <cellStyle name="Migliaia 55 4 4" xfId="5235" xr:uid="{00000000-0005-0000-0000-0000E1110000}"/>
    <cellStyle name="Migliaia 55 4 5" xfId="6141" xr:uid="{00000000-0005-0000-0000-0000E2110000}"/>
    <cellStyle name="Migliaia 55 5" xfId="893" xr:uid="{00000000-0005-0000-0000-0000E3110000}"/>
    <cellStyle name="Migliaia 55 5 2" xfId="5237" xr:uid="{00000000-0005-0000-0000-0000E4110000}"/>
    <cellStyle name="Migliaia 55 5 3" xfId="6143" xr:uid="{00000000-0005-0000-0000-0000E5110000}"/>
    <cellStyle name="Migliaia 55 6" xfId="4849" xr:uid="{00000000-0005-0000-0000-0000E6110000}"/>
    <cellStyle name="Migliaia 55 7" xfId="6136" xr:uid="{00000000-0005-0000-0000-0000E7110000}"/>
    <cellStyle name="Migliaia 56" xfId="894" xr:uid="{00000000-0005-0000-0000-0000E8110000}"/>
    <cellStyle name="Migliaia 56 2" xfId="895" xr:uid="{00000000-0005-0000-0000-0000E9110000}"/>
    <cellStyle name="Migliaia 56 2 2" xfId="2561" xr:uid="{00000000-0005-0000-0000-0000EA110000}"/>
    <cellStyle name="Migliaia 56 2 2 2" xfId="5621" xr:uid="{00000000-0005-0000-0000-0000EB110000}"/>
    <cellStyle name="Migliaia 56 2 2 3" xfId="6543" xr:uid="{00000000-0005-0000-0000-0000EC110000}"/>
    <cellStyle name="Migliaia 56 2 3" xfId="4914" xr:uid="{00000000-0005-0000-0000-0000ED110000}"/>
    <cellStyle name="Migliaia 56 2 4" xfId="6145" xr:uid="{00000000-0005-0000-0000-0000EE110000}"/>
    <cellStyle name="Migliaia 56 3" xfId="896" xr:uid="{00000000-0005-0000-0000-0000EF110000}"/>
    <cellStyle name="Migliaia 56 3 2" xfId="897" xr:uid="{00000000-0005-0000-0000-0000F0110000}"/>
    <cellStyle name="Migliaia 56 3 2 2" xfId="5239" xr:uid="{00000000-0005-0000-0000-0000F1110000}"/>
    <cellStyle name="Migliaia 56 3 2 3" xfId="6147" xr:uid="{00000000-0005-0000-0000-0000F2110000}"/>
    <cellStyle name="Migliaia 56 3 3" xfId="898" xr:uid="{00000000-0005-0000-0000-0000F3110000}"/>
    <cellStyle name="Migliaia 56 3 3 2" xfId="2563" xr:uid="{00000000-0005-0000-0000-0000F4110000}"/>
    <cellStyle name="Migliaia 56 3 3 2 2" xfId="5623" xr:uid="{00000000-0005-0000-0000-0000F5110000}"/>
    <cellStyle name="Migliaia 56 3 3 2 3" xfId="6545" xr:uid="{00000000-0005-0000-0000-0000F6110000}"/>
    <cellStyle name="Migliaia 56 3 3 3" xfId="5240" xr:uid="{00000000-0005-0000-0000-0000F7110000}"/>
    <cellStyle name="Migliaia 56 3 3 4" xfId="6148" xr:uid="{00000000-0005-0000-0000-0000F8110000}"/>
    <cellStyle name="Migliaia 56 3 4" xfId="2562" xr:uid="{00000000-0005-0000-0000-0000F9110000}"/>
    <cellStyle name="Migliaia 56 3 4 2" xfId="5622" xr:uid="{00000000-0005-0000-0000-0000FA110000}"/>
    <cellStyle name="Migliaia 56 3 4 3" xfId="6544" xr:uid="{00000000-0005-0000-0000-0000FB110000}"/>
    <cellStyle name="Migliaia 56 3 5" xfId="5238" xr:uid="{00000000-0005-0000-0000-0000FC110000}"/>
    <cellStyle name="Migliaia 56 3 6" xfId="6146" xr:uid="{00000000-0005-0000-0000-0000FD110000}"/>
    <cellStyle name="Migliaia 56 4" xfId="899" xr:uid="{00000000-0005-0000-0000-0000FE110000}"/>
    <cellStyle name="Migliaia 56 4 2" xfId="900" xr:uid="{00000000-0005-0000-0000-0000FF110000}"/>
    <cellStyle name="Migliaia 56 4 2 2" xfId="2565" xr:uid="{00000000-0005-0000-0000-000000120000}"/>
    <cellStyle name="Migliaia 56 4 2 2 2" xfId="5625" xr:uid="{00000000-0005-0000-0000-000001120000}"/>
    <cellStyle name="Migliaia 56 4 2 2 3" xfId="6547" xr:uid="{00000000-0005-0000-0000-000002120000}"/>
    <cellStyle name="Migliaia 56 4 2 3" xfId="5242" xr:uid="{00000000-0005-0000-0000-000003120000}"/>
    <cellStyle name="Migliaia 56 4 2 4" xfId="6150" xr:uid="{00000000-0005-0000-0000-000004120000}"/>
    <cellStyle name="Migliaia 56 4 3" xfId="2564" xr:uid="{00000000-0005-0000-0000-000005120000}"/>
    <cellStyle name="Migliaia 56 4 3 2" xfId="5624" xr:uid="{00000000-0005-0000-0000-000006120000}"/>
    <cellStyle name="Migliaia 56 4 3 3" xfId="6546" xr:uid="{00000000-0005-0000-0000-000007120000}"/>
    <cellStyle name="Migliaia 56 4 4" xfId="5241" xr:uid="{00000000-0005-0000-0000-000008120000}"/>
    <cellStyle name="Migliaia 56 4 5" xfId="6149" xr:uid="{00000000-0005-0000-0000-000009120000}"/>
    <cellStyle name="Migliaia 56 5" xfId="901" xr:uid="{00000000-0005-0000-0000-00000A120000}"/>
    <cellStyle name="Migliaia 56 5 2" xfId="5243" xr:uid="{00000000-0005-0000-0000-00000B120000}"/>
    <cellStyle name="Migliaia 56 5 3" xfId="6151" xr:uid="{00000000-0005-0000-0000-00000C120000}"/>
    <cellStyle name="Migliaia 56 6" xfId="4850" xr:uid="{00000000-0005-0000-0000-00000D120000}"/>
    <cellStyle name="Migliaia 56 7" xfId="6144" xr:uid="{00000000-0005-0000-0000-00000E120000}"/>
    <cellStyle name="Migliaia 57" xfId="902" xr:uid="{00000000-0005-0000-0000-00000F120000}"/>
    <cellStyle name="Migliaia 57 2" xfId="903" xr:uid="{00000000-0005-0000-0000-000010120000}"/>
    <cellStyle name="Migliaia 57 2 2" xfId="2566" xr:uid="{00000000-0005-0000-0000-000011120000}"/>
    <cellStyle name="Migliaia 57 2 2 2" xfId="5626" xr:uid="{00000000-0005-0000-0000-000012120000}"/>
    <cellStyle name="Migliaia 57 2 2 3" xfId="6548" xr:uid="{00000000-0005-0000-0000-000013120000}"/>
    <cellStyle name="Migliaia 57 2 3" xfId="4915" xr:uid="{00000000-0005-0000-0000-000014120000}"/>
    <cellStyle name="Migliaia 57 2 4" xfId="6153" xr:uid="{00000000-0005-0000-0000-000015120000}"/>
    <cellStyle name="Migliaia 57 3" xfId="904" xr:uid="{00000000-0005-0000-0000-000016120000}"/>
    <cellStyle name="Migliaia 57 3 2" xfId="905" xr:uid="{00000000-0005-0000-0000-000017120000}"/>
    <cellStyle name="Migliaia 57 3 2 2" xfId="5245" xr:uid="{00000000-0005-0000-0000-000018120000}"/>
    <cellStyle name="Migliaia 57 3 2 3" xfId="6155" xr:uid="{00000000-0005-0000-0000-000019120000}"/>
    <cellStyle name="Migliaia 57 3 3" xfId="906" xr:uid="{00000000-0005-0000-0000-00001A120000}"/>
    <cellStyle name="Migliaia 57 3 3 2" xfId="2568" xr:uid="{00000000-0005-0000-0000-00001B120000}"/>
    <cellStyle name="Migliaia 57 3 3 2 2" xfId="5628" xr:uid="{00000000-0005-0000-0000-00001C120000}"/>
    <cellStyle name="Migliaia 57 3 3 2 3" xfId="6550" xr:uid="{00000000-0005-0000-0000-00001D120000}"/>
    <cellStyle name="Migliaia 57 3 3 3" xfId="5246" xr:uid="{00000000-0005-0000-0000-00001E120000}"/>
    <cellStyle name="Migliaia 57 3 3 4" xfId="6156" xr:uid="{00000000-0005-0000-0000-00001F120000}"/>
    <cellStyle name="Migliaia 57 3 4" xfId="2567" xr:uid="{00000000-0005-0000-0000-000020120000}"/>
    <cellStyle name="Migliaia 57 3 4 2" xfId="5627" xr:uid="{00000000-0005-0000-0000-000021120000}"/>
    <cellStyle name="Migliaia 57 3 4 3" xfId="6549" xr:uid="{00000000-0005-0000-0000-000022120000}"/>
    <cellStyle name="Migliaia 57 3 5" xfId="5244" xr:uid="{00000000-0005-0000-0000-000023120000}"/>
    <cellStyle name="Migliaia 57 3 6" xfId="6154" xr:uid="{00000000-0005-0000-0000-000024120000}"/>
    <cellStyle name="Migliaia 57 4" xfId="907" xr:uid="{00000000-0005-0000-0000-000025120000}"/>
    <cellStyle name="Migliaia 57 4 2" xfId="908" xr:uid="{00000000-0005-0000-0000-000026120000}"/>
    <cellStyle name="Migliaia 57 4 2 2" xfId="2570" xr:uid="{00000000-0005-0000-0000-000027120000}"/>
    <cellStyle name="Migliaia 57 4 2 2 2" xfId="5630" xr:uid="{00000000-0005-0000-0000-000028120000}"/>
    <cellStyle name="Migliaia 57 4 2 2 3" xfId="6552" xr:uid="{00000000-0005-0000-0000-000029120000}"/>
    <cellStyle name="Migliaia 57 4 2 3" xfId="5248" xr:uid="{00000000-0005-0000-0000-00002A120000}"/>
    <cellStyle name="Migliaia 57 4 2 4" xfId="6158" xr:uid="{00000000-0005-0000-0000-00002B120000}"/>
    <cellStyle name="Migliaia 57 4 3" xfId="2569" xr:uid="{00000000-0005-0000-0000-00002C120000}"/>
    <cellStyle name="Migliaia 57 4 3 2" xfId="5629" xr:uid="{00000000-0005-0000-0000-00002D120000}"/>
    <cellStyle name="Migliaia 57 4 3 3" xfId="6551" xr:uid="{00000000-0005-0000-0000-00002E120000}"/>
    <cellStyle name="Migliaia 57 4 4" xfId="5247" xr:uid="{00000000-0005-0000-0000-00002F120000}"/>
    <cellStyle name="Migliaia 57 4 5" xfId="6157" xr:uid="{00000000-0005-0000-0000-000030120000}"/>
    <cellStyle name="Migliaia 57 5" xfId="909" xr:uid="{00000000-0005-0000-0000-000031120000}"/>
    <cellStyle name="Migliaia 57 5 2" xfId="5249" xr:uid="{00000000-0005-0000-0000-000032120000}"/>
    <cellStyle name="Migliaia 57 5 3" xfId="6159" xr:uid="{00000000-0005-0000-0000-000033120000}"/>
    <cellStyle name="Migliaia 57 6" xfId="4851" xr:uid="{00000000-0005-0000-0000-000034120000}"/>
    <cellStyle name="Migliaia 57 7" xfId="6152" xr:uid="{00000000-0005-0000-0000-000035120000}"/>
    <cellStyle name="Migliaia 58" xfId="910" xr:uid="{00000000-0005-0000-0000-000036120000}"/>
    <cellStyle name="Migliaia 58 2" xfId="911" xr:uid="{00000000-0005-0000-0000-000037120000}"/>
    <cellStyle name="Migliaia 58 2 2" xfId="2571" xr:uid="{00000000-0005-0000-0000-000038120000}"/>
    <cellStyle name="Migliaia 58 2 2 2" xfId="5631" xr:uid="{00000000-0005-0000-0000-000039120000}"/>
    <cellStyle name="Migliaia 58 2 2 3" xfId="6553" xr:uid="{00000000-0005-0000-0000-00003A120000}"/>
    <cellStyle name="Migliaia 58 2 3" xfId="4916" xr:uid="{00000000-0005-0000-0000-00003B120000}"/>
    <cellStyle name="Migliaia 58 2 4" xfId="6161" xr:uid="{00000000-0005-0000-0000-00003C120000}"/>
    <cellStyle name="Migliaia 58 3" xfId="912" xr:uid="{00000000-0005-0000-0000-00003D120000}"/>
    <cellStyle name="Migliaia 58 3 2" xfId="913" xr:uid="{00000000-0005-0000-0000-00003E120000}"/>
    <cellStyle name="Migliaia 58 3 2 2" xfId="5251" xr:uid="{00000000-0005-0000-0000-00003F120000}"/>
    <cellStyle name="Migliaia 58 3 2 3" xfId="6163" xr:uid="{00000000-0005-0000-0000-000040120000}"/>
    <cellStyle name="Migliaia 58 3 3" xfId="914" xr:uid="{00000000-0005-0000-0000-000041120000}"/>
    <cellStyle name="Migliaia 58 3 3 2" xfId="2573" xr:uid="{00000000-0005-0000-0000-000042120000}"/>
    <cellStyle name="Migliaia 58 3 3 2 2" xfId="5633" xr:uid="{00000000-0005-0000-0000-000043120000}"/>
    <cellStyle name="Migliaia 58 3 3 2 3" xfId="6555" xr:uid="{00000000-0005-0000-0000-000044120000}"/>
    <cellStyle name="Migliaia 58 3 3 3" xfId="5252" xr:uid="{00000000-0005-0000-0000-000045120000}"/>
    <cellStyle name="Migliaia 58 3 3 4" xfId="6164" xr:uid="{00000000-0005-0000-0000-000046120000}"/>
    <cellStyle name="Migliaia 58 3 4" xfId="2572" xr:uid="{00000000-0005-0000-0000-000047120000}"/>
    <cellStyle name="Migliaia 58 3 4 2" xfId="5632" xr:uid="{00000000-0005-0000-0000-000048120000}"/>
    <cellStyle name="Migliaia 58 3 4 3" xfId="6554" xr:uid="{00000000-0005-0000-0000-000049120000}"/>
    <cellStyle name="Migliaia 58 3 5" xfId="5250" xr:uid="{00000000-0005-0000-0000-00004A120000}"/>
    <cellStyle name="Migliaia 58 3 6" xfId="6162" xr:uid="{00000000-0005-0000-0000-00004B120000}"/>
    <cellStyle name="Migliaia 58 4" xfId="915" xr:uid="{00000000-0005-0000-0000-00004C120000}"/>
    <cellStyle name="Migliaia 58 4 2" xfId="916" xr:uid="{00000000-0005-0000-0000-00004D120000}"/>
    <cellStyle name="Migliaia 58 4 2 2" xfId="2575" xr:uid="{00000000-0005-0000-0000-00004E120000}"/>
    <cellStyle name="Migliaia 58 4 2 2 2" xfId="5635" xr:uid="{00000000-0005-0000-0000-00004F120000}"/>
    <cellStyle name="Migliaia 58 4 2 2 3" xfId="6557" xr:uid="{00000000-0005-0000-0000-000050120000}"/>
    <cellStyle name="Migliaia 58 4 2 3" xfId="5254" xr:uid="{00000000-0005-0000-0000-000051120000}"/>
    <cellStyle name="Migliaia 58 4 2 4" xfId="6166" xr:uid="{00000000-0005-0000-0000-000052120000}"/>
    <cellStyle name="Migliaia 58 4 3" xfId="2574" xr:uid="{00000000-0005-0000-0000-000053120000}"/>
    <cellStyle name="Migliaia 58 4 3 2" xfId="5634" xr:uid="{00000000-0005-0000-0000-000054120000}"/>
    <cellStyle name="Migliaia 58 4 3 3" xfId="6556" xr:uid="{00000000-0005-0000-0000-000055120000}"/>
    <cellStyle name="Migliaia 58 4 4" xfId="5253" xr:uid="{00000000-0005-0000-0000-000056120000}"/>
    <cellStyle name="Migliaia 58 4 5" xfId="6165" xr:uid="{00000000-0005-0000-0000-000057120000}"/>
    <cellStyle name="Migliaia 58 5" xfId="917" xr:uid="{00000000-0005-0000-0000-000058120000}"/>
    <cellStyle name="Migliaia 58 5 2" xfId="5255" xr:uid="{00000000-0005-0000-0000-000059120000}"/>
    <cellStyle name="Migliaia 58 5 3" xfId="6167" xr:uid="{00000000-0005-0000-0000-00005A120000}"/>
    <cellStyle name="Migliaia 58 6" xfId="4852" xr:uid="{00000000-0005-0000-0000-00005B120000}"/>
    <cellStyle name="Migliaia 58 7" xfId="6160" xr:uid="{00000000-0005-0000-0000-00005C120000}"/>
    <cellStyle name="Migliaia 59" xfId="918" xr:uid="{00000000-0005-0000-0000-00005D120000}"/>
    <cellStyle name="Migliaia 59 2" xfId="919" xr:uid="{00000000-0005-0000-0000-00005E120000}"/>
    <cellStyle name="Migliaia 59 2 2" xfId="2576" xr:uid="{00000000-0005-0000-0000-00005F120000}"/>
    <cellStyle name="Migliaia 59 2 2 2" xfId="5636" xr:uid="{00000000-0005-0000-0000-000060120000}"/>
    <cellStyle name="Migliaia 59 2 2 3" xfId="6558" xr:uid="{00000000-0005-0000-0000-000061120000}"/>
    <cellStyle name="Migliaia 59 2 3" xfId="4917" xr:uid="{00000000-0005-0000-0000-000062120000}"/>
    <cellStyle name="Migliaia 59 2 4" xfId="6169" xr:uid="{00000000-0005-0000-0000-000063120000}"/>
    <cellStyle name="Migliaia 59 3" xfId="920" xr:uid="{00000000-0005-0000-0000-000064120000}"/>
    <cellStyle name="Migliaia 59 3 2" xfId="921" xr:uid="{00000000-0005-0000-0000-000065120000}"/>
    <cellStyle name="Migliaia 59 3 2 2" xfId="5257" xr:uid="{00000000-0005-0000-0000-000066120000}"/>
    <cellStyle name="Migliaia 59 3 2 3" xfId="6171" xr:uid="{00000000-0005-0000-0000-000067120000}"/>
    <cellStyle name="Migliaia 59 3 3" xfId="922" xr:uid="{00000000-0005-0000-0000-000068120000}"/>
    <cellStyle name="Migliaia 59 3 3 2" xfId="2578" xr:uid="{00000000-0005-0000-0000-000069120000}"/>
    <cellStyle name="Migliaia 59 3 3 2 2" xfId="5638" xr:uid="{00000000-0005-0000-0000-00006A120000}"/>
    <cellStyle name="Migliaia 59 3 3 2 3" xfId="6560" xr:uid="{00000000-0005-0000-0000-00006B120000}"/>
    <cellStyle name="Migliaia 59 3 3 3" xfId="5258" xr:uid="{00000000-0005-0000-0000-00006C120000}"/>
    <cellStyle name="Migliaia 59 3 3 4" xfId="6172" xr:uid="{00000000-0005-0000-0000-00006D120000}"/>
    <cellStyle name="Migliaia 59 3 4" xfId="2577" xr:uid="{00000000-0005-0000-0000-00006E120000}"/>
    <cellStyle name="Migliaia 59 3 4 2" xfId="5637" xr:uid="{00000000-0005-0000-0000-00006F120000}"/>
    <cellStyle name="Migliaia 59 3 4 3" xfId="6559" xr:uid="{00000000-0005-0000-0000-000070120000}"/>
    <cellStyle name="Migliaia 59 3 5" xfId="5256" xr:uid="{00000000-0005-0000-0000-000071120000}"/>
    <cellStyle name="Migliaia 59 3 6" xfId="6170" xr:uid="{00000000-0005-0000-0000-000072120000}"/>
    <cellStyle name="Migliaia 59 4" xfId="923" xr:uid="{00000000-0005-0000-0000-000073120000}"/>
    <cellStyle name="Migliaia 59 4 2" xfId="924" xr:uid="{00000000-0005-0000-0000-000074120000}"/>
    <cellStyle name="Migliaia 59 4 2 2" xfId="2580" xr:uid="{00000000-0005-0000-0000-000075120000}"/>
    <cellStyle name="Migliaia 59 4 2 2 2" xfId="5640" xr:uid="{00000000-0005-0000-0000-000076120000}"/>
    <cellStyle name="Migliaia 59 4 2 2 3" xfId="6562" xr:uid="{00000000-0005-0000-0000-000077120000}"/>
    <cellStyle name="Migliaia 59 4 2 3" xfId="5260" xr:uid="{00000000-0005-0000-0000-000078120000}"/>
    <cellStyle name="Migliaia 59 4 2 4" xfId="6174" xr:uid="{00000000-0005-0000-0000-000079120000}"/>
    <cellStyle name="Migliaia 59 4 3" xfId="2579" xr:uid="{00000000-0005-0000-0000-00007A120000}"/>
    <cellStyle name="Migliaia 59 4 3 2" xfId="5639" xr:uid="{00000000-0005-0000-0000-00007B120000}"/>
    <cellStyle name="Migliaia 59 4 3 3" xfId="6561" xr:uid="{00000000-0005-0000-0000-00007C120000}"/>
    <cellStyle name="Migliaia 59 4 4" xfId="5259" xr:uid="{00000000-0005-0000-0000-00007D120000}"/>
    <cellStyle name="Migliaia 59 4 5" xfId="6173" xr:uid="{00000000-0005-0000-0000-00007E120000}"/>
    <cellStyle name="Migliaia 59 5" xfId="925" xr:uid="{00000000-0005-0000-0000-00007F120000}"/>
    <cellStyle name="Migliaia 59 5 2" xfId="5261" xr:uid="{00000000-0005-0000-0000-000080120000}"/>
    <cellStyle name="Migliaia 59 5 3" xfId="6175" xr:uid="{00000000-0005-0000-0000-000081120000}"/>
    <cellStyle name="Migliaia 59 6" xfId="4853" xr:uid="{00000000-0005-0000-0000-000082120000}"/>
    <cellStyle name="Migliaia 59 7" xfId="6168" xr:uid="{00000000-0005-0000-0000-000083120000}"/>
    <cellStyle name="Migliaia 6" xfId="926" xr:uid="{00000000-0005-0000-0000-000084120000}"/>
    <cellStyle name="Migliaia 6 2" xfId="927" xr:uid="{00000000-0005-0000-0000-000085120000}"/>
    <cellStyle name="Migliaia 6 2 2" xfId="2581" xr:uid="{00000000-0005-0000-0000-000086120000}"/>
    <cellStyle name="Migliaia 6 2 2 2" xfId="5641" xr:uid="{00000000-0005-0000-0000-000087120000}"/>
    <cellStyle name="Migliaia 6 2 2 3" xfId="6563" xr:uid="{00000000-0005-0000-0000-000088120000}"/>
    <cellStyle name="Migliaia 6 2 3" xfId="4918" xr:uid="{00000000-0005-0000-0000-000089120000}"/>
    <cellStyle name="Migliaia 6 2 4" xfId="6177" xr:uid="{00000000-0005-0000-0000-00008A120000}"/>
    <cellStyle name="Migliaia 6 3" xfId="928" xr:uid="{00000000-0005-0000-0000-00008B120000}"/>
    <cellStyle name="Migliaia 6 3 2" xfId="929" xr:uid="{00000000-0005-0000-0000-00008C120000}"/>
    <cellStyle name="Migliaia 6 3 2 2" xfId="5263" xr:uid="{00000000-0005-0000-0000-00008D120000}"/>
    <cellStyle name="Migliaia 6 3 2 3" xfId="6179" xr:uid="{00000000-0005-0000-0000-00008E120000}"/>
    <cellStyle name="Migliaia 6 3 3" xfId="930" xr:uid="{00000000-0005-0000-0000-00008F120000}"/>
    <cellStyle name="Migliaia 6 3 3 2" xfId="2583" xr:uid="{00000000-0005-0000-0000-000090120000}"/>
    <cellStyle name="Migliaia 6 3 3 2 2" xfId="5643" xr:uid="{00000000-0005-0000-0000-000091120000}"/>
    <cellStyle name="Migliaia 6 3 3 2 3" xfId="6565" xr:uid="{00000000-0005-0000-0000-000092120000}"/>
    <cellStyle name="Migliaia 6 3 3 3" xfId="5264" xr:uid="{00000000-0005-0000-0000-000093120000}"/>
    <cellStyle name="Migliaia 6 3 3 4" xfId="6180" xr:uid="{00000000-0005-0000-0000-000094120000}"/>
    <cellStyle name="Migliaia 6 3 4" xfId="2582" xr:uid="{00000000-0005-0000-0000-000095120000}"/>
    <cellStyle name="Migliaia 6 3 4 2" xfId="5642" xr:uid="{00000000-0005-0000-0000-000096120000}"/>
    <cellStyle name="Migliaia 6 3 4 3" xfId="6564" xr:uid="{00000000-0005-0000-0000-000097120000}"/>
    <cellStyle name="Migliaia 6 3 5" xfId="5262" xr:uid="{00000000-0005-0000-0000-000098120000}"/>
    <cellStyle name="Migliaia 6 3 6" xfId="6178" xr:uid="{00000000-0005-0000-0000-000099120000}"/>
    <cellStyle name="Migliaia 6 4" xfId="931" xr:uid="{00000000-0005-0000-0000-00009A120000}"/>
    <cellStyle name="Migliaia 6 4 2" xfId="932" xr:uid="{00000000-0005-0000-0000-00009B120000}"/>
    <cellStyle name="Migliaia 6 4 2 2" xfId="2585" xr:uid="{00000000-0005-0000-0000-00009C120000}"/>
    <cellStyle name="Migliaia 6 4 2 2 2" xfId="5645" xr:uid="{00000000-0005-0000-0000-00009D120000}"/>
    <cellStyle name="Migliaia 6 4 2 2 3" xfId="6567" xr:uid="{00000000-0005-0000-0000-00009E120000}"/>
    <cellStyle name="Migliaia 6 4 2 3" xfId="5266" xr:uid="{00000000-0005-0000-0000-00009F120000}"/>
    <cellStyle name="Migliaia 6 4 2 4" xfId="6182" xr:uid="{00000000-0005-0000-0000-0000A0120000}"/>
    <cellStyle name="Migliaia 6 4 3" xfId="2584" xr:uid="{00000000-0005-0000-0000-0000A1120000}"/>
    <cellStyle name="Migliaia 6 4 3 2" xfId="5644" xr:uid="{00000000-0005-0000-0000-0000A2120000}"/>
    <cellStyle name="Migliaia 6 4 3 3" xfId="6566" xr:uid="{00000000-0005-0000-0000-0000A3120000}"/>
    <cellStyle name="Migliaia 6 4 4" xfId="5265" xr:uid="{00000000-0005-0000-0000-0000A4120000}"/>
    <cellStyle name="Migliaia 6 4 5" xfId="6181" xr:uid="{00000000-0005-0000-0000-0000A5120000}"/>
    <cellStyle name="Migliaia 6 5" xfId="933" xr:uid="{00000000-0005-0000-0000-0000A6120000}"/>
    <cellStyle name="Migliaia 6 5 2" xfId="5267" xr:uid="{00000000-0005-0000-0000-0000A7120000}"/>
    <cellStyle name="Migliaia 6 5 3" xfId="6183" xr:uid="{00000000-0005-0000-0000-0000A8120000}"/>
    <cellStyle name="Migliaia 6 6" xfId="4854" xr:uid="{00000000-0005-0000-0000-0000A9120000}"/>
    <cellStyle name="Migliaia 6 7" xfId="6176" xr:uid="{00000000-0005-0000-0000-0000AA120000}"/>
    <cellStyle name="Migliaia 60" xfId="934" xr:uid="{00000000-0005-0000-0000-0000AB120000}"/>
    <cellStyle name="Migliaia 60 2" xfId="935" xr:uid="{00000000-0005-0000-0000-0000AC120000}"/>
    <cellStyle name="Migliaia 60 2 2" xfId="2586" xr:uid="{00000000-0005-0000-0000-0000AD120000}"/>
    <cellStyle name="Migliaia 60 2 2 2" xfId="5646" xr:uid="{00000000-0005-0000-0000-0000AE120000}"/>
    <cellStyle name="Migliaia 60 2 2 3" xfId="6568" xr:uid="{00000000-0005-0000-0000-0000AF120000}"/>
    <cellStyle name="Migliaia 60 2 3" xfId="4919" xr:uid="{00000000-0005-0000-0000-0000B0120000}"/>
    <cellStyle name="Migliaia 60 2 4" xfId="6185" xr:uid="{00000000-0005-0000-0000-0000B1120000}"/>
    <cellStyle name="Migliaia 60 3" xfId="936" xr:uid="{00000000-0005-0000-0000-0000B2120000}"/>
    <cellStyle name="Migliaia 60 3 2" xfId="937" xr:uid="{00000000-0005-0000-0000-0000B3120000}"/>
    <cellStyle name="Migliaia 60 3 2 2" xfId="5269" xr:uid="{00000000-0005-0000-0000-0000B4120000}"/>
    <cellStyle name="Migliaia 60 3 2 3" xfId="6187" xr:uid="{00000000-0005-0000-0000-0000B5120000}"/>
    <cellStyle name="Migliaia 60 3 3" xfId="938" xr:uid="{00000000-0005-0000-0000-0000B6120000}"/>
    <cellStyle name="Migliaia 60 3 3 2" xfId="2588" xr:uid="{00000000-0005-0000-0000-0000B7120000}"/>
    <cellStyle name="Migliaia 60 3 3 2 2" xfId="5648" xr:uid="{00000000-0005-0000-0000-0000B8120000}"/>
    <cellStyle name="Migliaia 60 3 3 2 3" xfId="6570" xr:uid="{00000000-0005-0000-0000-0000B9120000}"/>
    <cellStyle name="Migliaia 60 3 3 3" xfId="5270" xr:uid="{00000000-0005-0000-0000-0000BA120000}"/>
    <cellStyle name="Migliaia 60 3 3 4" xfId="6188" xr:uid="{00000000-0005-0000-0000-0000BB120000}"/>
    <cellStyle name="Migliaia 60 3 4" xfId="2587" xr:uid="{00000000-0005-0000-0000-0000BC120000}"/>
    <cellStyle name="Migliaia 60 3 4 2" xfId="5647" xr:uid="{00000000-0005-0000-0000-0000BD120000}"/>
    <cellStyle name="Migliaia 60 3 4 3" xfId="6569" xr:uid="{00000000-0005-0000-0000-0000BE120000}"/>
    <cellStyle name="Migliaia 60 3 5" xfId="5268" xr:uid="{00000000-0005-0000-0000-0000BF120000}"/>
    <cellStyle name="Migliaia 60 3 6" xfId="6186" xr:uid="{00000000-0005-0000-0000-0000C0120000}"/>
    <cellStyle name="Migliaia 60 4" xfId="939" xr:uid="{00000000-0005-0000-0000-0000C1120000}"/>
    <cellStyle name="Migliaia 60 4 2" xfId="940" xr:uid="{00000000-0005-0000-0000-0000C2120000}"/>
    <cellStyle name="Migliaia 60 4 2 2" xfId="2590" xr:uid="{00000000-0005-0000-0000-0000C3120000}"/>
    <cellStyle name="Migliaia 60 4 2 2 2" xfId="5650" xr:uid="{00000000-0005-0000-0000-0000C4120000}"/>
    <cellStyle name="Migliaia 60 4 2 2 3" xfId="6572" xr:uid="{00000000-0005-0000-0000-0000C5120000}"/>
    <cellStyle name="Migliaia 60 4 2 3" xfId="5272" xr:uid="{00000000-0005-0000-0000-0000C6120000}"/>
    <cellStyle name="Migliaia 60 4 2 4" xfId="6190" xr:uid="{00000000-0005-0000-0000-0000C7120000}"/>
    <cellStyle name="Migliaia 60 4 3" xfId="2589" xr:uid="{00000000-0005-0000-0000-0000C8120000}"/>
    <cellStyle name="Migliaia 60 4 3 2" xfId="5649" xr:uid="{00000000-0005-0000-0000-0000C9120000}"/>
    <cellStyle name="Migliaia 60 4 3 3" xfId="6571" xr:uid="{00000000-0005-0000-0000-0000CA120000}"/>
    <cellStyle name="Migliaia 60 4 4" xfId="5271" xr:uid="{00000000-0005-0000-0000-0000CB120000}"/>
    <cellStyle name="Migliaia 60 4 5" xfId="6189" xr:uid="{00000000-0005-0000-0000-0000CC120000}"/>
    <cellStyle name="Migliaia 60 5" xfId="941" xr:uid="{00000000-0005-0000-0000-0000CD120000}"/>
    <cellStyle name="Migliaia 60 5 2" xfId="5273" xr:uid="{00000000-0005-0000-0000-0000CE120000}"/>
    <cellStyle name="Migliaia 60 5 3" xfId="6191" xr:uid="{00000000-0005-0000-0000-0000CF120000}"/>
    <cellStyle name="Migliaia 60 6" xfId="4855" xr:uid="{00000000-0005-0000-0000-0000D0120000}"/>
    <cellStyle name="Migliaia 60 7" xfId="6184" xr:uid="{00000000-0005-0000-0000-0000D1120000}"/>
    <cellStyle name="Migliaia 61" xfId="942" xr:uid="{00000000-0005-0000-0000-0000D2120000}"/>
    <cellStyle name="Migliaia 61 2" xfId="943" xr:uid="{00000000-0005-0000-0000-0000D3120000}"/>
    <cellStyle name="Migliaia 61 2 2" xfId="2591" xr:uid="{00000000-0005-0000-0000-0000D4120000}"/>
    <cellStyle name="Migliaia 61 2 2 2" xfId="5651" xr:uid="{00000000-0005-0000-0000-0000D5120000}"/>
    <cellStyle name="Migliaia 61 2 2 3" xfId="6573" xr:uid="{00000000-0005-0000-0000-0000D6120000}"/>
    <cellStyle name="Migliaia 61 2 3" xfId="4920" xr:uid="{00000000-0005-0000-0000-0000D7120000}"/>
    <cellStyle name="Migliaia 61 2 4" xfId="6193" xr:uid="{00000000-0005-0000-0000-0000D8120000}"/>
    <cellStyle name="Migliaia 61 3" xfId="944" xr:uid="{00000000-0005-0000-0000-0000D9120000}"/>
    <cellStyle name="Migliaia 61 3 2" xfId="945" xr:uid="{00000000-0005-0000-0000-0000DA120000}"/>
    <cellStyle name="Migliaia 61 3 2 2" xfId="5275" xr:uid="{00000000-0005-0000-0000-0000DB120000}"/>
    <cellStyle name="Migliaia 61 3 2 3" xfId="6195" xr:uid="{00000000-0005-0000-0000-0000DC120000}"/>
    <cellStyle name="Migliaia 61 3 3" xfId="946" xr:uid="{00000000-0005-0000-0000-0000DD120000}"/>
    <cellStyle name="Migliaia 61 3 3 2" xfId="2593" xr:uid="{00000000-0005-0000-0000-0000DE120000}"/>
    <cellStyle name="Migliaia 61 3 3 2 2" xfId="5653" xr:uid="{00000000-0005-0000-0000-0000DF120000}"/>
    <cellStyle name="Migliaia 61 3 3 2 3" xfId="6575" xr:uid="{00000000-0005-0000-0000-0000E0120000}"/>
    <cellStyle name="Migliaia 61 3 3 3" xfId="5276" xr:uid="{00000000-0005-0000-0000-0000E1120000}"/>
    <cellStyle name="Migliaia 61 3 3 4" xfId="6196" xr:uid="{00000000-0005-0000-0000-0000E2120000}"/>
    <cellStyle name="Migliaia 61 3 4" xfId="2592" xr:uid="{00000000-0005-0000-0000-0000E3120000}"/>
    <cellStyle name="Migliaia 61 3 4 2" xfId="5652" xr:uid="{00000000-0005-0000-0000-0000E4120000}"/>
    <cellStyle name="Migliaia 61 3 4 3" xfId="6574" xr:uid="{00000000-0005-0000-0000-0000E5120000}"/>
    <cellStyle name="Migliaia 61 3 5" xfId="5274" xr:uid="{00000000-0005-0000-0000-0000E6120000}"/>
    <cellStyle name="Migliaia 61 3 6" xfId="6194" xr:uid="{00000000-0005-0000-0000-0000E7120000}"/>
    <cellStyle name="Migliaia 61 4" xfId="947" xr:uid="{00000000-0005-0000-0000-0000E8120000}"/>
    <cellStyle name="Migliaia 61 4 2" xfId="948" xr:uid="{00000000-0005-0000-0000-0000E9120000}"/>
    <cellStyle name="Migliaia 61 4 2 2" xfId="2595" xr:uid="{00000000-0005-0000-0000-0000EA120000}"/>
    <cellStyle name="Migliaia 61 4 2 2 2" xfId="5655" xr:uid="{00000000-0005-0000-0000-0000EB120000}"/>
    <cellStyle name="Migliaia 61 4 2 2 3" xfId="6577" xr:uid="{00000000-0005-0000-0000-0000EC120000}"/>
    <cellStyle name="Migliaia 61 4 2 3" xfId="5278" xr:uid="{00000000-0005-0000-0000-0000ED120000}"/>
    <cellStyle name="Migliaia 61 4 2 4" xfId="6198" xr:uid="{00000000-0005-0000-0000-0000EE120000}"/>
    <cellStyle name="Migliaia 61 4 3" xfId="2594" xr:uid="{00000000-0005-0000-0000-0000EF120000}"/>
    <cellStyle name="Migliaia 61 4 3 2" xfId="5654" xr:uid="{00000000-0005-0000-0000-0000F0120000}"/>
    <cellStyle name="Migliaia 61 4 3 3" xfId="6576" xr:uid="{00000000-0005-0000-0000-0000F1120000}"/>
    <cellStyle name="Migliaia 61 4 4" xfId="5277" xr:uid="{00000000-0005-0000-0000-0000F2120000}"/>
    <cellStyle name="Migliaia 61 4 5" xfId="6197" xr:uid="{00000000-0005-0000-0000-0000F3120000}"/>
    <cellStyle name="Migliaia 61 5" xfId="949" xr:uid="{00000000-0005-0000-0000-0000F4120000}"/>
    <cellStyle name="Migliaia 61 5 2" xfId="5279" xr:uid="{00000000-0005-0000-0000-0000F5120000}"/>
    <cellStyle name="Migliaia 61 5 3" xfId="6199" xr:uid="{00000000-0005-0000-0000-0000F6120000}"/>
    <cellStyle name="Migliaia 61 6" xfId="4856" xr:uid="{00000000-0005-0000-0000-0000F7120000}"/>
    <cellStyle name="Migliaia 61 7" xfId="6192" xr:uid="{00000000-0005-0000-0000-0000F8120000}"/>
    <cellStyle name="Migliaia 7" xfId="950" xr:uid="{00000000-0005-0000-0000-0000F9120000}"/>
    <cellStyle name="Migliaia 7 2" xfId="951" xr:uid="{00000000-0005-0000-0000-0000FA120000}"/>
    <cellStyle name="Migliaia 7 2 2" xfId="2596" xr:uid="{00000000-0005-0000-0000-0000FB120000}"/>
    <cellStyle name="Migliaia 7 2 2 2" xfId="5656" xr:uid="{00000000-0005-0000-0000-0000FC120000}"/>
    <cellStyle name="Migliaia 7 2 2 3" xfId="6578" xr:uid="{00000000-0005-0000-0000-0000FD120000}"/>
    <cellStyle name="Migliaia 7 2 3" xfId="4921" xr:uid="{00000000-0005-0000-0000-0000FE120000}"/>
    <cellStyle name="Migliaia 7 2 4" xfId="6201" xr:uid="{00000000-0005-0000-0000-0000FF120000}"/>
    <cellStyle name="Migliaia 7 3" xfId="952" xr:uid="{00000000-0005-0000-0000-000000130000}"/>
    <cellStyle name="Migliaia 7 3 2" xfId="953" xr:uid="{00000000-0005-0000-0000-000001130000}"/>
    <cellStyle name="Migliaia 7 3 2 2" xfId="5281" xr:uid="{00000000-0005-0000-0000-000002130000}"/>
    <cellStyle name="Migliaia 7 3 2 3" xfId="6203" xr:uid="{00000000-0005-0000-0000-000003130000}"/>
    <cellStyle name="Migliaia 7 3 3" xfId="954" xr:uid="{00000000-0005-0000-0000-000004130000}"/>
    <cellStyle name="Migliaia 7 3 3 2" xfId="2598" xr:uid="{00000000-0005-0000-0000-000005130000}"/>
    <cellStyle name="Migliaia 7 3 3 2 2" xfId="5658" xr:uid="{00000000-0005-0000-0000-000006130000}"/>
    <cellStyle name="Migliaia 7 3 3 2 3" xfId="6580" xr:uid="{00000000-0005-0000-0000-000007130000}"/>
    <cellStyle name="Migliaia 7 3 3 3" xfId="5282" xr:uid="{00000000-0005-0000-0000-000008130000}"/>
    <cellStyle name="Migliaia 7 3 3 4" xfId="6204" xr:uid="{00000000-0005-0000-0000-000009130000}"/>
    <cellStyle name="Migliaia 7 3 4" xfId="2597" xr:uid="{00000000-0005-0000-0000-00000A130000}"/>
    <cellStyle name="Migliaia 7 3 4 2" xfId="5657" xr:uid="{00000000-0005-0000-0000-00000B130000}"/>
    <cellStyle name="Migliaia 7 3 4 3" xfId="6579" xr:uid="{00000000-0005-0000-0000-00000C130000}"/>
    <cellStyle name="Migliaia 7 3 5" xfId="5280" xr:uid="{00000000-0005-0000-0000-00000D130000}"/>
    <cellStyle name="Migliaia 7 3 6" xfId="6202" xr:uid="{00000000-0005-0000-0000-00000E130000}"/>
    <cellStyle name="Migliaia 7 4" xfId="955" xr:uid="{00000000-0005-0000-0000-00000F130000}"/>
    <cellStyle name="Migliaia 7 4 2" xfId="956" xr:uid="{00000000-0005-0000-0000-000010130000}"/>
    <cellStyle name="Migliaia 7 4 2 2" xfId="2600" xr:uid="{00000000-0005-0000-0000-000011130000}"/>
    <cellStyle name="Migliaia 7 4 2 2 2" xfId="5660" xr:uid="{00000000-0005-0000-0000-000012130000}"/>
    <cellStyle name="Migliaia 7 4 2 2 3" xfId="6582" xr:uid="{00000000-0005-0000-0000-000013130000}"/>
    <cellStyle name="Migliaia 7 4 2 3" xfId="5284" xr:uid="{00000000-0005-0000-0000-000014130000}"/>
    <cellStyle name="Migliaia 7 4 2 4" xfId="6206" xr:uid="{00000000-0005-0000-0000-000015130000}"/>
    <cellStyle name="Migliaia 7 4 3" xfId="2599" xr:uid="{00000000-0005-0000-0000-000016130000}"/>
    <cellStyle name="Migliaia 7 4 3 2" xfId="5659" xr:uid="{00000000-0005-0000-0000-000017130000}"/>
    <cellStyle name="Migliaia 7 4 3 3" xfId="6581" xr:uid="{00000000-0005-0000-0000-000018130000}"/>
    <cellStyle name="Migliaia 7 4 4" xfId="5283" xr:uid="{00000000-0005-0000-0000-000019130000}"/>
    <cellStyle name="Migliaia 7 4 5" xfId="6205" xr:uid="{00000000-0005-0000-0000-00001A130000}"/>
    <cellStyle name="Migliaia 7 5" xfId="957" xr:uid="{00000000-0005-0000-0000-00001B130000}"/>
    <cellStyle name="Migliaia 7 5 2" xfId="5285" xr:uid="{00000000-0005-0000-0000-00001C130000}"/>
    <cellStyle name="Migliaia 7 5 3" xfId="6207" xr:uid="{00000000-0005-0000-0000-00001D130000}"/>
    <cellStyle name="Migliaia 7 6" xfId="4857" xr:uid="{00000000-0005-0000-0000-00001E130000}"/>
    <cellStyle name="Migliaia 7 7" xfId="6200" xr:uid="{00000000-0005-0000-0000-00001F130000}"/>
    <cellStyle name="Migliaia 8" xfId="958" xr:uid="{00000000-0005-0000-0000-000020130000}"/>
    <cellStyle name="Migliaia 8 2" xfId="959" xr:uid="{00000000-0005-0000-0000-000021130000}"/>
    <cellStyle name="Migliaia 8 2 2" xfId="2601" xr:uid="{00000000-0005-0000-0000-000022130000}"/>
    <cellStyle name="Migliaia 8 2 2 2" xfId="5661" xr:uid="{00000000-0005-0000-0000-000023130000}"/>
    <cellStyle name="Migliaia 8 2 2 3" xfId="6583" xr:uid="{00000000-0005-0000-0000-000024130000}"/>
    <cellStyle name="Migliaia 8 2 3" xfId="4922" xr:uid="{00000000-0005-0000-0000-000025130000}"/>
    <cellStyle name="Migliaia 8 2 4" xfId="6209" xr:uid="{00000000-0005-0000-0000-000026130000}"/>
    <cellStyle name="Migliaia 8 3" xfId="960" xr:uid="{00000000-0005-0000-0000-000027130000}"/>
    <cellStyle name="Migliaia 8 3 2" xfId="961" xr:uid="{00000000-0005-0000-0000-000028130000}"/>
    <cellStyle name="Migliaia 8 3 2 2" xfId="5287" xr:uid="{00000000-0005-0000-0000-000029130000}"/>
    <cellStyle name="Migliaia 8 3 2 3" xfId="6211" xr:uid="{00000000-0005-0000-0000-00002A130000}"/>
    <cellStyle name="Migliaia 8 3 3" xfId="962" xr:uid="{00000000-0005-0000-0000-00002B130000}"/>
    <cellStyle name="Migliaia 8 3 3 2" xfId="2603" xr:uid="{00000000-0005-0000-0000-00002C130000}"/>
    <cellStyle name="Migliaia 8 3 3 2 2" xfId="5663" xr:uid="{00000000-0005-0000-0000-00002D130000}"/>
    <cellStyle name="Migliaia 8 3 3 2 3" xfId="6585" xr:uid="{00000000-0005-0000-0000-00002E130000}"/>
    <cellStyle name="Migliaia 8 3 3 3" xfId="5288" xr:uid="{00000000-0005-0000-0000-00002F130000}"/>
    <cellStyle name="Migliaia 8 3 3 4" xfId="6212" xr:uid="{00000000-0005-0000-0000-000030130000}"/>
    <cellStyle name="Migliaia 8 3 4" xfId="2602" xr:uid="{00000000-0005-0000-0000-000031130000}"/>
    <cellStyle name="Migliaia 8 3 4 2" xfId="5662" xr:uid="{00000000-0005-0000-0000-000032130000}"/>
    <cellStyle name="Migliaia 8 3 4 3" xfId="6584" xr:uid="{00000000-0005-0000-0000-000033130000}"/>
    <cellStyle name="Migliaia 8 3 5" xfId="5286" xr:uid="{00000000-0005-0000-0000-000034130000}"/>
    <cellStyle name="Migliaia 8 3 6" xfId="6210" xr:uid="{00000000-0005-0000-0000-000035130000}"/>
    <cellStyle name="Migliaia 8 4" xfId="963" xr:uid="{00000000-0005-0000-0000-000036130000}"/>
    <cellStyle name="Migliaia 8 4 2" xfId="964" xr:uid="{00000000-0005-0000-0000-000037130000}"/>
    <cellStyle name="Migliaia 8 4 2 2" xfId="2605" xr:uid="{00000000-0005-0000-0000-000038130000}"/>
    <cellStyle name="Migliaia 8 4 2 2 2" xfId="5665" xr:uid="{00000000-0005-0000-0000-000039130000}"/>
    <cellStyle name="Migliaia 8 4 2 2 3" xfId="6587" xr:uid="{00000000-0005-0000-0000-00003A130000}"/>
    <cellStyle name="Migliaia 8 4 2 3" xfId="5290" xr:uid="{00000000-0005-0000-0000-00003B130000}"/>
    <cellStyle name="Migliaia 8 4 2 4" xfId="6214" xr:uid="{00000000-0005-0000-0000-00003C130000}"/>
    <cellStyle name="Migliaia 8 4 3" xfId="2604" xr:uid="{00000000-0005-0000-0000-00003D130000}"/>
    <cellStyle name="Migliaia 8 4 3 2" xfId="5664" xr:uid="{00000000-0005-0000-0000-00003E130000}"/>
    <cellStyle name="Migliaia 8 4 3 3" xfId="6586" xr:uid="{00000000-0005-0000-0000-00003F130000}"/>
    <cellStyle name="Migliaia 8 4 4" xfId="5289" xr:uid="{00000000-0005-0000-0000-000040130000}"/>
    <cellStyle name="Migliaia 8 4 5" xfId="6213" xr:uid="{00000000-0005-0000-0000-000041130000}"/>
    <cellStyle name="Migliaia 8 5" xfId="965" xr:uid="{00000000-0005-0000-0000-000042130000}"/>
    <cellStyle name="Migliaia 8 5 2" xfId="5291" xr:uid="{00000000-0005-0000-0000-000043130000}"/>
    <cellStyle name="Migliaia 8 5 3" xfId="6215" xr:uid="{00000000-0005-0000-0000-000044130000}"/>
    <cellStyle name="Migliaia 8 6" xfId="4858" xr:uid="{00000000-0005-0000-0000-000045130000}"/>
    <cellStyle name="Migliaia 8 7" xfId="6208" xr:uid="{00000000-0005-0000-0000-000046130000}"/>
    <cellStyle name="Migliaia 9" xfId="966" xr:uid="{00000000-0005-0000-0000-000047130000}"/>
    <cellStyle name="Migliaia 9 2" xfId="967" xr:uid="{00000000-0005-0000-0000-000048130000}"/>
    <cellStyle name="Migliaia 9 2 2" xfId="2606" xr:uid="{00000000-0005-0000-0000-000049130000}"/>
    <cellStyle name="Migliaia 9 2 2 2" xfId="5666" xr:uid="{00000000-0005-0000-0000-00004A130000}"/>
    <cellStyle name="Migliaia 9 2 2 3" xfId="6588" xr:uid="{00000000-0005-0000-0000-00004B130000}"/>
    <cellStyle name="Migliaia 9 2 3" xfId="4923" xr:uid="{00000000-0005-0000-0000-00004C130000}"/>
    <cellStyle name="Migliaia 9 2 4" xfId="6217" xr:uid="{00000000-0005-0000-0000-00004D130000}"/>
    <cellStyle name="Migliaia 9 3" xfId="968" xr:uid="{00000000-0005-0000-0000-00004E130000}"/>
    <cellStyle name="Migliaia 9 3 2" xfId="969" xr:uid="{00000000-0005-0000-0000-00004F130000}"/>
    <cellStyle name="Migliaia 9 3 2 2" xfId="5293" xr:uid="{00000000-0005-0000-0000-000050130000}"/>
    <cellStyle name="Migliaia 9 3 2 3" xfId="6219" xr:uid="{00000000-0005-0000-0000-000051130000}"/>
    <cellStyle name="Migliaia 9 3 3" xfId="970" xr:uid="{00000000-0005-0000-0000-000052130000}"/>
    <cellStyle name="Migliaia 9 3 3 2" xfId="2608" xr:uid="{00000000-0005-0000-0000-000053130000}"/>
    <cellStyle name="Migliaia 9 3 3 2 2" xfId="5668" xr:uid="{00000000-0005-0000-0000-000054130000}"/>
    <cellStyle name="Migliaia 9 3 3 2 3" xfId="6590" xr:uid="{00000000-0005-0000-0000-000055130000}"/>
    <cellStyle name="Migliaia 9 3 3 3" xfId="5294" xr:uid="{00000000-0005-0000-0000-000056130000}"/>
    <cellStyle name="Migliaia 9 3 3 4" xfId="6220" xr:uid="{00000000-0005-0000-0000-000057130000}"/>
    <cellStyle name="Migliaia 9 3 4" xfId="2607" xr:uid="{00000000-0005-0000-0000-000058130000}"/>
    <cellStyle name="Migliaia 9 3 4 2" xfId="5667" xr:uid="{00000000-0005-0000-0000-000059130000}"/>
    <cellStyle name="Migliaia 9 3 4 3" xfId="6589" xr:uid="{00000000-0005-0000-0000-00005A130000}"/>
    <cellStyle name="Migliaia 9 3 5" xfId="5292" xr:uid="{00000000-0005-0000-0000-00005B130000}"/>
    <cellStyle name="Migliaia 9 3 6" xfId="6218" xr:uid="{00000000-0005-0000-0000-00005C130000}"/>
    <cellStyle name="Migliaia 9 4" xfId="971" xr:uid="{00000000-0005-0000-0000-00005D130000}"/>
    <cellStyle name="Migliaia 9 4 2" xfId="972" xr:uid="{00000000-0005-0000-0000-00005E130000}"/>
    <cellStyle name="Migliaia 9 4 2 2" xfId="2610" xr:uid="{00000000-0005-0000-0000-00005F130000}"/>
    <cellStyle name="Migliaia 9 4 2 2 2" xfId="5670" xr:uid="{00000000-0005-0000-0000-000060130000}"/>
    <cellStyle name="Migliaia 9 4 2 2 3" xfId="6592" xr:uid="{00000000-0005-0000-0000-000061130000}"/>
    <cellStyle name="Migliaia 9 4 2 3" xfId="5296" xr:uid="{00000000-0005-0000-0000-000062130000}"/>
    <cellStyle name="Migliaia 9 4 2 4" xfId="6222" xr:uid="{00000000-0005-0000-0000-000063130000}"/>
    <cellStyle name="Migliaia 9 4 3" xfId="2609" xr:uid="{00000000-0005-0000-0000-000064130000}"/>
    <cellStyle name="Migliaia 9 4 3 2" xfId="5669" xr:uid="{00000000-0005-0000-0000-000065130000}"/>
    <cellStyle name="Migliaia 9 4 3 3" xfId="6591" xr:uid="{00000000-0005-0000-0000-000066130000}"/>
    <cellStyle name="Migliaia 9 4 4" xfId="5295" xr:uid="{00000000-0005-0000-0000-000067130000}"/>
    <cellStyle name="Migliaia 9 4 5" xfId="6221" xr:uid="{00000000-0005-0000-0000-000068130000}"/>
    <cellStyle name="Migliaia 9 5" xfId="973" xr:uid="{00000000-0005-0000-0000-000069130000}"/>
    <cellStyle name="Migliaia 9 5 2" xfId="5297" xr:uid="{00000000-0005-0000-0000-00006A130000}"/>
    <cellStyle name="Migliaia 9 5 3" xfId="6223" xr:uid="{00000000-0005-0000-0000-00006B130000}"/>
    <cellStyle name="Migliaia 9 6" xfId="4859" xr:uid="{00000000-0005-0000-0000-00006C130000}"/>
    <cellStyle name="Migliaia 9 7" xfId="6216" xr:uid="{00000000-0005-0000-0000-00006D130000}"/>
    <cellStyle name="Neutral" xfId="3332" builtinId="28" customBuiltin="1"/>
    <cellStyle name="Neutral 2" xfId="3446" xr:uid="{00000000-0005-0000-0000-00006F130000}"/>
    <cellStyle name="Neutrale" xfId="974" xr:uid="{00000000-0005-0000-0000-000070130000}"/>
    <cellStyle name="Normal" xfId="0" builtinId="0"/>
    <cellStyle name="Normal 10" xfId="975" xr:uid="{00000000-0005-0000-0000-000072130000}"/>
    <cellStyle name="Normal 10 2" xfId="2611" xr:uid="{00000000-0005-0000-0000-000073130000}"/>
    <cellStyle name="Normal 10 2 2" xfId="3679" xr:uid="{00000000-0005-0000-0000-000074130000}"/>
    <cellStyle name="Normal 10 2 2 2" xfId="4311" xr:uid="{00000000-0005-0000-0000-000075130000}"/>
    <cellStyle name="Normal 10 2 2 2 2" xfId="7479" xr:uid="{00000000-0005-0000-0000-000076130000}"/>
    <cellStyle name="Normal 10 2 2 2 2 2" xfId="10234" xr:uid="{00000000-0005-0000-0000-000077130000}"/>
    <cellStyle name="Normal 10 2 2 2 3" xfId="8872" xr:uid="{00000000-0005-0000-0000-000078130000}"/>
    <cellStyle name="Normal 10 2 2 3" xfId="6855" xr:uid="{00000000-0005-0000-0000-000079130000}"/>
    <cellStyle name="Normal 10 2 2 3 2" xfId="9610" xr:uid="{00000000-0005-0000-0000-00007A130000}"/>
    <cellStyle name="Normal 10 2 2 4" xfId="8248" xr:uid="{00000000-0005-0000-0000-00007B130000}"/>
    <cellStyle name="Normal 10 2 3" xfId="3680" xr:uid="{00000000-0005-0000-0000-00007C130000}"/>
    <cellStyle name="Normal 10 2 3 2" xfId="4312" xr:uid="{00000000-0005-0000-0000-00007D130000}"/>
    <cellStyle name="Normal 10 2 3 2 2" xfId="7480" xr:uid="{00000000-0005-0000-0000-00007E130000}"/>
    <cellStyle name="Normal 10 2 3 2 2 2" xfId="10235" xr:uid="{00000000-0005-0000-0000-00007F130000}"/>
    <cellStyle name="Normal 10 2 3 2 3" xfId="8873" xr:uid="{00000000-0005-0000-0000-000080130000}"/>
    <cellStyle name="Normal 10 2 3 3" xfId="6856" xr:uid="{00000000-0005-0000-0000-000081130000}"/>
    <cellStyle name="Normal 10 2 3 3 2" xfId="9611" xr:uid="{00000000-0005-0000-0000-000082130000}"/>
    <cellStyle name="Normal 10 2 3 4" xfId="8249" xr:uid="{00000000-0005-0000-0000-000083130000}"/>
    <cellStyle name="Normal 10 2 4" xfId="4310" xr:uid="{00000000-0005-0000-0000-000084130000}"/>
    <cellStyle name="Normal 10 2 4 2" xfId="7478" xr:uid="{00000000-0005-0000-0000-000085130000}"/>
    <cellStyle name="Normal 10 2 4 2 2" xfId="10233" xr:uid="{00000000-0005-0000-0000-000086130000}"/>
    <cellStyle name="Normal 10 2 4 3" xfId="8871" xr:uid="{00000000-0005-0000-0000-000087130000}"/>
    <cellStyle name="Normal 10 2 5" xfId="3678" xr:uid="{00000000-0005-0000-0000-000088130000}"/>
    <cellStyle name="Normal 10 2 5 2" xfId="6854" xr:uid="{00000000-0005-0000-0000-000089130000}"/>
    <cellStyle name="Normal 10 2 5 2 2" xfId="9609" xr:uid="{00000000-0005-0000-0000-00008A130000}"/>
    <cellStyle name="Normal 10 2 5 3" xfId="8247" xr:uid="{00000000-0005-0000-0000-00008B130000}"/>
    <cellStyle name="Normal 10 3" xfId="3317" xr:uid="{00000000-0005-0000-0000-00008C130000}"/>
    <cellStyle name="Normal 10 3 2" xfId="4313" xr:uid="{00000000-0005-0000-0000-00008D130000}"/>
    <cellStyle name="Normal 10 3 2 2" xfId="7481" xr:uid="{00000000-0005-0000-0000-00008E130000}"/>
    <cellStyle name="Normal 10 3 2 2 2" xfId="10236" xr:uid="{00000000-0005-0000-0000-00008F130000}"/>
    <cellStyle name="Normal 10 3 2 3" xfId="8874" xr:uid="{00000000-0005-0000-0000-000090130000}"/>
    <cellStyle name="Normal 10 3 3" xfId="3681" xr:uid="{00000000-0005-0000-0000-000091130000}"/>
    <cellStyle name="Normal 10 3 3 2" xfId="6857" xr:uid="{00000000-0005-0000-0000-000092130000}"/>
    <cellStyle name="Normal 10 3 3 2 2" xfId="9612" xr:uid="{00000000-0005-0000-0000-000093130000}"/>
    <cellStyle name="Normal 10 3 3 3" xfId="8250" xr:uid="{00000000-0005-0000-0000-000094130000}"/>
    <cellStyle name="Normal 10 4" xfId="3682" xr:uid="{00000000-0005-0000-0000-000095130000}"/>
    <cellStyle name="Normal 10 4 2" xfId="4314" xr:uid="{00000000-0005-0000-0000-000096130000}"/>
    <cellStyle name="Normal 10 4 2 2" xfId="7482" xr:uid="{00000000-0005-0000-0000-000097130000}"/>
    <cellStyle name="Normal 10 4 2 2 2" xfId="10237" xr:uid="{00000000-0005-0000-0000-000098130000}"/>
    <cellStyle name="Normal 10 4 2 3" xfId="8875" xr:uid="{00000000-0005-0000-0000-000099130000}"/>
    <cellStyle name="Normal 10 4 3" xfId="6858" xr:uid="{00000000-0005-0000-0000-00009A130000}"/>
    <cellStyle name="Normal 10 4 3 2" xfId="9613" xr:uid="{00000000-0005-0000-0000-00009B130000}"/>
    <cellStyle name="Normal 10 4 4" xfId="8251" xr:uid="{00000000-0005-0000-0000-00009C130000}"/>
    <cellStyle name="Normal 10 5" xfId="3683" xr:uid="{00000000-0005-0000-0000-00009D130000}"/>
    <cellStyle name="Normal 10 5 2" xfId="4315" xr:uid="{00000000-0005-0000-0000-00009E130000}"/>
    <cellStyle name="Normal 10 5 2 2" xfId="7483" xr:uid="{00000000-0005-0000-0000-00009F130000}"/>
    <cellStyle name="Normal 10 5 2 2 2" xfId="10238" xr:uid="{00000000-0005-0000-0000-0000A0130000}"/>
    <cellStyle name="Normal 10 5 2 3" xfId="8876" xr:uid="{00000000-0005-0000-0000-0000A1130000}"/>
    <cellStyle name="Normal 10 5 3" xfId="6859" xr:uid="{00000000-0005-0000-0000-0000A2130000}"/>
    <cellStyle name="Normal 10 5 3 2" xfId="9614" xr:uid="{00000000-0005-0000-0000-0000A3130000}"/>
    <cellStyle name="Normal 10 5 4" xfId="8252" xr:uid="{00000000-0005-0000-0000-0000A4130000}"/>
    <cellStyle name="Normal 10 6" xfId="4309" xr:uid="{00000000-0005-0000-0000-0000A5130000}"/>
    <cellStyle name="Normal 10 6 2" xfId="7477" xr:uid="{00000000-0005-0000-0000-0000A6130000}"/>
    <cellStyle name="Normal 10 6 2 2" xfId="10232" xr:uid="{00000000-0005-0000-0000-0000A7130000}"/>
    <cellStyle name="Normal 10 6 3" xfId="8870" xr:uid="{00000000-0005-0000-0000-0000A8130000}"/>
    <cellStyle name="Normal 10 7" xfId="3677" xr:uid="{00000000-0005-0000-0000-0000A9130000}"/>
    <cellStyle name="Normal 10 7 2" xfId="6853" xr:uid="{00000000-0005-0000-0000-0000AA130000}"/>
    <cellStyle name="Normal 10 7 2 2" xfId="9608" xr:uid="{00000000-0005-0000-0000-0000AB130000}"/>
    <cellStyle name="Normal 10 7 3" xfId="8246" xr:uid="{00000000-0005-0000-0000-0000AC130000}"/>
    <cellStyle name="Normal 11" xfId="2005" xr:uid="{00000000-0005-0000-0000-0000AD130000}"/>
    <cellStyle name="Normal 11 10" xfId="6229" xr:uid="{00000000-0005-0000-0000-0000AE130000}"/>
    <cellStyle name="Normal 11 10 2" xfId="9345" xr:uid="{00000000-0005-0000-0000-0000AF130000}"/>
    <cellStyle name="Normal 11 11" xfId="7954" xr:uid="{00000000-0005-0000-0000-0000B0130000}"/>
    <cellStyle name="Normal 11 2" xfId="3261" xr:uid="{00000000-0005-0000-0000-0000B1130000}"/>
    <cellStyle name="Normal 11 2 2" xfId="3310" xr:uid="{00000000-0005-0000-0000-0000B2130000}"/>
    <cellStyle name="Normal 11 2 2 2" xfId="4318" xr:uid="{00000000-0005-0000-0000-0000B3130000}"/>
    <cellStyle name="Normal 11 2 2 2 2" xfId="7486" xr:uid="{00000000-0005-0000-0000-0000B4130000}"/>
    <cellStyle name="Normal 11 2 2 2 2 2" xfId="10241" xr:uid="{00000000-0005-0000-0000-0000B5130000}"/>
    <cellStyle name="Normal 11 2 2 2 3" xfId="8879" xr:uid="{00000000-0005-0000-0000-0000B6130000}"/>
    <cellStyle name="Normal 11 2 2 3" xfId="3686" xr:uid="{00000000-0005-0000-0000-0000B7130000}"/>
    <cellStyle name="Normal 11 2 2 3 2" xfId="6862" xr:uid="{00000000-0005-0000-0000-0000B8130000}"/>
    <cellStyle name="Normal 11 2 2 3 2 2" xfId="9617" xr:uid="{00000000-0005-0000-0000-0000B9130000}"/>
    <cellStyle name="Normal 11 2 2 3 3" xfId="8255" xr:uid="{00000000-0005-0000-0000-0000BA130000}"/>
    <cellStyle name="Normal 11 2 2 4" xfId="6619" xr:uid="{00000000-0005-0000-0000-0000BB130000}"/>
    <cellStyle name="Normal 11 2 2 4 2" xfId="9383" xr:uid="{00000000-0005-0000-0000-0000BC130000}"/>
    <cellStyle name="Normal 11 2 2 5" xfId="8012" xr:uid="{00000000-0005-0000-0000-0000BD130000}"/>
    <cellStyle name="Normal 11 2 3" xfId="3687" xr:uid="{00000000-0005-0000-0000-0000BE130000}"/>
    <cellStyle name="Normal 11 2 3 2" xfId="4319" xr:uid="{00000000-0005-0000-0000-0000BF130000}"/>
    <cellStyle name="Normal 11 2 3 2 2" xfId="7487" xr:uid="{00000000-0005-0000-0000-0000C0130000}"/>
    <cellStyle name="Normal 11 2 3 2 2 2" xfId="10242" xr:uid="{00000000-0005-0000-0000-0000C1130000}"/>
    <cellStyle name="Normal 11 2 3 2 3" xfId="8880" xr:uid="{00000000-0005-0000-0000-0000C2130000}"/>
    <cellStyle name="Normal 11 2 3 3" xfId="6863" xr:uid="{00000000-0005-0000-0000-0000C3130000}"/>
    <cellStyle name="Normal 11 2 3 3 2" xfId="9618" xr:uid="{00000000-0005-0000-0000-0000C4130000}"/>
    <cellStyle name="Normal 11 2 3 4" xfId="8256" xr:uid="{00000000-0005-0000-0000-0000C5130000}"/>
    <cellStyle name="Normal 11 2 4" xfId="3688" xr:uid="{00000000-0005-0000-0000-0000C6130000}"/>
    <cellStyle name="Normal 11 2 4 2" xfId="4320" xr:uid="{00000000-0005-0000-0000-0000C7130000}"/>
    <cellStyle name="Normal 11 2 4 2 2" xfId="7488" xr:uid="{00000000-0005-0000-0000-0000C8130000}"/>
    <cellStyle name="Normal 11 2 4 2 2 2" xfId="10243" xr:uid="{00000000-0005-0000-0000-0000C9130000}"/>
    <cellStyle name="Normal 11 2 4 2 3" xfId="8881" xr:uid="{00000000-0005-0000-0000-0000CA130000}"/>
    <cellStyle name="Normal 11 2 4 3" xfId="6864" xr:uid="{00000000-0005-0000-0000-0000CB130000}"/>
    <cellStyle name="Normal 11 2 4 3 2" xfId="9619" xr:uid="{00000000-0005-0000-0000-0000CC130000}"/>
    <cellStyle name="Normal 11 2 4 4" xfId="8257" xr:uid="{00000000-0005-0000-0000-0000CD130000}"/>
    <cellStyle name="Normal 11 2 5" xfId="4317" xr:uid="{00000000-0005-0000-0000-0000CE130000}"/>
    <cellStyle name="Normal 11 2 5 2" xfId="7485" xr:uid="{00000000-0005-0000-0000-0000CF130000}"/>
    <cellStyle name="Normal 11 2 5 2 2" xfId="10240" xr:uid="{00000000-0005-0000-0000-0000D0130000}"/>
    <cellStyle name="Normal 11 2 5 3" xfId="8878" xr:uid="{00000000-0005-0000-0000-0000D1130000}"/>
    <cellStyle name="Normal 11 2 6" xfId="3685" xr:uid="{00000000-0005-0000-0000-0000D2130000}"/>
    <cellStyle name="Normal 11 2 6 2" xfId="6861" xr:uid="{00000000-0005-0000-0000-0000D3130000}"/>
    <cellStyle name="Normal 11 2 6 2 2" xfId="9616" xr:uid="{00000000-0005-0000-0000-0000D4130000}"/>
    <cellStyle name="Normal 11 2 6 3" xfId="8254" xr:uid="{00000000-0005-0000-0000-0000D5130000}"/>
    <cellStyle name="Normal 11 2 7" xfId="5676" xr:uid="{00000000-0005-0000-0000-0000D6130000}"/>
    <cellStyle name="Normal 11 2 7 2" xfId="9326" xr:uid="{00000000-0005-0000-0000-0000D7130000}"/>
    <cellStyle name="Normal 11 2 8" xfId="6598" xr:uid="{00000000-0005-0000-0000-0000D8130000}"/>
    <cellStyle name="Normal 11 2 8 2" xfId="9362" xr:uid="{00000000-0005-0000-0000-0000D9130000}"/>
    <cellStyle name="Normal 11 2 9" xfId="7992" xr:uid="{00000000-0005-0000-0000-0000DA130000}"/>
    <cellStyle name="Normal 11 3" xfId="3291" xr:uid="{00000000-0005-0000-0000-0000DB130000}"/>
    <cellStyle name="Normal 11 3 2" xfId="3690" xr:uid="{00000000-0005-0000-0000-0000DC130000}"/>
    <cellStyle name="Normal 11 3 2 2" xfId="4322" xr:uid="{00000000-0005-0000-0000-0000DD130000}"/>
    <cellStyle name="Normal 11 3 2 2 2" xfId="7490" xr:uid="{00000000-0005-0000-0000-0000DE130000}"/>
    <cellStyle name="Normal 11 3 2 2 2 2" xfId="10245" xr:uid="{00000000-0005-0000-0000-0000DF130000}"/>
    <cellStyle name="Normal 11 3 2 2 3" xfId="8883" xr:uid="{00000000-0005-0000-0000-0000E0130000}"/>
    <cellStyle name="Normal 11 3 2 3" xfId="6866" xr:uid="{00000000-0005-0000-0000-0000E1130000}"/>
    <cellStyle name="Normal 11 3 2 3 2" xfId="9621" xr:uid="{00000000-0005-0000-0000-0000E2130000}"/>
    <cellStyle name="Normal 11 3 2 4" xfId="8259" xr:uid="{00000000-0005-0000-0000-0000E3130000}"/>
    <cellStyle name="Normal 11 3 3" xfId="3691" xr:uid="{00000000-0005-0000-0000-0000E4130000}"/>
    <cellStyle name="Normal 11 3 3 2" xfId="4323" xr:uid="{00000000-0005-0000-0000-0000E5130000}"/>
    <cellStyle name="Normal 11 3 3 2 2" xfId="7491" xr:uid="{00000000-0005-0000-0000-0000E6130000}"/>
    <cellStyle name="Normal 11 3 3 2 2 2" xfId="10246" xr:uid="{00000000-0005-0000-0000-0000E7130000}"/>
    <cellStyle name="Normal 11 3 3 2 3" xfId="8884" xr:uid="{00000000-0005-0000-0000-0000E8130000}"/>
    <cellStyle name="Normal 11 3 3 3" xfId="6867" xr:uid="{00000000-0005-0000-0000-0000E9130000}"/>
    <cellStyle name="Normal 11 3 3 3 2" xfId="9622" xr:uid="{00000000-0005-0000-0000-0000EA130000}"/>
    <cellStyle name="Normal 11 3 3 4" xfId="8260" xr:uid="{00000000-0005-0000-0000-0000EB130000}"/>
    <cellStyle name="Normal 11 3 4" xfId="4321" xr:uid="{00000000-0005-0000-0000-0000EC130000}"/>
    <cellStyle name="Normal 11 3 4 2" xfId="7489" xr:uid="{00000000-0005-0000-0000-0000ED130000}"/>
    <cellStyle name="Normal 11 3 4 2 2" xfId="10244" xr:uid="{00000000-0005-0000-0000-0000EE130000}"/>
    <cellStyle name="Normal 11 3 4 3" xfId="8882" xr:uid="{00000000-0005-0000-0000-0000EF130000}"/>
    <cellStyle name="Normal 11 3 5" xfId="3689" xr:uid="{00000000-0005-0000-0000-0000F0130000}"/>
    <cellStyle name="Normal 11 3 5 2" xfId="6865" xr:uid="{00000000-0005-0000-0000-0000F1130000}"/>
    <cellStyle name="Normal 11 3 5 2 2" xfId="9620" xr:uid="{00000000-0005-0000-0000-0000F2130000}"/>
    <cellStyle name="Normal 11 3 5 3" xfId="8258" xr:uid="{00000000-0005-0000-0000-0000F3130000}"/>
    <cellStyle name="Normal 11 3 6" xfId="6609" xr:uid="{00000000-0005-0000-0000-0000F4130000}"/>
    <cellStyle name="Normal 11 3 6 2" xfId="9373" xr:uid="{00000000-0005-0000-0000-0000F5130000}"/>
    <cellStyle name="Normal 11 3 7" xfId="8002" xr:uid="{00000000-0005-0000-0000-0000F6130000}"/>
    <cellStyle name="Normal 11 4" xfId="3692" xr:uid="{00000000-0005-0000-0000-0000F7130000}"/>
    <cellStyle name="Normal 11 4 2" xfId="4324" xr:uid="{00000000-0005-0000-0000-0000F8130000}"/>
    <cellStyle name="Normal 11 4 2 2" xfId="7492" xr:uid="{00000000-0005-0000-0000-0000F9130000}"/>
    <cellStyle name="Normal 11 4 2 2 2" xfId="10247" xr:uid="{00000000-0005-0000-0000-0000FA130000}"/>
    <cellStyle name="Normal 11 4 2 3" xfId="8885" xr:uid="{00000000-0005-0000-0000-0000FB130000}"/>
    <cellStyle name="Normal 11 4 3" xfId="6868" xr:uid="{00000000-0005-0000-0000-0000FC130000}"/>
    <cellStyle name="Normal 11 4 3 2" xfId="9623" xr:uid="{00000000-0005-0000-0000-0000FD130000}"/>
    <cellStyle name="Normal 11 4 4" xfId="10654" xr:uid="{00000000-0005-0000-0000-0000FE130000}"/>
    <cellStyle name="Normal 11 4 4 2" xfId="10688" xr:uid="{00000000-0005-0000-0000-0000FF130000}"/>
    <cellStyle name="Normal 11 4 5" xfId="8261" xr:uid="{00000000-0005-0000-0000-000000140000}"/>
    <cellStyle name="Normal 11 5" xfId="3693" xr:uid="{00000000-0005-0000-0000-000001140000}"/>
    <cellStyle name="Normal 11 5 2" xfId="4325" xr:uid="{00000000-0005-0000-0000-000002140000}"/>
    <cellStyle name="Normal 11 5 2 2" xfId="7493" xr:uid="{00000000-0005-0000-0000-000003140000}"/>
    <cellStyle name="Normal 11 5 2 2 2" xfId="10248" xr:uid="{00000000-0005-0000-0000-000004140000}"/>
    <cellStyle name="Normal 11 5 2 3" xfId="8886" xr:uid="{00000000-0005-0000-0000-000005140000}"/>
    <cellStyle name="Normal 11 5 3" xfId="6869" xr:uid="{00000000-0005-0000-0000-000006140000}"/>
    <cellStyle name="Normal 11 5 3 2" xfId="9624" xr:uid="{00000000-0005-0000-0000-000007140000}"/>
    <cellStyle name="Normal 11 5 4" xfId="8262" xr:uid="{00000000-0005-0000-0000-000008140000}"/>
    <cellStyle name="Normal 11 6" xfId="3694" xr:uid="{00000000-0005-0000-0000-000009140000}"/>
    <cellStyle name="Normal 11 6 2" xfId="4326" xr:uid="{00000000-0005-0000-0000-00000A140000}"/>
    <cellStyle name="Normal 11 6 2 2" xfId="7494" xr:uid="{00000000-0005-0000-0000-00000B140000}"/>
    <cellStyle name="Normal 11 6 2 2 2" xfId="10249" xr:uid="{00000000-0005-0000-0000-00000C140000}"/>
    <cellStyle name="Normal 11 6 2 3" xfId="8887" xr:uid="{00000000-0005-0000-0000-00000D140000}"/>
    <cellStyle name="Normal 11 6 3" xfId="6870" xr:uid="{00000000-0005-0000-0000-00000E140000}"/>
    <cellStyle name="Normal 11 6 3 2" xfId="9625" xr:uid="{00000000-0005-0000-0000-00000F140000}"/>
    <cellStyle name="Normal 11 6 4" xfId="8263" xr:uid="{00000000-0005-0000-0000-000010140000}"/>
    <cellStyle name="Normal 11 7" xfId="4316" xr:uid="{00000000-0005-0000-0000-000011140000}"/>
    <cellStyle name="Normal 11 7 2" xfId="7484" xr:uid="{00000000-0005-0000-0000-000012140000}"/>
    <cellStyle name="Normal 11 7 2 2" xfId="10239" xr:uid="{00000000-0005-0000-0000-000013140000}"/>
    <cellStyle name="Normal 11 7 3" xfId="8877" xr:uid="{00000000-0005-0000-0000-000014140000}"/>
    <cellStyle name="Normal 11 8" xfId="3684" xr:uid="{00000000-0005-0000-0000-000015140000}"/>
    <cellStyle name="Normal 11 8 2" xfId="6860" xr:uid="{00000000-0005-0000-0000-000016140000}"/>
    <cellStyle name="Normal 11 8 2 2" xfId="9615" xr:uid="{00000000-0005-0000-0000-000017140000}"/>
    <cellStyle name="Normal 11 8 3" xfId="8253" xr:uid="{00000000-0005-0000-0000-000018140000}"/>
    <cellStyle name="Normal 11 9" xfId="5307" xr:uid="{00000000-0005-0000-0000-000019140000}"/>
    <cellStyle name="Normal 11 9 2" xfId="9312" xr:uid="{00000000-0005-0000-0000-00001A140000}"/>
    <cellStyle name="Normal 12" xfId="2007" xr:uid="{00000000-0005-0000-0000-00001B140000}"/>
    <cellStyle name="Normal 12 2" xfId="3696" xr:uid="{00000000-0005-0000-0000-00001C140000}"/>
    <cellStyle name="Normal 12 2 2" xfId="3697" xr:uid="{00000000-0005-0000-0000-00001D140000}"/>
    <cellStyle name="Normal 12 2 2 2" xfId="4329" xr:uid="{00000000-0005-0000-0000-00001E140000}"/>
    <cellStyle name="Normal 12 2 2 2 2" xfId="7497" xr:uid="{00000000-0005-0000-0000-00001F140000}"/>
    <cellStyle name="Normal 12 2 2 2 2 2" xfId="10252" xr:uid="{00000000-0005-0000-0000-000020140000}"/>
    <cellStyle name="Normal 12 2 2 2 3" xfId="8890" xr:uid="{00000000-0005-0000-0000-000021140000}"/>
    <cellStyle name="Normal 12 2 2 3" xfId="6873" xr:uid="{00000000-0005-0000-0000-000022140000}"/>
    <cellStyle name="Normal 12 2 2 3 2" xfId="9628" xr:uid="{00000000-0005-0000-0000-000023140000}"/>
    <cellStyle name="Normal 12 2 2 4" xfId="8266" xr:uid="{00000000-0005-0000-0000-000024140000}"/>
    <cellStyle name="Normal 12 2 3" xfId="3698" xr:uid="{00000000-0005-0000-0000-000025140000}"/>
    <cellStyle name="Normal 12 2 3 2" xfId="4330" xr:uid="{00000000-0005-0000-0000-000026140000}"/>
    <cellStyle name="Normal 12 2 3 2 2" xfId="7498" xr:uid="{00000000-0005-0000-0000-000027140000}"/>
    <cellStyle name="Normal 12 2 3 2 2 2" xfId="10253" xr:uid="{00000000-0005-0000-0000-000028140000}"/>
    <cellStyle name="Normal 12 2 3 2 3" xfId="8891" xr:uid="{00000000-0005-0000-0000-000029140000}"/>
    <cellStyle name="Normal 12 2 3 3" xfId="6874" xr:uid="{00000000-0005-0000-0000-00002A140000}"/>
    <cellStyle name="Normal 12 2 3 3 2" xfId="9629" xr:uid="{00000000-0005-0000-0000-00002B140000}"/>
    <cellStyle name="Normal 12 2 3 4" xfId="8267" xr:uid="{00000000-0005-0000-0000-00002C140000}"/>
    <cellStyle name="Normal 12 2 4" xfId="4328" xr:uid="{00000000-0005-0000-0000-00002D140000}"/>
    <cellStyle name="Normal 12 2 4 2" xfId="7496" xr:uid="{00000000-0005-0000-0000-00002E140000}"/>
    <cellStyle name="Normal 12 2 4 2 2" xfId="10251" xr:uid="{00000000-0005-0000-0000-00002F140000}"/>
    <cellStyle name="Normal 12 2 4 3" xfId="8889" xr:uid="{00000000-0005-0000-0000-000030140000}"/>
    <cellStyle name="Normal 12 2 5" xfId="6872" xr:uid="{00000000-0005-0000-0000-000031140000}"/>
    <cellStyle name="Normal 12 2 5 2" xfId="9627" xr:uid="{00000000-0005-0000-0000-000032140000}"/>
    <cellStyle name="Normal 12 2 6" xfId="8265" xr:uid="{00000000-0005-0000-0000-000033140000}"/>
    <cellStyle name="Normal 12 3" xfId="3699" xr:uid="{00000000-0005-0000-0000-000034140000}"/>
    <cellStyle name="Normal 12 3 2" xfId="4331" xr:uid="{00000000-0005-0000-0000-000035140000}"/>
    <cellStyle name="Normal 12 3 2 2" xfId="7499" xr:uid="{00000000-0005-0000-0000-000036140000}"/>
    <cellStyle name="Normal 12 3 2 2 2" xfId="10254" xr:uid="{00000000-0005-0000-0000-000037140000}"/>
    <cellStyle name="Normal 12 3 2 3" xfId="8892" xr:uid="{00000000-0005-0000-0000-000038140000}"/>
    <cellStyle name="Normal 12 3 3" xfId="6875" xr:uid="{00000000-0005-0000-0000-000039140000}"/>
    <cellStyle name="Normal 12 3 3 2" xfId="9630" xr:uid="{00000000-0005-0000-0000-00003A140000}"/>
    <cellStyle name="Normal 12 3 4" xfId="8268" xr:uid="{00000000-0005-0000-0000-00003B140000}"/>
    <cellStyle name="Normal 12 4" xfId="3700" xr:uid="{00000000-0005-0000-0000-00003C140000}"/>
    <cellStyle name="Normal 12 4 2" xfId="4332" xr:uid="{00000000-0005-0000-0000-00003D140000}"/>
    <cellStyle name="Normal 12 4 2 2" xfId="7500" xr:uid="{00000000-0005-0000-0000-00003E140000}"/>
    <cellStyle name="Normal 12 4 2 2 2" xfId="10255" xr:uid="{00000000-0005-0000-0000-00003F140000}"/>
    <cellStyle name="Normal 12 4 2 3" xfId="8893" xr:uid="{00000000-0005-0000-0000-000040140000}"/>
    <cellStyle name="Normal 12 4 3" xfId="6876" xr:uid="{00000000-0005-0000-0000-000041140000}"/>
    <cellStyle name="Normal 12 4 3 2" xfId="9631" xr:uid="{00000000-0005-0000-0000-000042140000}"/>
    <cellStyle name="Normal 12 4 4" xfId="8269" xr:uid="{00000000-0005-0000-0000-000043140000}"/>
    <cellStyle name="Normal 12 5" xfId="3701" xr:uid="{00000000-0005-0000-0000-000044140000}"/>
    <cellStyle name="Normal 12 5 2" xfId="4333" xr:uid="{00000000-0005-0000-0000-000045140000}"/>
    <cellStyle name="Normal 12 5 2 2" xfId="7501" xr:uid="{00000000-0005-0000-0000-000046140000}"/>
    <cellStyle name="Normal 12 5 2 2 2" xfId="10256" xr:uid="{00000000-0005-0000-0000-000047140000}"/>
    <cellStyle name="Normal 12 5 2 3" xfId="8894" xr:uid="{00000000-0005-0000-0000-000048140000}"/>
    <cellStyle name="Normal 12 5 3" xfId="6877" xr:uid="{00000000-0005-0000-0000-000049140000}"/>
    <cellStyle name="Normal 12 5 3 2" xfId="9632" xr:uid="{00000000-0005-0000-0000-00004A140000}"/>
    <cellStyle name="Normal 12 5 4" xfId="8270" xr:uid="{00000000-0005-0000-0000-00004B140000}"/>
    <cellStyle name="Normal 12 6" xfId="4327" xr:uid="{00000000-0005-0000-0000-00004C140000}"/>
    <cellStyle name="Normal 12 6 2" xfId="7495" xr:uid="{00000000-0005-0000-0000-00004D140000}"/>
    <cellStyle name="Normal 12 6 2 2" xfId="10250" xr:uid="{00000000-0005-0000-0000-00004E140000}"/>
    <cellStyle name="Normal 12 6 3" xfId="8888" xr:uid="{00000000-0005-0000-0000-00004F140000}"/>
    <cellStyle name="Normal 12 7" xfId="3695" xr:uid="{00000000-0005-0000-0000-000050140000}"/>
    <cellStyle name="Normal 12 7 2" xfId="6871" xr:uid="{00000000-0005-0000-0000-000051140000}"/>
    <cellStyle name="Normal 12 7 2 2" xfId="9626" xr:uid="{00000000-0005-0000-0000-000052140000}"/>
    <cellStyle name="Normal 12 7 3" xfId="8264" xr:uid="{00000000-0005-0000-0000-000053140000}"/>
    <cellStyle name="Normal 13" xfId="3312" xr:uid="{00000000-0005-0000-0000-000054140000}"/>
    <cellStyle name="Normal 13 10" xfId="8014" xr:uid="{00000000-0005-0000-0000-000055140000}"/>
    <cellStyle name="Normal 13 2" xfId="3703" xr:uid="{00000000-0005-0000-0000-000056140000}"/>
    <cellStyle name="Normal 13 2 2" xfId="3704" xr:uid="{00000000-0005-0000-0000-000057140000}"/>
    <cellStyle name="Normal 13 2 2 2" xfId="4336" xr:uid="{00000000-0005-0000-0000-000058140000}"/>
    <cellStyle name="Normal 13 2 2 2 2" xfId="7504" xr:uid="{00000000-0005-0000-0000-000059140000}"/>
    <cellStyle name="Normal 13 2 2 2 2 2" xfId="10259" xr:uid="{00000000-0005-0000-0000-00005A140000}"/>
    <cellStyle name="Normal 13 2 2 2 3" xfId="8897" xr:uid="{00000000-0005-0000-0000-00005B140000}"/>
    <cellStyle name="Normal 13 2 2 3" xfId="6880" xr:uid="{00000000-0005-0000-0000-00005C140000}"/>
    <cellStyle name="Normal 13 2 2 3 2" xfId="9635" xr:uid="{00000000-0005-0000-0000-00005D140000}"/>
    <cellStyle name="Normal 13 2 2 4" xfId="8273" xr:uid="{00000000-0005-0000-0000-00005E140000}"/>
    <cellStyle name="Normal 13 2 3" xfId="3705" xr:uid="{00000000-0005-0000-0000-00005F140000}"/>
    <cellStyle name="Normal 13 2 3 2" xfId="4337" xr:uid="{00000000-0005-0000-0000-000060140000}"/>
    <cellStyle name="Normal 13 2 3 2 2" xfId="7505" xr:uid="{00000000-0005-0000-0000-000061140000}"/>
    <cellStyle name="Normal 13 2 3 2 2 2" xfId="10260" xr:uid="{00000000-0005-0000-0000-000062140000}"/>
    <cellStyle name="Normal 13 2 3 2 3" xfId="8898" xr:uid="{00000000-0005-0000-0000-000063140000}"/>
    <cellStyle name="Normal 13 2 3 3" xfId="6881" xr:uid="{00000000-0005-0000-0000-000064140000}"/>
    <cellStyle name="Normal 13 2 3 3 2" xfId="9636" xr:uid="{00000000-0005-0000-0000-000065140000}"/>
    <cellStyle name="Normal 13 2 3 4" xfId="8274" xr:uid="{00000000-0005-0000-0000-000066140000}"/>
    <cellStyle name="Normal 13 2 4" xfId="4335" xr:uid="{00000000-0005-0000-0000-000067140000}"/>
    <cellStyle name="Normal 13 2 4 2" xfId="7503" xr:uid="{00000000-0005-0000-0000-000068140000}"/>
    <cellStyle name="Normal 13 2 4 2 2" xfId="10258" xr:uid="{00000000-0005-0000-0000-000069140000}"/>
    <cellStyle name="Normal 13 2 4 3" xfId="8896" xr:uid="{00000000-0005-0000-0000-00006A140000}"/>
    <cellStyle name="Normal 13 2 5" xfId="6879" xr:uid="{00000000-0005-0000-0000-00006B140000}"/>
    <cellStyle name="Normal 13 2 5 2" xfId="9634" xr:uid="{00000000-0005-0000-0000-00006C140000}"/>
    <cellStyle name="Normal 13 2 6" xfId="8272" xr:uid="{00000000-0005-0000-0000-00006D140000}"/>
    <cellStyle name="Normal 13 3" xfId="3706" xr:uid="{00000000-0005-0000-0000-00006E140000}"/>
    <cellStyle name="Normal 13 3 2" xfId="4338" xr:uid="{00000000-0005-0000-0000-00006F140000}"/>
    <cellStyle name="Normal 13 3 2 2" xfId="7506" xr:uid="{00000000-0005-0000-0000-000070140000}"/>
    <cellStyle name="Normal 13 3 2 2 2" xfId="10261" xr:uid="{00000000-0005-0000-0000-000071140000}"/>
    <cellStyle name="Normal 13 3 2 3" xfId="8899" xr:uid="{00000000-0005-0000-0000-000072140000}"/>
    <cellStyle name="Normal 13 3 3" xfId="6882" xr:uid="{00000000-0005-0000-0000-000073140000}"/>
    <cellStyle name="Normal 13 3 3 2" xfId="9637" xr:uid="{00000000-0005-0000-0000-000074140000}"/>
    <cellStyle name="Normal 13 3 4" xfId="8275" xr:uid="{00000000-0005-0000-0000-000075140000}"/>
    <cellStyle name="Normal 13 4" xfId="3707" xr:uid="{00000000-0005-0000-0000-000076140000}"/>
    <cellStyle name="Normal 13 4 2" xfId="4339" xr:uid="{00000000-0005-0000-0000-000077140000}"/>
    <cellStyle name="Normal 13 4 2 2" xfId="7507" xr:uid="{00000000-0005-0000-0000-000078140000}"/>
    <cellStyle name="Normal 13 4 2 2 2" xfId="10262" xr:uid="{00000000-0005-0000-0000-000079140000}"/>
    <cellStyle name="Normal 13 4 2 3" xfId="8900" xr:uid="{00000000-0005-0000-0000-00007A140000}"/>
    <cellStyle name="Normal 13 4 3" xfId="6883" xr:uid="{00000000-0005-0000-0000-00007B140000}"/>
    <cellStyle name="Normal 13 4 3 2" xfId="9638" xr:uid="{00000000-0005-0000-0000-00007C140000}"/>
    <cellStyle name="Normal 13 4 4" xfId="8276" xr:uid="{00000000-0005-0000-0000-00007D140000}"/>
    <cellStyle name="Normal 13 5" xfId="3708" xr:uid="{00000000-0005-0000-0000-00007E140000}"/>
    <cellStyle name="Normal 13 5 2" xfId="4340" xr:uid="{00000000-0005-0000-0000-00007F140000}"/>
    <cellStyle name="Normal 13 5 2 2" xfId="7508" xr:uid="{00000000-0005-0000-0000-000080140000}"/>
    <cellStyle name="Normal 13 5 2 2 2" xfId="10263" xr:uid="{00000000-0005-0000-0000-000081140000}"/>
    <cellStyle name="Normal 13 5 2 3" xfId="8901" xr:uid="{00000000-0005-0000-0000-000082140000}"/>
    <cellStyle name="Normal 13 5 3" xfId="6884" xr:uid="{00000000-0005-0000-0000-000083140000}"/>
    <cellStyle name="Normal 13 5 3 2" xfId="9639" xr:uid="{00000000-0005-0000-0000-000084140000}"/>
    <cellStyle name="Normal 13 5 4" xfId="8277" xr:uid="{00000000-0005-0000-0000-000085140000}"/>
    <cellStyle name="Normal 13 6" xfId="4334" xr:uid="{00000000-0005-0000-0000-000086140000}"/>
    <cellStyle name="Normal 13 6 2" xfId="7502" xr:uid="{00000000-0005-0000-0000-000087140000}"/>
    <cellStyle name="Normal 13 6 2 2" xfId="10257" xr:uid="{00000000-0005-0000-0000-000088140000}"/>
    <cellStyle name="Normal 13 6 3" xfId="8895" xr:uid="{00000000-0005-0000-0000-000089140000}"/>
    <cellStyle name="Normal 13 7" xfId="3702" xr:uid="{00000000-0005-0000-0000-00008A140000}"/>
    <cellStyle name="Normal 13 7 2" xfId="6878" xr:uid="{00000000-0005-0000-0000-00008B140000}"/>
    <cellStyle name="Normal 13 7 2 2" xfId="9633" xr:uid="{00000000-0005-0000-0000-00008C140000}"/>
    <cellStyle name="Normal 13 7 3" xfId="8271" xr:uid="{00000000-0005-0000-0000-00008D140000}"/>
    <cellStyle name="Normal 13 8" xfId="4925" xr:uid="{00000000-0005-0000-0000-00008E140000}"/>
    <cellStyle name="Normal 13 9" xfId="6621" xr:uid="{00000000-0005-0000-0000-00008F140000}"/>
    <cellStyle name="Normal 13 9 2" xfId="9385" xr:uid="{00000000-0005-0000-0000-000090140000}"/>
    <cellStyle name="Normal 14" xfId="3362" xr:uid="{00000000-0005-0000-0000-000091140000}"/>
    <cellStyle name="Normal 14 2" xfId="3709" xr:uid="{00000000-0005-0000-0000-000092140000}"/>
    <cellStyle name="Normal 14 3" xfId="6646" xr:uid="{00000000-0005-0000-0000-000093140000}"/>
    <cellStyle name="Normal 14 3 2" xfId="9410" xr:uid="{00000000-0005-0000-0000-000094140000}"/>
    <cellStyle name="Normal 14 4" xfId="10651" xr:uid="{00000000-0005-0000-0000-000095140000}"/>
    <cellStyle name="Normal 14 4 2" xfId="10687" xr:uid="{00000000-0005-0000-0000-000096140000}"/>
    <cellStyle name="Normal 14 5" xfId="8039" xr:uid="{00000000-0005-0000-0000-000097140000}"/>
    <cellStyle name="Normal 15" xfId="3710" xr:uid="{00000000-0005-0000-0000-000098140000}"/>
    <cellStyle name="Normal 15 2" xfId="3711" xr:uid="{00000000-0005-0000-0000-000099140000}"/>
    <cellStyle name="Normal 15 2 2" xfId="3712" xr:uid="{00000000-0005-0000-0000-00009A140000}"/>
    <cellStyle name="Normal 15 2 2 2" xfId="3713" xr:uid="{00000000-0005-0000-0000-00009B140000}"/>
    <cellStyle name="Normal 15 2 2 2 2" xfId="4343" xr:uid="{00000000-0005-0000-0000-00009C140000}"/>
    <cellStyle name="Normal 15 2 2 2 2 2" xfId="7511" xr:uid="{00000000-0005-0000-0000-00009D140000}"/>
    <cellStyle name="Normal 15 2 2 2 2 2 2" xfId="10266" xr:uid="{00000000-0005-0000-0000-00009E140000}"/>
    <cellStyle name="Normal 15 2 2 2 2 3" xfId="8904" xr:uid="{00000000-0005-0000-0000-00009F140000}"/>
    <cellStyle name="Normal 15 2 2 2 3" xfId="6887" xr:uid="{00000000-0005-0000-0000-0000A0140000}"/>
    <cellStyle name="Normal 15 2 2 2 3 2" xfId="9642" xr:uid="{00000000-0005-0000-0000-0000A1140000}"/>
    <cellStyle name="Normal 15 2 2 2 4" xfId="8280" xr:uid="{00000000-0005-0000-0000-0000A2140000}"/>
    <cellStyle name="Normal 15 2 2 3" xfId="3714" xr:uid="{00000000-0005-0000-0000-0000A3140000}"/>
    <cellStyle name="Normal 15 2 2 3 2" xfId="4344" xr:uid="{00000000-0005-0000-0000-0000A4140000}"/>
    <cellStyle name="Normal 15 2 2 3 2 2" xfId="7512" xr:uid="{00000000-0005-0000-0000-0000A5140000}"/>
    <cellStyle name="Normal 15 2 2 3 2 2 2" xfId="10267" xr:uid="{00000000-0005-0000-0000-0000A6140000}"/>
    <cellStyle name="Normal 15 2 2 3 2 3" xfId="8905" xr:uid="{00000000-0005-0000-0000-0000A7140000}"/>
    <cellStyle name="Normal 15 2 2 3 3" xfId="6888" xr:uid="{00000000-0005-0000-0000-0000A8140000}"/>
    <cellStyle name="Normal 15 2 2 3 3 2" xfId="9643" xr:uid="{00000000-0005-0000-0000-0000A9140000}"/>
    <cellStyle name="Normal 15 2 2 3 4" xfId="8281" xr:uid="{00000000-0005-0000-0000-0000AA140000}"/>
    <cellStyle name="Normal 15 2 2 4" xfId="3715" xr:uid="{00000000-0005-0000-0000-0000AB140000}"/>
    <cellStyle name="Normal 15 2 2 4 2" xfId="4345" xr:uid="{00000000-0005-0000-0000-0000AC140000}"/>
    <cellStyle name="Normal 15 2 2 4 2 2" xfId="7513" xr:uid="{00000000-0005-0000-0000-0000AD140000}"/>
    <cellStyle name="Normal 15 2 2 4 2 2 2" xfId="10268" xr:uid="{00000000-0005-0000-0000-0000AE140000}"/>
    <cellStyle name="Normal 15 2 2 4 2 3" xfId="8906" xr:uid="{00000000-0005-0000-0000-0000AF140000}"/>
    <cellStyle name="Normal 15 2 2 4 3" xfId="6889" xr:uid="{00000000-0005-0000-0000-0000B0140000}"/>
    <cellStyle name="Normal 15 2 2 4 3 2" xfId="9644" xr:uid="{00000000-0005-0000-0000-0000B1140000}"/>
    <cellStyle name="Normal 15 2 2 4 4" xfId="8282" xr:uid="{00000000-0005-0000-0000-0000B2140000}"/>
    <cellStyle name="Normal 15 2 2 5" xfId="4342" xr:uid="{00000000-0005-0000-0000-0000B3140000}"/>
    <cellStyle name="Normal 15 2 2 5 2" xfId="7510" xr:uid="{00000000-0005-0000-0000-0000B4140000}"/>
    <cellStyle name="Normal 15 2 2 5 2 2" xfId="10265" xr:uid="{00000000-0005-0000-0000-0000B5140000}"/>
    <cellStyle name="Normal 15 2 2 5 3" xfId="8903" xr:uid="{00000000-0005-0000-0000-0000B6140000}"/>
    <cellStyle name="Normal 15 2 2 6" xfId="6886" xr:uid="{00000000-0005-0000-0000-0000B7140000}"/>
    <cellStyle name="Normal 15 2 2 6 2" xfId="9641" xr:uid="{00000000-0005-0000-0000-0000B8140000}"/>
    <cellStyle name="Normal 15 2 2 7" xfId="8279" xr:uid="{00000000-0005-0000-0000-0000B9140000}"/>
    <cellStyle name="Normal 15 2 3" xfId="3716" xr:uid="{00000000-0005-0000-0000-0000BA140000}"/>
    <cellStyle name="Normal 15 2 3 2" xfId="3717" xr:uid="{00000000-0005-0000-0000-0000BB140000}"/>
    <cellStyle name="Normal 15 2 3 2 2" xfId="4347" xr:uid="{00000000-0005-0000-0000-0000BC140000}"/>
    <cellStyle name="Normal 15 2 3 2 2 2" xfId="7515" xr:uid="{00000000-0005-0000-0000-0000BD140000}"/>
    <cellStyle name="Normal 15 2 3 2 2 2 2" xfId="10270" xr:uid="{00000000-0005-0000-0000-0000BE140000}"/>
    <cellStyle name="Normal 15 2 3 2 2 3" xfId="8908" xr:uid="{00000000-0005-0000-0000-0000BF140000}"/>
    <cellStyle name="Normal 15 2 3 2 3" xfId="6891" xr:uid="{00000000-0005-0000-0000-0000C0140000}"/>
    <cellStyle name="Normal 15 2 3 2 3 2" xfId="9646" xr:uid="{00000000-0005-0000-0000-0000C1140000}"/>
    <cellStyle name="Normal 15 2 3 2 4" xfId="8284" xr:uid="{00000000-0005-0000-0000-0000C2140000}"/>
    <cellStyle name="Normal 15 2 3 3" xfId="3718" xr:uid="{00000000-0005-0000-0000-0000C3140000}"/>
    <cellStyle name="Normal 15 2 3 3 2" xfId="4348" xr:uid="{00000000-0005-0000-0000-0000C4140000}"/>
    <cellStyle name="Normal 15 2 3 3 2 2" xfId="7516" xr:uid="{00000000-0005-0000-0000-0000C5140000}"/>
    <cellStyle name="Normal 15 2 3 3 2 2 2" xfId="10271" xr:uid="{00000000-0005-0000-0000-0000C6140000}"/>
    <cellStyle name="Normal 15 2 3 3 2 3" xfId="8909" xr:uid="{00000000-0005-0000-0000-0000C7140000}"/>
    <cellStyle name="Normal 15 2 3 3 3" xfId="6892" xr:uid="{00000000-0005-0000-0000-0000C8140000}"/>
    <cellStyle name="Normal 15 2 3 3 3 2" xfId="9647" xr:uid="{00000000-0005-0000-0000-0000C9140000}"/>
    <cellStyle name="Normal 15 2 3 3 4" xfId="8285" xr:uid="{00000000-0005-0000-0000-0000CA140000}"/>
    <cellStyle name="Normal 15 2 3 4" xfId="3719" xr:uid="{00000000-0005-0000-0000-0000CB140000}"/>
    <cellStyle name="Normal 15 2 3 4 2" xfId="4349" xr:uid="{00000000-0005-0000-0000-0000CC140000}"/>
    <cellStyle name="Normal 15 2 3 4 2 2" xfId="7517" xr:uid="{00000000-0005-0000-0000-0000CD140000}"/>
    <cellStyle name="Normal 15 2 3 4 2 2 2" xfId="10272" xr:uid="{00000000-0005-0000-0000-0000CE140000}"/>
    <cellStyle name="Normal 15 2 3 4 2 3" xfId="8910" xr:uid="{00000000-0005-0000-0000-0000CF140000}"/>
    <cellStyle name="Normal 15 2 3 4 3" xfId="6893" xr:uid="{00000000-0005-0000-0000-0000D0140000}"/>
    <cellStyle name="Normal 15 2 3 4 3 2" xfId="9648" xr:uid="{00000000-0005-0000-0000-0000D1140000}"/>
    <cellStyle name="Normal 15 2 3 4 4" xfId="8286" xr:uid="{00000000-0005-0000-0000-0000D2140000}"/>
    <cellStyle name="Normal 15 2 3 5" xfId="4346" xr:uid="{00000000-0005-0000-0000-0000D3140000}"/>
    <cellStyle name="Normal 15 2 3 5 2" xfId="7514" xr:uid="{00000000-0005-0000-0000-0000D4140000}"/>
    <cellStyle name="Normal 15 2 3 5 2 2" xfId="10269" xr:uid="{00000000-0005-0000-0000-0000D5140000}"/>
    <cellStyle name="Normal 15 2 3 5 3" xfId="8907" xr:uid="{00000000-0005-0000-0000-0000D6140000}"/>
    <cellStyle name="Normal 15 2 3 6" xfId="6890" xr:uid="{00000000-0005-0000-0000-0000D7140000}"/>
    <cellStyle name="Normal 15 2 3 6 2" xfId="9645" xr:uid="{00000000-0005-0000-0000-0000D8140000}"/>
    <cellStyle name="Normal 15 2 3 7" xfId="8283" xr:uid="{00000000-0005-0000-0000-0000D9140000}"/>
    <cellStyle name="Normal 15 3" xfId="3720" xr:uid="{00000000-0005-0000-0000-0000DA140000}"/>
    <cellStyle name="Normal 15 4" xfId="3721" xr:uid="{00000000-0005-0000-0000-0000DB140000}"/>
    <cellStyle name="Normal 15 4 2" xfId="4350" xr:uid="{00000000-0005-0000-0000-0000DC140000}"/>
    <cellStyle name="Normal 15 4 2 2" xfId="7518" xr:uid="{00000000-0005-0000-0000-0000DD140000}"/>
    <cellStyle name="Normal 15 4 2 2 2" xfId="10273" xr:uid="{00000000-0005-0000-0000-0000DE140000}"/>
    <cellStyle name="Normal 15 4 2 3" xfId="8911" xr:uid="{00000000-0005-0000-0000-0000DF140000}"/>
    <cellStyle name="Normal 15 4 3" xfId="6894" xr:uid="{00000000-0005-0000-0000-0000E0140000}"/>
    <cellStyle name="Normal 15 4 3 2" xfId="9649" xr:uid="{00000000-0005-0000-0000-0000E1140000}"/>
    <cellStyle name="Normal 15 4 4" xfId="8287" xr:uid="{00000000-0005-0000-0000-0000E2140000}"/>
    <cellStyle name="Normal 15 5" xfId="3722" xr:uid="{00000000-0005-0000-0000-0000E3140000}"/>
    <cellStyle name="Normal 15 5 2" xfId="4351" xr:uid="{00000000-0005-0000-0000-0000E4140000}"/>
    <cellStyle name="Normal 15 5 2 2" xfId="7519" xr:uid="{00000000-0005-0000-0000-0000E5140000}"/>
    <cellStyle name="Normal 15 5 2 2 2" xfId="10274" xr:uid="{00000000-0005-0000-0000-0000E6140000}"/>
    <cellStyle name="Normal 15 5 2 3" xfId="8912" xr:uid="{00000000-0005-0000-0000-0000E7140000}"/>
    <cellStyle name="Normal 15 5 3" xfId="6895" xr:uid="{00000000-0005-0000-0000-0000E8140000}"/>
    <cellStyle name="Normal 15 5 3 2" xfId="9650" xr:uid="{00000000-0005-0000-0000-0000E9140000}"/>
    <cellStyle name="Normal 15 5 4" xfId="8288" xr:uid="{00000000-0005-0000-0000-0000EA140000}"/>
    <cellStyle name="Normal 15 6" xfId="4341" xr:uid="{00000000-0005-0000-0000-0000EB140000}"/>
    <cellStyle name="Normal 15 6 2" xfId="7509" xr:uid="{00000000-0005-0000-0000-0000EC140000}"/>
    <cellStyle name="Normal 15 6 2 2" xfId="10264" xr:uid="{00000000-0005-0000-0000-0000ED140000}"/>
    <cellStyle name="Normal 15 6 3" xfId="8902" xr:uid="{00000000-0005-0000-0000-0000EE140000}"/>
    <cellStyle name="Normal 15 7" xfId="6885" xr:uid="{00000000-0005-0000-0000-0000EF140000}"/>
    <cellStyle name="Normal 15 7 2" xfId="9640" xr:uid="{00000000-0005-0000-0000-0000F0140000}"/>
    <cellStyle name="Normal 15 8" xfId="8278" xr:uid="{00000000-0005-0000-0000-0000F1140000}"/>
    <cellStyle name="Normal 15 9" xfId="10689" xr:uid="{00000000-0005-0000-0000-0000F2140000}"/>
    <cellStyle name="Normal 15_Trends fuels" xfId="3723" xr:uid="{00000000-0005-0000-0000-0000F3140000}"/>
    <cellStyle name="Normal 16" xfId="3724" xr:uid="{00000000-0005-0000-0000-0000F4140000}"/>
    <cellStyle name="Normal 16 2" xfId="3725" xr:uid="{00000000-0005-0000-0000-0000F5140000}"/>
    <cellStyle name="Normal 16 2 2" xfId="4353" xr:uid="{00000000-0005-0000-0000-0000F6140000}"/>
    <cellStyle name="Normal 16 2 2 2" xfId="7521" xr:uid="{00000000-0005-0000-0000-0000F7140000}"/>
    <cellStyle name="Normal 16 2 2 2 2" xfId="10276" xr:uid="{00000000-0005-0000-0000-0000F8140000}"/>
    <cellStyle name="Normal 16 2 2 3" xfId="8914" xr:uid="{00000000-0005-0000-0000-0000F9140000}"/>
    <cellStyle name="Normal 16 2 3" xfId="6897" xr:uid="{00000000-0005-0000-0000-0000FA140000}"/>
    <cellStyle name="Normal 16 2 3 2" xfId="9652" xr:uid="{00000000-0005-0000-0000-0000FB140000}"/>
    <cellStyle name="Normal 16 2 4" xfId="8290" xr:uid="{00000000-0005-0000-0000-0000FC140000}"/>
    <cellStyle name="Normal 16 3" xfId="3726" xr:uid="{00000000-0005-0000-0000-0000FD140000}"/>
    <cellStyle name="Normal 16 3 2" xfId="4354" xr:uid="{00000000-0005-0000-0000-0000FE140000}"/>
    <cellStyle name="Normal 16 3 2 2" xfId="7522" xr:uid="{00000000-0005-0000-0000-0000FF140000}"/>
    <cellStyle name="Normal 16 3 2 2 2" xfId="10277" xr:uid="{00000000-0005-0000-0000-000000150000}"/>
    <cellStyle name="Normal 16 3 2 3" xfId="8915" xr:uid="{00000000-0005-0000-0000-000001150000}"/>
    <cellStyle name="Normal 16 3 3" xfId="6898" xr:uid="{00000000-0005-0000-0000-000002150000}"/>
    <cellStyle name="Normal 16 3 3 2" xfId="9653" xr:uid="{00000000-0005-0000-0000-000003150000}"/>
    <cellStyle name="Normal 16 3 4" xfId="10656" xr:uid="{00000000-0005-0000-0000-000004150000}"/>
    <cellStyle name="Normal 16 3 5" xfId="8291" xr:uid="{00000000-0005-0000-0000-000005150000}"/>
    <cellStyle name="Normal 16 4" xfId="3727" xr:uid="{00000000-0005-0000-0000-000006150000}"/>
    <cellStyle name="Normal 16 4 2" xfId="4355" xr:uid="{00000000-0005-0000-0000-000007150000}"/>
    <cellStyle name="Normal 16 4 2 2" xfId="7523" xr:uid="{00000000-0005-0000-0000-000008150000}"/>
    <cellStyle name="Normal 16 4 2 2 2" xfId="10278" xr:uid="{00000000-0005-0000-0000-000009150000}"/>
    <cellStyle name="Normal 16 4 2 3" xfId="8916" xr:uid="{00000000-0005-0000-0000-00000A150000}"/>
    <cellStyle name="Normal 16 4 3" xfId="6899" xr:uid="{00000000-0005-0000-0000-00000B150000}"/>
    <cellStyle name="Normal 16 4 3 2" xfId="9654" xr:uid="{00000000-0005-0000-0000-00000C150000}"/>
    <cellStyle name="Normal 16 4 4" xfId="8292" xr:uid="{00000000-0005-0000-0000-00000D150000}"/>
    <cellStyle name="Normal 16 5" xfId="4352" xr:uid="{00000000-0005-0000-0000-00000E150000}"/>
    <cellStyle name="Normal 16 5 2" xfId="7520" xr:uid="{00000000-0005-0000-0000-00000F150000}"/>
    <cellStyle name="Normal 16 5 2 2" xfId="10275" xr:uid="{00000000-0005-0000-0000-000010150000}"/>
    <cellStyle name="Normal 16 5 3" xfId="8913" xr:uid="{00000000-0005-0000-0000-000011150000}"/>
    <cellStyle name="Normal 16 6" xfId="6896" xr:uid="{00000000-0005-0000-0000-000012150000}"/>
    <cellStyle name="Normal 16 6 2" xfId="9651" xr:uid="{00000000-0005-0000-0000-000013150000}"/>
    <cellStyle name="Normal 16 7" xfId="8289" xr:uid="{00000000-0005-0000-0000-000014150000}"/>
    <cellStyle name="Normal 17" xfId="3728" xr:uid="{00000000-0005-0000-0000-000015150000}"/>
    <cellStyle name="Normal 17 2" xfId="3729" xr:uid="{00000000-0005-0000-0000-000016150000}"/>
    <cellStyle name="Normal 17 2 2" xfId="4357" xr:uid="{00000000-0005-0000-0000-000017150000}"/>
    <cellStyle name="Normal 17 2 2 2" xfId="7525" xr:uid="{00000000-0005-0000-0000-000018150000}"/>
    <cellStyle name="Normal 17 2 2 2 2" xfId="10280" xr:uid="{00000000-0005-0000-0000-000019150000}"/>
    <cellStyle name="Normal 17 2 2 3" xfId="8918" xr:uid="{00000000-0005-0000-0000-00001A150000}"/>
    <cellStyle name="Normal 17 2 3" xfId="6901" xr:uid="{00000000-0005-0000-0000-00001B150000}"/>
    <cellStyle name="Normal 17 2 3 2" xfId="9656" xr:uid="{00000000-0005-0000-0000-00001C150000}"/>
    <cellStyle name="Normal 17 2 4" xfId="8294" xr:uid="{00000000-0005-0000-0000-00001D150000}"/>
    <cellStyle name="Normal 17 3" xfId="3730" xr:uid="{00000000-0005-0000-0000-00001E150000}"/>
    <cellStyle name="Normal 17 3 2" xfId="4358" xr:uid="{00000000-0005-0000-0000-00001F150000}"/>
    <cellStyle name="Normal 17 3 2 2" xfId="7526" xr:uid="{00000000-0005-0000-0000-000020150000}"/>
    <cellStyle name="Normal 17 3 2 2 2" xfId="10281" xr:uid="{00000000-0005-0000-0000-000021150000}"/>
    <cellStyle name="Normal 17 3 2 3" xfId="8919" xr:uid="{00000000-0005-0000-0000-000022150000}"/>
    <cellStyle name="Normal 17 3 3" xfId="6902" xr:uid="{00000000-0005-0000-0000-000023150000}"/>
    <cellStyle name="Normal 17 3 3 2" xfId="9657" xr:uid="{00000000-0005-0000-0000-000024150000}"/>
    <cellStyle name="Normal 17 3 4" xfId="8295" xr:uid="{00000000-0005-0000-0000-000025150000}"/>
    <cellStyle name="Normal 17 4" xfId="3731" xr:uid="{00000000-0005-0000-0000-000026150000}"/>
    <cellStyle name="Normal 17 4 2" xfId="4359" xr:uid="{00000000-0005-0000-0000-000027150000}"/>
    <cellStyle name="Normal 17 4 2 2" xfId="7527" xr:uid="{00000000-0005-0000-0000-000028150000}"/>
    <cellStyle name="Normal 17 4 2 2 2" xfId="10282" xr:uid="{00000000-0005-0000-0000-000029150000}"/>
    <cellStyle name="Normal 17 4 2 3" xfId="8920" xr:uid="{00000000-0005-0000-0000-00002A150000}"/>
    <cellStyle name="Normal 17 4 3" xfId="6903" xr:uid="{00000000-0005-0000-0000-00002B150000}"/>
    <cellStyle name="Normal 17 4 3 2" xfId="9658" xr:uid="{00000000-0005-0000-0000-00002C150000}"/>
    <cellStyle name="Normal 17 4 4" xfId="8296" xr:uid="{00000000-0005-0000-0000-00002D150000}"/>
    <cellStyle name="Normal 17 5" xfId="4356" xr:uid="{00000000-0005-0000-0000-00002E150000}"/>
    <cellStyle name="Normal 17 5 2" xfId="7524" xr:uid="{00000000-0005-0000-0000-00002F150000}"/>
    <cellStyle name="Normal 17 5 2 2" xfId="10279" xr:uid="{00000000-0005-0000-0000-000030150000}"/>
    <cellStyle name="Normal 17 5 3" xfId="8917" xr:uid="{00000000-0005-0000-0000-000031150000}"/>
    <cellStyle name="Normal 17 6" xfId="6900" xr:uid="{00000000-0005-0000-0000-000032150000}"/>
    <cellStyle name="Normal 17 6 2" xfId="9655" xr:uid="{00000000-0005-0000-0000-000033150000}"/>
    <cellStyle name="Normal 17 7" xfId="8293" xr:uid="{00000000-0005-0000-0000-000034150000}"/>
    <cellStyle name="Normal 18" xfId="3732" xr:uid="{00000000-0005-0000-0000-000035150000}"/>
    <cellStyle name="Normal 18 2" xfId="3733" xr:uid="{00000000-0005-0000-0000-000036150000}"/>
    <cellStyle name="Normal 18 2 2" xfId="4361" xr:uid="{00000000-0005-0000-0000-000037150000}"/>
    <cellStyle name="Normal 18 2 2 2" xfId="7529" xr:uid="{00000000-0005-0000-0000-000038150000}"/>
    <cellStyle name="Normal 18 2 2 2 2" xfId="10284" xr:uid="{00000000-0005-0000-0000-000039150000}"/>
    <cellStyle name="Normal 18 2 2 3" xfId="8922" xr:uid="{00000000-0005-0000-0000-00003A150000}"/>
    <cellStyle name="Normal 18 2 3" xfId="6905" xr:uid="{00000000-0005-0000-0000-00003B150000}"/>
    <cellStyle name="Normal 18 2 3 2" xfId="9660" xr:uid="{00000000-0005-0000-0000-00003C150000}"/>
    <cellStyle name="Normal 18 2 4" xfId="8298" xr:uid="{00000000-0005-0000-0000-00003D150000}"/>
    <cellStyle name="Normal 18 3" xfId="3734" xr:uid="{00000000-0005-0000-0000-00003E150000}"/>
    <cellStyle name="Normal 18 3 2" xfId="4362" xr:uid="{00000000-0005-0000-0000-00003F150000}"/>
    <cellStyle name="Normal 18 3 2 2" xfId="7530" xr:uid="{00000000-0005-0000-0000-000040150000}"/>
    <cellStyle name="Normal 18 3 2 2 2" xfId="10285" xr:uid="{00000000-0005-0000-0000-000041150000}"/>
    <cellStyle name="Normal 18 3 2 3" xfId="8923" xr:uid="{00000000-0005-0000-0000-000042150000}"/>
    <cellStyle name="Normal 18 3 3" xfId="6906" xr:uid="{00000000-0005-0000-0000-000043150000}"/>
    <cellStyle name="Normal 18 3 3 2" xfId="9661" xr:uid="{00000000-0005-0000-0000-000044150000}"/>
    <cellStyle name="Normal 18 3 4" xfId="8299" xr:uid="{00000000-0005-0000-0000-000045150000}"/>
    <cellStyle name="Normal 18 4" xfId="3735" xr:uid="{00000000-0005-0000-0000-000046150000}"/>
    <cellStyle name="Normal 18 4 2" xfId="4363" xr:uid="{00000000-0005-0000-0000-000047150000}"/>
    <cellStyle name="Normal 18 4 2 2" xfId="7531" xr:uid="{00000000-0005-0000-0000-000048150000}"/>
    <cellStyle name="Normal 18 4 2 2 2" xfId="10286" xr:uid="{00000000-0005-0000-0000-000049150000}"/>
    <cellStyle name="Normal 18 4 2 3" xfId="8924" xr:uid="{00000000-0005-0000-0000-00004A150000}"/>
    <cellStyle name="Normal 18 4 3" xfId="6907" xr:uid="{00000000-0005-0000-0000-00004B150000}"/>
    <cellStyle name="Normal 18 4 3 2" xfId="9662" xr:uid="{00000000-0005-0000-0000-00004C150000}"/>
    <cellStyle name="Normal 18 4 4" xfId="8300" xr:uid="{00000000-0005-0000-0000-00004D150000}"/>
    <cellStyle name="Normal 18 5" xfId="4360" xr:uid="{00000000-0005-0000-0000-00004E150000}"/>
    <cellStyle name="Normal 18 5 2" xfId="7528" xr:uid="{00000000-0005-0000-0000-00004F150000}"/>
    <cellStyle name="Normal 18 5 2 2" xfId="10283" xr:uid="{00000000-0005-0000-0000-000050150000}"/>
    <cellStyle name="Normal 18 5 3" xfId="8921" xr:uid="{00000000-0005-0000-0000-000051150000}"/>
    <cellStyle name="Normal 18 6" xfId="6904" xr:uid="{00000000-0005-0000-0000-000052150000}"/>
    <cellStyle name="Normal 18 6 2" xfId="9659" xr:uid="{00000000-0005-0000-0000-000053150000}"/>
    <cellStyle name="Normal 18 7" xfId="8297" xr:uid="{00000000-0005-0000-0000-000054150000}"/>
    <cellStyle name="Normal 19" xfId="3736" xr:uid="{00000000-0005-0000-0000-000055150000}"/>
    <cellStyle name="Normal 19 2" xfId="3737" xr:uid="{00000000-0005-0000-0000-000056150000}"/>
    <cellStyle name="Normal 19 2 2" xfId="4364" xr:uid="{00000000-0005-0000-0000-000057150000}"/>
    <cellStyle name="Normal 19 2 2 2" xfId="7532" xr:uid="{00000000-0005-0000-0000-000058150000}"/>
    <cellStyle name="Normal 19 2 2 2 2" xfId="10287" xr:uid="{00000000-0005-0000-0000-000059150000}"/>
    <cellStyle name="Normal 19 2 2 3" xfId="8925" xr:uid="{00000000-0005-0000-0000-00005A150000}"/>
    <cellStyle name="Normal 19 2 3" xfId="6908" xr:uid="{00000000-0005-0000-0000-00005B150000}"/>
    <cellStyle name="Normal 19 2 3 2" xfId="9663" xr:uid="{00000000-0005-0000-0000-00005C150000}"/>
    <cellStyle name="Normal 19 2 4" xfId="8301" xr:uid="{00000000-0005-0000-0000-00005D150000}"/>
    <cellStyle name="Normal 2" xfId="976" xr:uid="{00000000-0005-0000-0000-00005E150000}"/>
    <cellStyle name="Normal 2 10" xfId="3738" xr:uid="{00000000-0005-0000-0000-00005F150000}"/>
    <cellStyle name="Normal 2 11" xfId="3739" xr:uid="{00000000-0005-0000-0000-000060150000}"/>
    <cellStyle name="Normal 2 11 2" xfId="3740" xr:uid="{00000000-0005-0000-0000-000061150000}"/>
    <cellStyle name="Normal 2 11 2 2" xfId="4366" xr:uid="{00000000-0005-0000-0000-000062150000}"/>
    <cellStyle name="Normal 2 11 2 2 2" xfId="7534" xr:uid="{00000000-0005-0000-0000-000063150000}"/>
    <cellStyle name="Normal 2 11 2 2 2 2" xfId="10289" xr:uid="{00000000-0005-0000-0000-000064150000}"/>
    <cellStyle name="Normal 2 11 2 2 3" xfId="8927" xr:uid="{00000000-0005-0000-0000-000065150000}"/>
    <cellStyle name="Normal 2 11 2 3" xfId="6910" xr:uid="{00000000-0005-0000-0000-000066150000}"/>
    <cellStyle name="Normal 2 11 2 3 2" xfId="9665" xr:uid="{00000000-0005-0000-0000-000067150000}"/>
    <cellStyle name="Normal 2 11 2 4" xfId="8303" xr:uid="{00000000-0005-0000-0000-000068150000}"/>
    <cellStyle name="Normal 2 11 3" xfId="4365" xr:uid="{00000000-0005-0000-0000-000069150000}"/>
    <cellStyle name="Normal 2 11 3 2" xfId="7533" xr:uid="{00000000-0005-0000-0000-00006A150000}"/>
    <cellStyle name="Normal 2 11 3 2 2" xfId="10288" xr:uid="{00000000-0005-0000-0000-00006B150000}"/>
    <cellStyle name="Normal 2 11 3 3" xfId="8926" xr:uid="{00000000-0005-0000-0000-00006C150000}"/>
    <cellStyle name="Normal 2 11 4" xfId="6909" xr:uid="{00000000-0005-0000-0000-00006D150000}"/>
    <cellStyle name="Normal 2 11 4 2" xfId="9664" xr:uid="{00000000-0005-0000-0000-00006E150000}"/>
    <cellStyle name="Normal 2 11 5" xfId="8302" xr:uid="{00000000-0005-0000-0000-00006F150000}"/>
    <cellStyle name="Normal 2 12" xfId="3741" xr:uid="{00000000-0005-0000-0000-000070150000}"/>
    <cellStyle name="Normal 2 12 2" xfId="4367" xr:uid="{00000000-0005-0000-0000-000071150000}"/>
    <cellStyle name="Normal 2 12 2 2" xfId="7535" xr:uid="{00000000-0005-0000-0000-000072150000}"/>
    <cellStyle name="Normal 2 12 2 2 2" xfId="10290" xr:uid="{00000000-0005-0000-0000-000073150000}"/>
    <cellStyle name="Normal 2 12 2 3" xfId="8928" xr:uid="{00000000-0005-0000-0000-000074150000}"/>
    <cellStyle name="Normal 2 12 3" xfId="6911" xr:uid="{00000000-0005-0000-0000-000075150000}"/>
    <cellStyle name="Normal 2 12 3 2" xfId="9666" xr:uid="{00000000-0005-0000-0000-000076150000}"/>
    <cellStyle name="Normal 2 12 4" xfId="8304" xr:uid="{00000000-0005-0000-0000-000077150000}"/>
    <cellStyle name="Normal 2 13" xfId="3742" xr:uid="{00000000-0005-0000-0000-000078150000}"/>
    <cellStyle name="Normal 2 13 2" xfId="4368" xr:uid="{00000000-0005-0000-0000-000079150000}"/>
    <cellStyle name="Normal 2 13 2 2" xfId="7536" xr:uid="{00000000-0005-0000-0000-00007A150000}"/>
    <cellStyle name="Normal 2 13 2 2 2" xfId="10291" xr:uid="{00000000-0005-0000-0000-00007B150000}"/>
    <cellStyle name="Normal 2 13 2 3" xfId="8929" xr:uid="{00000000-0005-0000-0000-00007C150000}"/>
    <cellStyle name="Normal 2 13 3" xfId="6912" xr:uid="{00000000-0005-0000-0000-00007D150000}"/>
    <cellStyle name="Normal 2 13 3 2" xfId="9667" xr:uid="{00000000-0005-0000-0000-00007E150000}"/>
    <cellStyle name="Normal 2 13 4" xfId="8305" xr:uid="{00000000-0005-0000-0000-00007F150000}"/>
    <cellStyle name="Normal 2 14" xfId="3512" xr:uid="{00000000-0005-0000-0000-000080150000}"/>
    <cellStyle name="Normal 2 14 2" xfId="4153" xr:uid="{00000000-0005-0000-0000-000081150000}"/>
    <cellStyle name="Normal 2 14 2 2" xfId="7321" xr:uid="{00000000-0005-0000-0000-000082150000}"/>
    <cellStyle name="Normal 2 14 2 2 2" xfId="10076" xr:uid="{00000000-0005-0000-0000-000083150000}"/>
    <cellStyle name="Normal 2 14 2 3" xfId="8714" xr:uid="{00000000-0005-0000-0000-000084150000}"/>
    <cellStyle name="Normal 2 14 3" xfId="6710" xr:uid="{00000000-0005-0000-0000-000085150000}"/>
    <cellStyle name="Normal 2 14 3 2" xfId="9465" xr:uid="{00000000-0005-0000-0000-000086150000}"/>
    <cellStyle name="Normal 2 14 4" xfId="8098" xr:uid="{00000000-0005-0000-0000-000087150000}"/>
    <cellStyle name="Normal 2 15" xfId="3372" xr:uid="{00000000-0005-0000-0000-000088150000}"/>
    <cellStyle name="Normal 2 2" xfId="977" xr:uid="{00000000-0005-0000-0000-000089150000}"/>
    <cellStyle name="Normal 2 2 2" xfId="978" xr:uid="{00000000-0005-0000-0000-00008A150000}"/>
    <cellStyle name="Normal 2 2 2 2" xfId="979" xr:uid="{00000000-0005-0000-0000-00008B150000}"/>
    <cellStyle name="Normal 2 2 2 2 2" xfId="3743" xr:uid="{00000000-0005-0000-0000-00008C150000}"/>
    <cellStyle name="Normal 2 2 2 2 2 2" xfId="4369" xr:uid="{00000000-0005-0000-0000-00008D150000}"/>
    <cellStyle name="Normal 2 2 2 2 2 2 2" xfId="7537" xr:uid="{00000000-0005-0000-0000-00008E150000}"/>
    <cellStyle name="Normal 2 2 2 2 2 2 2 2" xfId="10292" xr:uid="{00000000-0005-0000-0000-00008F150000}"/>
    <cellStyle name="Normal 2 2 2 2 2 2 3" xfId="8930" xr:uid="{00000000-0005-0000-0000-000090150000}"/>
    <cellStyle name="Normal 2 2 2 2 2 3" xfId="6913" xr:uid="{00000000-0005-0000-0000-000091150000}"/>
    <cellStyle name="Normal 2 2 2 2 2 3 2" xfId="9668" xr:uid="{00000000-0005-0000-0000-000092150000}"/>
    <cellStyle name="Normal 2 2 2 2 2 4" xfId="8306" xr:uid="{00000000-0005-0000-0000-000093150000}"/>
    <cellStyle name="Normal 2 2 2 2 3" xfId="4132" xr:uid="{00000000-0005-0000-0000-000094150000}"/>
    <cellStyle name="Normal 2 2 2 2 3 2" xfId="7300" xr:uid="{00000000-0005-0000-0000-000095150000}"/>
    <cellStyle name="Normal 2 2 2 2 3 2 2" xfId="10055" xr:uid="{00000000-0005-0000-0000-000096150000}"/>
    <cellStyle name="Normal 2 2 2 2 3 3" xfId="8693" xr:uid="{00000000-0005-0000-0000-000097150000}"/>
    <cellStyle name="Normal 2 2 2 2 4" xfId="3481" xr:uid="{00000000-0005-0000-0000-000098150000}"/>
    <cellStyle name="Normal 2 2 2 2 4 2" xfId="6689" xr:uid="{00000000-0005-0000-0000-000099150000}"/>
    <cellStyle name="Normal 2 2 2 2 4 2 2" xfId="9444" xr:uid="{00000000-0005-0000-0000-00009A150000}"/>
    <cellStyle name="Normal 2 2 2 2 4 3" xfId="8077" xr:uid="{00000000-0005-0000-0000-00009B150000}"/>
    <cellStyle name="Normal 2 2 2 3" xfId="2613" xr:uid="{00000000-0005-0000-0000-00009C150000}"/>
    <cellStyle name="Normal 2 2 2 3 2" xfId="3744" xr:uid="{00000000-0005-0000-0000-00009D150000}"/>
    <cellStyle name="Normal 2 2 2 3 2 2" xfId="4370" xr:uid="{00000000-0005-0000-0000-00009E150000}"/>
    <cellStyle name="Normal 2 2 2 3 2 2 2" xfId="7538" xr:uid="{00000000-0005-0000-0000-00009F150000}"/>
    <cellStyle name="Normal 2 2 2 3 2 2 2 2" xfId="10293" xr:uid="{00000000-0005-0000-0000-0000A0150000}"/>
    <cellStyle name="Normal 2 2 2 3 2 2 3" xfId="8931" xr:uid="{00000000-0005-0000-0000-0000A1150000}"/>
    <cellStyle name="Normal 2 2 2 3 2 3" xfId="6914" xr:uid="{00000000-0005-0000-0000-0000A2150000}"/>
    <cellStyle name="Normal 2 2 2 3 2 3 2" xfId="9669" xr:uid="{00000000-0005-0000-0000-0000A3150000}"/>
    <cellStyle name="Normal 2 2 2 3 2 4" xfId="8307" xr:uid="{00000000-0005-0000-0000-0000A4150000}"/>
    <cellStyle name="Normal 2 2 2 3 3" xfId="4148" xr:uid="{00000000-0005-0000-0000-0000A5150000}"/>
    <cellStyle name="Normal 2 2 2 3 3 2" xfId="7316" xr:uid="{00000000-0005-0000-0000-0000A6150000}"/>
    <cellStyle name="Normal 2 2 2 3 3 2 2" xfId="10071" xr:uid="{00000000-0005-0000-0000-0000A7150000}"/>
    <cellStyle name="Normal 2 2 2 3 3 3" xfId="8709" xr:uid="{00000000-0005-0000-0000-0000A8150000}"/>
    <cellStyle name="Normal 2 2 2 3 4" xfId="3497" xr:uid="{00000000-0005-0000-0000-0000A9150000}"/>
    <cellStyle name="Normal 2 2 2 3 4 2" xfId="6705" xr:uid="{00000000-0005-0000-0000-0000AA150000}"/>
    <cellStyle name="Normal 2 2 2 3 4 2 2" xfId="9460" xr:uid="{00000000-0005-0000-0000-0000AB150000}"/>
    <cellStyle name="Normal 2 2 2 3 4 3" xfId="8093" xr:uid="{00000000-0005-0000-0000-0000AC150000}"/>
    <cellStyle name="Normal 2 2 2 4" xfId="3326" xr:uid="{00000000-0005-0000-0000-0000AD150000}"/>
    <cellStyle name="Normal 2 2 2 4 2" xfId="4371" xr:uid="{00000000-0005-0000-0000-0000AE150000}"/>
    <cellStyle name="Normal 2 2 2 4 2 2" xfId="7539" xr:uid="{00000000-0005-0000-0000-0000AF150000}"/>
    <cellStyle name="Normal 2 2 2 4 2 2 2" xfId="10294" xr:uid="{00000000-0005-0000-0000-0000B0150000}"/>
    <cellStyle name="Normal 2 2 2 4 2 3" xfId="8932" xr:uid="{00000000-0005-0000-0000-0000B1150000}"/>
    <cellStyle name="Normal 2 2 2 4 3" xfId="3745" xr:uid="{00000000-0005-0000-0000-0000B2150000}"/>
    <cellStyle name="Normal 2 2 2 4 3 2" xfId="6915" xr:uid="{00000000-0005-0000-0000-0000B3150000}"/>
    <cellStyle name="Normal 2 2 2 4 3 2 2" xfId="9670" xr:uid="{00000000-0005-0000-0000-0000B4150000}"/>
    <cellStyle name="Normal 2 2 2 4 3 3" xfId="8308" xr:uid="{00000000-0005-0000-0000-0000B5150000}"/>
    <cellStyle name="Normal 2 2 2 4 4" xfId="6630" xr:uid="{00000000-0005-0000-0000-0000B6150000}"/>
    <cellStyle name="Normal 2 2 2 4 4 2" xfId="9394" xr:uid="{00000000-0005-0000-0000-0000B7150000}"/>
    <cellStyle name="Normal 2 2 2 4 5" xfId="8023" xr:uid="{00000000-0005-0000-0000-0000B8150000}"/>
    <cellStyle name="Normal 2 2 2 5" xfId="3517" xr:uid="{00000000-0005-0000-0000-0000B9150000}"/>
    <cellStyle name="Normal 2 2 2 5 2" xfId="4158" xr:uid="{00000000-0005-0000-0000-0000BA150000}"/>
    <cellStyle name="Normal 2 2 2 5 2 2" xfId="7326" xr:uid="{00000000-0005-0000-0000-0000BB150000}"/>
    <cellStyle name="Normal 2 2 2 5 2 2 2" xfId="10081" xr:uid="{00000000-0005-0000-0000-0000BC150000}"/>
    <cellStyle name="Normal 2 2 2 5 2 3" xfId="8719" xr:uid="{00000000-0005-0000-0000-0000BD150000}"/>
    <cellStyle name="Normal 2 2 2 5 3" xfId="6715" xr:uid="{00000000-0005-0000-0000-0000BE150000}"/>
    <cellStyle name="Normal 2 2 2 5 3 2" xfId="9470" xr:uid="{00000000-0005-0000-0000-0000BF150000}"/>
    <cellStyle name="Normal 2 2 2 5 4" xfId="8103" xr:uid="{00000000-0005-0000-0000-0000C0150000}"/>
    <cellStyle name="Normal 2 2 2 6" xfId="4116" xr:uid="{00000000-0005-0000-0000-0000C1150000}"/>
    <cellStyle name="Normal 2 2 2 6 2" xfId="7284" xr:uid="{00000000-0005-0000-0000-0000C2150000}"/>
    <cellStyle name="Normal 2 2 2 6 2 2" xfId="10039" xr:uid="{00000000-0005-0000-0000-0000C3150000}"/>
    <cellStyle name="Normal 2 2 2 6 3" xfId="8677" xr:uid="{00000000-0005-0000-0000-0000C4150000}"/>
    <cellStyle name="Normal 2 2 2 7" xfId="3465" xr:uid="{00000000-0005-0000-0000-0000C5150000}"/>
    <cellStyle name="Normal 2 2 2 7 2" xfId="6673" xr:uid="{00000000-0005-0000-0000-0000C6150000}"/>
    <cellStyle name="Normal 2 2 2 7 2 2" xfId="9428" xr:uid="{00000000-0005-0000-0000-0000C7150000}"/>
    <cellStyle name="Normal 2 2 2 7 3" xfId="8061" xr:uid="{00000000-0005-0000-0000-0000C8150000}"/>
    <cellStyle name="Normal 2 2 3" xfId="3319" xr:uid="{00000000-0005-0000-0000-0000C9150000}"/>
    <cellStyle name="Normal 2 2 3 2" xfId="3746" xr:uid="{00000000-0005-0000-0000-0000CA150000}"/>
    <cellStyle name="Normal 2 2 3 2 2" xfId="4372" xr:uid="{00000000-0005-0000-0000-0000CB150000}"/>
    <cellStyle name="Normal 2 2 3 2 2 2" xfId="7540" xr:uid="{00000000-0005-0000-0000-0000CC150000}"/>
    <cellStyle name="Normal 2 2 3 2 2 2 2" xfId="10295" xr:uid="{00000000-0005-0000-0000-0000CD150000}"/>
    <cellStyle name="Normal 2 2 3 2 2 3" xfId="8933" xr:uid="{00000000-0005-0000-0000-0000CE150000}"/>
    <cellStyle name="Normal 2 2 3 2 3" xfId="6916" xr:uid="{00000000-0005-0000-0000-0000CF150000}"/>
    <cellStyle name="Normal 2 2 3 2 3 2" xfId="9671" xr:uid="{00000000-0005-0000-0000-0000D0150000}"/>
    <cellStyle name="Normal 2 2 3 2 4" xfId="8309" xr:uid="{00000000-0005-0000-0000-0000D1150000}"/>
    <cellStyle name="Normal 2 2 3 3" xfId="4124" xr:uid="{00000000-0005-0000-0000-0000D2150000}"/>
    <cellStyle name="Normal 2 2 3 3 2" xfId="7292" xr:uid="{00000000-0005-0000-0000-0000D3150000}"/>
    <cellStyle name="Normal 2 2 3 3 2 2" xfId="10047" xr:uid="{00000000-0005-0000-0000-0000D4150000}"/>
    <cellStyle name="Normal 2 2 3 3 3" xfId="8685" xr:uid="{00000000-0005-0000-0000-0000D5150000}"/>
    <cellStyle name="Normal 2 2 3 4" xfId="3473" xr:uid="{00000000-0005-0000-0000-0000D6150000}"/>
    <cellStyle name="Normal 2 2 3 4 2" xfId="6681" xr:uid="{00000000-0005-0000-0000-0000D7150000}"/>
    <cellStyle name="Normal 2 2 3 4 2 2" xfId="9436" xr:uid="{00000000-0005-0000-0000-0000D8150000}"/>
    <cellStyle name="Normal 2 2 3 4 3" xfId="8069" xr:uid="{00000000-0005-0000-0000-0000D9150000}"/>
    <cellStyle name="Normal 2 2 3 5" xfId="6626" xr:uid="{00000000-0005-0000-0000-0000DA150000}"/>
    <cellStyle name="Normal 2 2 3 5 2" xfId="9390" xr:uid="{00000000-0005-0000-0000-0000DB150000}"/>
    <cellStyle name="Normal 2 2 3 6" xfId="8019" xr:uid="{00000000-0005-0000-0000-0000DC150000}"/>
    <cellStyle name="Normal 2 2 4" xfId="3489" xr:uid="{00000000-0005-0000-0000-0000DD150000}"/>
    <cellStyle name="Normal 2 2 4 2" xfId="3747" xr:uid="{00000000-0005-0000-0000-0000DE150000}"/>
    <cellStyle name="Normal 2 2 4 2 2" xfId="4373" xr:uid="{00000000-0005-0000-0000-0000DF150000}"/>
    <cellStyle name="Normal 2 2 4 2 2 2" xfId="7541" xr:uid="{00000000-0005-0000-0000-0000E0150000}"/>
    <cellStyle name="Normal 2 2 4 2 2 2 2" xfId="10296" xr:uid="{00000000-0005-0000-0000-0000E1150000}"/>
    <cellStyle name="Normal 2 2 4 2 2 3" xfId="8934" xr:uid="{00000000-0005-0000-0000-0000E2150000}"/>
    <cellStyle name="Normal 2 2 4 2 3" xfId="6917" xr:uid="{00000000-0005-0000-0000-0000E3150000}"/>
    <cellStyle name="Normal 2 2 4 2 3 2" xfId="9672" xr:uid="{00000000-0005-0000-0000-0000E4150000}"/>
    <cellStyle name="Normal 2 2 4 2 4" xfId="8310" xr:uid="{00000000-0005-0000-0000-0000E5150000}"/>
    <cellStyle name="Normal 2 2 4 3" xfId="4140" xr:uid="{00000000-0005-0000-0000-0000E6150000}"/>
    <cellStyle name="Normal 2 2 4 3 2" xfId="7308" xr:uid="{00000000-0005-0000-0000-0000E7150000}"/>
    <cellStyle name="Normal 2 2 4 3 2 2" xfId="10063" xr:uid="{00000000-0005-0000-0000-0000E8150000}"/>
    <cellStyle name="Normal 2 2 4 3 3" xfId="8701" xr:uid="{00000000-0005-0000-0000-0000E9150000}"/>
    <cellStyle name="Normal 2 2 4 4" xfId="6697" xr:uid="{00000000-0005-0000-0000-0000EA150000}"/>
    <cellStyle name="Normal 2 2 4 4 2" xfId="9452" xr:uid="{00000000-0005-0000-0000-0000EB150000}"/>
    <cellStyle name="Normal 2 2 4 5" xfId="8085" xr:uid="{00000000-0005-0000-0000-0000EC150000}"/>
    <cellStyle name="Normal 2 2 5" xfId="3748" xr:uid="{00000000-0005-0000-0000-0000ED150000}"/>
    <cellStyle name="Normal 2 2 5 2" xfId="4374" xr:uid="{00000000-0005-0000-0000-0000EE150000}"/>
    <cellStyle name="Normal 2 2 5 2 2" xfId="7542" xr:uid="{00000000-0005-0000-0000-0000EF150000}"/>
    <cellStyle name="Normal 2 2 5 2 2 2" xfId="10297" xr:uid="{00000000-0005-0000-0000-0000F0150000}"/>
    <cellStyle name="Normal 2 2 5 2 3" xfId="8935" xr:uid="{00000000-0005-0000-0000-0000F1150000}"/>
    <cellStyle name="Normal 2 2 5 3" xfId="6918" xr:uid="{00000000-0005-0000-0000-0000F2150000}"/>
    <cellStyle name="Normal 2 2 5 3 2" xfId="9673" xr:uid="{00000000-0005-0000-0000-0000F3150000}"/>
    <cellStyle name="Normal 2 2 5 4" xfId="8311" xr:uid="{00000000-0005-0000-0000-0000F4150000}"/>
    <cellStyle name="Normal 2 2 6" xfId="3749" xr:uid="{00000000-0005-0000-0000-0000F5150000}"/>
    <cellStyle name="Normal 2 2 6 2" xfId="4375" xr:uid="{00000000-0005-0000-0000-0000F6150000}"/>
    <cellStyle name="Normal 2 2 6 2 2" xfId="7543" xr:uid="{00000000-0005-0000-0000-0000F7150000}"/>
    <cellStyle name="Normal 2 2 6 2 2 2" xfId="10298" xr:uid="{00000000-0005-0000-0000-0000F8150000}"/>
    <cellStyle name="Normal 2 2 6 2 3" xfId="8936" xr:uid="{00000000-0005-0000-0000-0000F9150000}"/>
    <cellStyle name="Normal 2 2 6 3" xfId="6919" xr:uid="{00000000-0005-0000-0000-0000FA150000}"/>
    <cellStyle name="Normal 2 2 6 3 2" xfId="9674" xr:uid="{00000000-0005-0000-0000-0000FB150000}"/>
    <cellStyle name="Normal 2 2 6 4" xfId="8312" xr:uid="{00000000-0005-0000-0000-0000FC150000}"/>
    <cellStyle name="Normal 2 2 7" xfId="3506" xr:uid="{00000000-0005-0000-0000-0000FD150000}"/>
    <cellStyle name="Normal 2 2 8" xfId="4108" xr:uid="{00000000-0005-0000-0000-0000FE150000}"/>
    <cellStyle name="Normal 2 2 8 2" xfId="7276" xr:uid="{00000000-0005-0000-0000-0000FF150000}"/>
    <cellStyle name="Normal 2 2 8 2 2" xfId="10031" xr:uid="{00000000-0005-0000-0000-000000160000}"/>
    <cellStyle name="Normal 2 2 8 3" xfId="8669" xr:uid="{00000000-0005-0000-0000-000001160000}"/>
    <cellStyle name="Normal 2 2 9" xfId="3447" xr:uid="{00000000-0005-0000-0000-000002160000}"/>
    <cellStyle name="Normal 2 2 9 2" xfId="6664" xr:uid="{00000000-0005-0000-0000-000003160000}"/>
    <cellStyle name="Normal 2 2 9 2 2" xfId="9420" xr:uid="{00000000-0005-0000-0000-000004160000}"/>
    <cellStyle name="Normal 2 2 9 3" xfId="8051" xr:uid="{00000000-0005-0000-0000-000005160000}"/>
    <cellStyle name="Normal 2 3" xfId="980" xr:uid="{00000000-0005-0000-0000-000006160000}"/>
    <cellStyle name="Normal 2 3 2" xfId="3751" xr:uid="{00000000-0005-0000-0000-000007160000}"/>
    <cellStyle name="Normal 2 3 2 2" xfId="3752" xr:uid="{00000000-0005-0000-0000-000008160000}"/>
    <cellStyle name="Normal 2 3 2 2 2" xfId="4378" xr:uid="{00000000-0005-0000-0000-000009160000}"/>
    <cellStyle name="Normal 2 3 2 2 2 2" xfId="7546" xr:uid="{00000000-0005-0000-0000-00000A160000}"/>
    <cellStyle name="Normal 2 3 2 2 2 2 2" xfId="10301" xr:uid="{00000000-0005-0000-0000-00000B160000}"/>
    <cellStyle name="Normal 2 3 2 2 2 3" xfId="8939" xr:uid="{00000000-0005-0000-0000-00000C160000}"/>
    <cellStyle name="Normal 2 3 2 2 3" xfId="6922" xr:uid="{00000000-0005-0000-0000-00000D160000}"/>
    <cellStyle name="Normal 2 3 2 2 3 2" xfId="9677" xr:uid="{00000000-0005-0000-0000-00000E160000}"/>
    <cellStyle name="Normal 2 3 2 2 4" xfId="8315" xr:uid="{00000000-0005-0000-0000-00000F160000}"/>
    <cellStyle name="Normal 2 3 2 3" xfId="3753" xr:uid="{00000000-0005-0000-0000-000010160000}"/>
    <cellStyle name="Normal 2 3 2 3 2" xfId="4379" xr:uid="{00000000-0005-0000-0000-000011160000}"/>
    <cellStyle name="Normal 2 3 2 3 2 2" xfId="7547" xr:uid="{00000000-0005-0000-0000-000012160000}"/>
    <cellStyle name="Normal 2 3 2 3 2 2 2" xfId="10302" xr:uid="{00000000-0005-0000-0000-000013160000}"/>
    <cellStyle name="Normal 2 3 2 3 2 3" xfId="8940" xr:uid="{00000000-0005-0000-0000-000014160000}"/>
    <cellStyle name="Normal 2 3 2 3 3" xfId="6923" xr:uid="{00000000-0005-0000-0000-000015160000}"/>
    <cellStyle name="Normal 2 3 2 3 3 2" xfId="9678" xr:uid="{00000000-0005-0000-0000-000016160000}"/>
    <cellStyle name="Normal 2 3 2 3 4" xfId="8316" xr:uid="{00000000-0005-0000-0000-000017160000}"/>
    <cellStyle name="Normal 2 3 2 4" xfId="4377" xr:uid="{00000000-0005-0000-0000-000018160000}"/>
    <cellStyle name="Normal 2 3 2 4 2" xfId="7545" xr:uid="{00000000-0005-0000-0000-000019160000}"/>
    <cellStyle name="Normal 2 3 2 4 2 2" xfId="10300" xr:uid="{00000000-0005-0000-0000-00001A160000}"/>
    <cellStyle name="Normal 2 3 2 4 3" xfId="8938" xr:uid="{00000000-0005-0000-0000-00001B160000}"/>
    <cellStyle name="Normal 2 3 2 5" xfId="6921" xr:uid="{00000000-0005-0000-0000-00001C160000}"/>
    <cellStyle name="Normal 2 3 2 5 2" xfId="9676" xr:uid="{00000000-0005-0000-0000-00001D160000}"/>
    <cellStyle name="Normal 2 3 2 6" xfId="8314" xr:uid="{00000000-0005-0000-0000-00001E160000}"/>
    <cellStyle name="Normal 2 3 3" xfId="3754" xr:uid="{00000000-0005-0000-0000-00001F160000}"/>
    <cellStyle name="Normal 2 3 3 2" xfId="4380" xr:uid="{00000000-0005-0000-0000-000020160000}"/>
    <cellStyle name="Normal 2 3 3 2 2" xfId="7548" xr:uid="{00000000-0005-0000-0000-000021160000}"/>
    <cellStyle name="Normal 2 3 3 2 2 2" xfId="10303" xr:uid="{00000000-0005-0000-0000-000022160000}"/>
    <cellStyle name="Normal 2 3 3 2 3" xfId="8941" xr:uid="{00000000-0005-0000-0000-000023160000}"/>
    <cellStyle name="Normal 2 3 3 3" xfId="6924" xr:uid="{00000000-0005-0000-0000-000024160000}"/>
    <cellStyle name="Normal 2 3 3 3 2" xfId="9679" xr:uid="{00000000-0005-0000-0000-000025160000}"/>
    <cellStyle name="Normal 2 3 3 4" xfId="8317" xr:uid="{00000000-0005-0000-0000-000026160000}"/>
    <cellStyle name="Normal 2 3 4" xfId="3755" xr:uid="{00000000-0005-0000-0000-000027160000}"/>
    <cellStyle name="Normal 2 3 4 2" xfId="4381" xr:uid="{00000000-0005-0000-0000-000028160000}"/>
    <cellStyle name="Normal 2 3 4 2 2" xfId="7549" xr:uid="{00000000-0005-0000-0000-000029160000}"/>
    <cellStyle name="Normal 2 3 4 2 2 2" xfId="10304" xr:uid="{00000000-0005-0000-0000-00002A160000}"/>
    <cellStyle name="Normal 2 3 4 2 3" xfId="8942" xr:uid="{00000000-0005-0000-0000-00002B160000}"/>
    <cellStyle name="Normal 2 3 4 3" xfId="6925" xr:uid="{00000000-0005-0000-0000-00002C160000}"/>
    <cellStyle name="Normal 2 3 4 3 2" xfId="9680" xr:uid="{00000000-0005-0000-0000-00002D160000}"/>
    <cellStyle name="Normal 2 3 4 4" xfId="8318" xr:uid="{00000000-0005-0000-0000-00002E160000}"/>
    <cellStyle name="Normal 2 3 5" xfId="3756" xr:uid="{00000000-0005-0000-0000-00002F160000}"/>
    <cellStyle name="Normal 2 3 5 2" xfId="4382" xr:uid="{00000000-0005-0000-0000-000030160000}"/>
    <cellStyle name="Normal 2 3 5 2 2" xfId="7550" xr:uid="{00000000-0005-0000-0000-000031160000}"/>
    <cellStyle name="Normal 2 3 5 2 2 2" xfId="10305" xr:uid="{00000000-0005-0000-0000-000032160000}"/>
    <cellStyle name="Normal 2 3 5 2 3" xfId="8943" xr:uid="{00000000-0005-0000-0000-000033160000}"/>
    <cellStyle name="Normal 2 3 5 3" xfId="6926" xr:uid="{00000000-0005-0000-0000-000034160000}"/>
    <cellStyle name="Normal 2 3 5 3 2" xfId="9681" xr:uid="{00000000-0005-0000-0000-000035160000}"/>
    <cellStyle name="Normal 2 3 5 4" xfId="8319" xr:uid="{00000000-0005-0000-0000-000036160000}"/>
    <cellStyle name="Normal 2 3 6" xfId="3757" xr:uid="{00000000-0005-0000-0000-000037160000}"/>
    <cellStyle name="Normal 2 3 6 2" xfId="4383" xr:uid="{00000000-0005-0000-0000-000038160000}"/>
    <cellStyle name="Normal 2 3 6 2 2" xfId="7551" xr:uid="{00000000-0005-0000-0000-000039160000}"/>
    <cellStyle name="Normal 2 3 6 2 2 2" xfId="10306" xr:uid="{00000000-0005-0000-0000-00003A160000}"/>
    <cellStyle name="Normal 2 3 6 2 3" xfId="8944" xr:uid="{00000000-0005-0000-0000-00003B160000}"/>
    <cellStyle name="Normal 2 3 6 3" xfId="6927" xr:uid="{00000000-0005-0000-0000-00003C160000}"/>
    <cellStyle name="Normal 2 3 6 3 2" xfId="9682" xr:uid="{00000000-0005-0000-0000-00003D160000}"/>
    <cellStyle name="Normal 2 3 6 4" xfId="8320" xr:uid="{00000000-0005-0000-0000-00003E160000}"/>
    <cellStyle name="Normal 2 3 7" xfId="3750" xr:uid="{00000000-0005-0000-0000-00003F160000}"/>
    <cellStyle name="Normal 2 3 7 2" xfId="4376" xr:uid="{00000000-0005-0000-0000-000040160000}"/>
    <cellStyle name="Normal 2 3 7 2 2" xfId="7544" xr:uid="{00000000-0005-0000-0000-000041160000}"/>
    <cellStyle name="Normal 2 3 7 2 2 2" xfId="10299" xr:uid="{00000000-0005-0000-0000-000042160000}"/>
    <cellStyle name="Normal 2 3 7 2 3" xfId="8937" xr:uid="{00000000-0005-0000-0000-000043160000}"/>
    <cellStyle name="Normal 2 3 7 3" xfId="6920" xr:uid="{00000000-0005-0000-0000-000044160000}"/>
    <cellStyle name="Normal 2 3 7 3 2" xfId="9675" xr:uid="{00000000-0005-0000-0000-000045160000}"/>
    <cellStyle name="Normal 2 3 7 4" xfId="8313" xr:uid="{00000000-0005-0000-0000-000046160000}"/>
    <cellStyle name="Normal 2 3 8" xfId="3378" xr:uid="{00000000-0005-0000-0000-000047160000}"/>
    <cellStyle name="Normal 2 3 9" xfId="10691" xr:uid="{00000000-0005-0000-0000-000048160000}"/>
    <cellStyle name="Normal 2 4" xfId="981" xr:uid="{00000000-0005-0000-0000-000049160000}"/>
    <cellStyle name="Normal 2 4 2" xfId="2614" xr:uid="{00000000-0005-0000-0000-00004A160000}"/>
    <cellStyle name="Normal 2 4 2 2" xfId="3760" xr:uid="{00000000-0005-0000-0000-00004B160000}"/>
    <cellStyle name="Normal 2 4 2 2 2" xfId="4386" xr:uid="{00000000-0005-0000-0000-00004C160000}"/>
    <cellStyle name="Normal 2 4 2 2 2 2" xfId="7554" xr:uid="{00000000-0005-0000-0000-00004D160000}"/>
    <cellStyle name="Normal 2 4 2 2 2 2 2" xfId="10309" xr:uid="{00000000-0005-0000-0000-00004E160000}"/>
    <cellStyle name="Normal 2 4 2 2 2 3" xfId="8947" xr:uid="{00000000-0005-0000-0000-00004F160000}"/>
    <cellStyle name="Normal 2 4 2 2 3" xfId="6930" xr:uid="{00000000-0005-0000-0000-000050160000}"/>
    <cellStyle name="Normal 2 4 2 2 3 2" xfId="9685" xr:uid="{00000000-0005-0000-0000-000051160000}"/>
    <cellStyle name="Normal 2 4 2 2 4" xfId="8323" xr:uid="{00000000-0005-0000-0000-000052160000}"/>
    <cellStyle name="Normal 2 4 2 3" xfId="3761" xr:uid="{00000000-0005-0000-0000-000053160000}"/>
    <cellStyle name="Normal 2 4 2 3 2" xfId="4387" xr:uid="{00000000-0005-0000-0000-000054160000}"/>
    <cellStyle name="Normal 2 4 2 3 2 2" xfId="7555" xr:uid="{00000000-0005-0000-0000-000055160000}"/>
    <cellStyle name="Normal 2 4 2 3 2 2 2" xfId="10310" xr:uid="{00000000-0005-0000-0000-000056160000}"/>
    <cellStyle name="Normal 2 4 2 3 2 3" xfId="8948" xr:uid="{00000000-0005-0000-0000-000057160000}"/>
    <cellStyle name="Normal 2 4 2 3 3" xfId="6931" xr:uid="{00000000-0005-0000-0000-000058160000}"/>
    <cellStyle name="Normal 2 4 2 3 3 2" xfId="9686" xr:uid="{00000000-0005-0000-0000-000059160000}"/>
    <cellStyle name="Normal 2 4 2 3 4" xfId="8324" xr:uid="{00000000-0005-0000-0000-00005A160000}"/>
    <cellStyle name="Normal 2 4 2 4" xfId="4385" xr:uid="{00000000-0005-0000-0000-00005B160000}"/>
    <cellStyle name="Normal 2 4 2 4 2" xfId="7553" xr:uid="{00000000-0005-0000-0000-00005C160000}"/>
    <cellStyle name="Normal 2 4 2 4 2 2" xfId="10308" xr:uid="{00000000-0005-0000-0000-00005D160000}"/>
    <cellStyle name="Normal 2 4 2 4 3" xfId="8946" xr:uid="{00000000-0005-0000-0000-00005E160000}"/>
    <cellStyle name="Normal 2 4 2 5" xfId="3759" xr:uid="{00000000-0005-0000-0000-00005F160000}"/>
    <cellStyle name="Normal 2 4 2 5 2" xfId="6929" xr:uid="{00000000-0005-0000-0000-000060160000}"/>
    <cellStyle name="Normal 2 4 2 5 2 2" xfId="9684" xr:uid="{00000000-0005-0000-0000-000061160000}"/>
    <cellStyle name="Normal 2 4 2 5 3" xfId="8322" xr:uid="{00000000-0005-0000-0000-000062160000}"/>
    <cellStyle name="Normal 2 4 3" xfId="3762" xr:uid="{00000000-0005-0000-0000-000063160000}"/>
    <cellStyle name="Normal 2 4 3 2" xfId="4388" xr:uid="{00000000-0005-0000-0000-000064160000}"/>
    <cellStyle name="Normal 2 4 3 2 2" xfId="7556" xr:uid="{00000000-0005-0000-0000-000065160000}"/>
    <cellStyle name="Normal 2 4 3 2 2 2" xfId="10311" xr:uid="{00000000-0005-0000-0000-000066160000}"/>
    <cellStyle name="Normal 2 4 3 2 3" xfId="8949" xr:uid="{00000000-0005-0000-0000-000067160000}"/>
    <cellStyle name="Normal 2 4 3 3" xfId="6932" xr:uid="{00000000-0005-0000-0000-000068160000}"/>
    <cellStyle name="Normal 2 4 3 3 2" xfId="9687" xr:uid="{00000000-0005-0000-0000-000069160000}"/>
    <cellStyle name="Normal 2 4 3 4" xfId="8325" xr:uid="{00000000-0005-0000-0000-00006A160000}"/>
    <cellStyle name="Normal 2 4 4" xfId="3763" xr:uid="{00000000-0005-0000-0000-00006B160000}"/>
    <cellStyle name="Normal 2 4 4 2" xfId="4389" xr:uid="{00000000-0005-0000-0000-00006C160000}"/>
    <cellStyle name="Normal 2 4 4 2 2" xfId="7557" xr:uid="{00000000-0005-0000-0000-00006D160000}"/>
    <cellStyle name="Normal 2 4 4 2 2 2" xfId="10312" xr:uid="{00000000-0005-0000-0000-00006E160000}"/>
    <cellStyle name="Normal 2 4 4 2 3" xfId="8950" xr:uid="{00000000-0005-0000-0000-00006F160000}"/>
    <cellStyle name="Normal 2 4 4 3" xfId="6933" xr:uid="{00000000-0005-0000-0000-000070160000}"/>
    <cellStyle name="Normal 2 4 4 3 2" xfId="9688" xr:uid="{00000000-0005-0000-0000-000071160000}"/>
    <cellStyle name="Normal 2 4 4 4" xfId="8326" xr:uid="{00000000-0005-0000-0000-000072160000}"/>
    <cellStyle name="Normal 2 4 5" xfId="3764" xr:uid="{00000000-0005-0000-0000-000073160000}"/>
    <cellStyle name="Normal 2 4 5 2" xfId="4390" xr:uid="{00000000-0005-0000-0000-000074160000}"/>
    <cellStyle name="Normal 2 4 5 2 2" xfId="7558" xr:uid="{00000000-0005-0000-0000-000075160000}"/>
    <cellStyle name="Normal 2 4 5 2 2 2" xfId="10313" xr:uid="{00000000-0005-0000-0000-000076160000}"/>
    <cellStyle name="Normal 2 4 5 2 3" xfId="8951" xr:uid="{00000000-0005-0000-0000-000077160000}"/>
    <cellStyle name="Normal 2 4 5 3" xfId="6934" xr:uid="{00000000-0005-0000-0000-000078160000}"/>
    <cellStyle name="Normal 2 4 5 3 2" xfId="9689" xr:uid="{00000000-0005-0000-0000-000079160000}"/>
    <cellStyle name="Normal 2 4 5 4" xfId="8327" xr:uid="{00000000-0005-0000-0000-00007A160000}"/>
    <cellStyle name="Normal 2 4 6" xfId="3765" xr:uid="{00000000-0005-0000-0000-00007B160000}"/>
    <cellStyle name="Normal 2 4 6 2" xfId="4391" xr:uid="{00000000-0005-0000-0000-00007C160000}"/>
    <cellStyle name="Normal 2 4 6 2 2" xfId="7559" xr:uid="{00000000-0005-0000-0000-00007D160000}"/>
    <cellStyle name="Normal 2 4 6 2 2 2" xfId="10314" xr:uid="{00000000-0005-0000-0000-00007E160000}"/>
    <cellStyle name="Normal 2 4 6 2 3" xfId="8952" xr:uid="{00000000-0005-0000-0000-00007F160000}"/>
    <cellStyle name="Normal 2 4 6 3" xfId="6935" xr:uid="{00000000-0005-0000-0000-000080160000}"/>
    <cellStyle name="Normal 2 4 6 3 2" xfId="9690" xr:uid="{00000000-0005-0000-0000-000081160000}"/>
    <cellStyle name="Normal 2 4 6 4" xfId="8328" xr:uid="{00000000-0005-0000-0000-000082160000}"/>
    <cellStyle name="Normal 2 4 7" xfId="3758" xr:uid="{00000000-0005-0000-0000-000083160000}"/>
    <cellStyle name="Normal 2 4 7 2" xfId="4384" xr:uid="{00000000-0005-0000-0000-000084160000}"/>
    <cellStyle name="Normal 2 4 7 2 2" xfId="7552" xr:uid="{00000000-0005-0000-0000-000085160000}"/>
    <cellStyle name="Normal 2 4 7 2 2 2" xfId="10307" xr:uid="{00000000-0005-0000-0000-000086160000}"/>
    <cellStyle name="Normal 2 4 7 2 3" xfId="8945" xr:uid="{00000000-0005-0000-0000-000087160000}"/>
    <cellStyle name="Normal 2 4 7 3" xfId="6928" xr:uid="{00000000-0005-0000-0000-000088160000}"/>
    <cellStyle name="Normal 2 4 7 3 2" xfId="9683" xr:uid="{00000000-0005-0000-0000-000089160000}"/>
    <cellStyle name="Normal 2 4 7 4" xfId="8321" xr:uid="{00000000-0005-0000-0000-00008A160000}"/>
    <cellStyle name="Normal 2 4 8" xfId="3379" xr:uid="{00000000-0005-0000-0000-00008B160000}"/>
    <cellStyle name="Normal 2 5" xfId="2612" xr:uid="{00000000-0005-0000-0000-00008C160000}"/>
    <cellStyle name="Normal 2 5 2" xfId="3767" xr:uid="{00000000-0005-0000-0000-00008D160000}"/>
    <cellStyle name="Normal 2 5 2 2" xfId="3768" xr:uid="{00000000-0005-0000-0000-00008E160000}"/>
    <cellStyle name="Normal 2 5 2 2 2" xfId="4394" xr:uid="{00000000-0005-0000-0000-00008F160000}"/>
    <cellStyle name="Normal 2 5 2 2 2 2" xfId="7562" xr:uid="{00000000-0005-0000-0000-000090160000}"/>
    <cellStyle name="Normal 2 5 2 2 2 2 2" xfId="10317" xr:uid="{00000000-0005-0000-0000-000091160000}"/>
    <cellStyle name="Normal 2 5 2 2 2 3" xfId="8955" xr:uid="{00000000-0005-0000-0000-000092160000}"/>
    <cellStyle name="Normal 2 5 2 2 3" xfId="6938" xr:uid="{00000000-0005-0000-0000-000093160000}"/>
    <cellStyle name="Normal 2 5 2 2 3 2" xfId="9693" xr:uid="{00000000-0005-0000-0000-000094160000}"/>
    <cellStyle name="Normal 2 5 2 2 4" xfId="8331" xr:uid="{00000000-0005-0000-0000-000095160000}"/>
    <cellStyle name="Normal 2 5 2 3" xfId="3769" xr:uid="{00000000-0005-0000-0000-000096160000}"/>
    <cellStyle name="Normal 2 5 2 3 2" xfId="4395" xr:uid="{00000000-0005-0000-0000-000097160000}"/>
    <cellStyle name="Normal 2 5 2 3 2 2" xfId="7563" xr:uid="{00000000-0005-0000-0000-000098160000}"/>
    <cellStyle name="Normal 2 5 2 3 2 2 2" xfId="10318" xr:uid="{00000000-0005-0000-0000-000099160000}"/>
    <cellStyle name="Normal 2 5 2 3 2 3" xfId="8956" xr:uid="{00000000-0005-0000-0000-00009A160000}"/>
    <cellStyle name="Normal 2 5 2 3 3" xfId="6939" xr:uid="{00000000-0005-0000-0000-00009B160000}"/>
    <cellStyle name="Normal 2 5 2 3 3 2" xfId="9694" xr:uid="{00000000-0005-0000-0000-00009C160000}"/>
    <cellStyle name="Normal 2 5 2 3 4" xfId="8332" xr:uid="{00000000-0005-0000-0000-00009D160000}"/>
    <cellStyle name="Normal 2 5 2 4" xfId="4393" xr:uid="{00000000-0005-0000-0000-00009E160000}"/>
    <cellStyle name="Normal 2 5 2 4 2" xfId="7561" xr:uid="{00000000-0005-0000-0000-00009F160000}"/>
    <cellStyle name="Normal 2 5 2 4 2 2" xfId="10316" xr:uid="{00000000-0005-0000-0000-0000A0160000}"/>
    <cellStyle name="Normal 2 5 2 4 3" xfId="8954" xr:uid="{00000000-0005-0000-0000-0000A1160000}"/>
    <cellStyle name="Normal 2 5 2 5" xfId="6937" xr:uid="{00000000-0005-0000-0000-0000A2160000}"/>
    <cellStyle name="Normal 2 5 2 5 2" xfId="9692" xr:uid="{00000000-0005-0000-0000-0000A3160000}"/>
    <cellStyle name="Normal 2 5 2 6" xfId="8330" xr:uid="{00000000-0005-0000-0000-0000A4160000}"/>
    <cellStyle name="Normal 2 5 3" xfId="3770" xr:uid="{00000000-0005-0000-0000-0000A5160000}"/>
    <cellStyle name="Normal 2 5 3 2" xfId="4396" xr:uid="{00000000-0005-0000-0000-0000A6160000}"/>
    <cellStyle name="Normal 2 5 3 2 2" xfId="7564" xr:uid="{00000000-0005-0000-0000-0000A7160000}"/>
    <cellStyle name="Normal 2 5 3 2 2 2" xfId="10319" xr:uid="{00000000-0005-0000-0000-0000A8160000}"/>
    <cellStyle name="Normal 2 5 3 2 3" xfId="8957" xr:uid="{00000000-0005-0000-0000-0000A9160000}"/>
    <cellStyle name="Normal 2 5 3 3" xfId="6940" xr:uid="{00000000-0005-0000-0000-0000AA160000}"/>
    <cellStyle name="Normal 2 5 3 3 2" xfId="9695" xr:uid="{00000000-0005-0000-0000-0000AB160000}"/>
    <cellStyle name="Normal 2 5 3 4" xfId="8333" xr:uid="{00000000-0005-0000-0000-0000AC160000}"/>
    <cellStyle name="Normal 2 5 4" xfId="3771" xr:uid="{00000000-0005-0000-0000-0000AD160000}"/>
    <cellStyle name="Normal 2 5 4 2" xfId="4397" xr:uid="{00000000-0005-0000-0000-0000AE160000}"/>
    <cellStyle name="Normal 2 5 4 2 2" xfId="7565" xr:uid="{00000000-0005-0000-0000-0000AF160000}"/>
    <cellStyle name="Normal 2 5 4 2 2 2" xfId="10320" xr:uid="{00000000-0005-0000-0000-0000B0160000}"/>
    <cellStyle name="Normal 2 5 4 2 3" xfId="8958" xr:uid="{00000000-0005-0000-0000-0000B1160000}"/>
    <cellStyle name="Normal 2 5 4 3" xfId="6941" xr:uid="{00000000-0005-0000-0000-0000B2160000}"/>
    <cellStyle name="Normal 2 5 4 3 2" xfId="9696" xr:uid="{00000000-0005-0000-0000-0000B3160000}"/>
    <cellStyle name="Normal 2 5 4 4" xfId="8334" xr:uid="{00000000-0005-0000-0000-0000B4160000}"/>
    <cellStyle name="Normal 2 5 5" xfId="3772" xr:uid="{00000000-0005-0000-0000-0000B5160000}"/>
    <cellStyle name="Normal 2 5 5 2" xfId="4398" xr:uid="{00000000-0005-0000-0000-0000B6160000}"/>
    <cellStyle name="Normal 2 5 5 2 2" xfId="7566" xr:uid="{00000000-0005-0000-0000-0000B7160000}"/>
    <cellStyle name="Normal 2 5 5 2 2 2" xfId="10321" xr:uid="{00000000-0005-0000-0000-0000B8160000}"/>
    <cellStyle name="Normal 2 5 5 2 3" xfId="8959" xr:uid="{00000000-0005-0000-0000-0000B9160000}"/>
    <cellStyle name="Normal 2 5 5 3" xfId="6942" xr:uid="{00000000-0005-0000-0000-0000BA160000}"/>
    <cellStyle name="Normal 2 5 5 3 2" xfId="9697" xr:uid="{00000000-0005-0000-0000-0000BB160000}"/>
    <cellStyle name="Normal 2 5 5 4" xfId="8335" xr:uid="{00000000-0005-0000-0000-0000BC160000}"/>
    <cellStyle name="Normal 2 5 6" xfId="3766" xr:uid="{00000000-0005-0000-0000-0000BD160000}"/>
    <cellStyle name="Normal 2 5 6 2" xfId="4392" xr:uid="{00000000-0005-0000-0000-0000BE160000}"/>
    <cellStyle name="Normal 2 5 6 2 2" xfId="7560" xr:uid="{00000000-0005-0000-0000-0000BF160000}"/>
    <cellStyle name="Normal 2 5 6 2 2 2" xfId="10315" xr:uid="{00000000-0005-0000-0000-0000C0160000}"/>
    <cellStyle name="Normal 2 5 6 2 3" xfId="8953" xr:uid="{00000000-0005-0000-0000-0000C1160000}"/>
    <cellStyle name="Normal 2 5 6 3" xfId="6936" xr:uid="{00000000-0005-0000-0000-0000C2160000}"/>
    <cellStyle name="Normal 2 5 6 3 2" xfId="9691" xr:uid="{00000000-0005-0000-0000-0000C3160000}"/>
    <cellStyle name="Normal 2 5 6 4" xfId="8329" xr:uid="{00000000-0005-0000-0000-0000C4160000}"/>
    <cellStyle name="Normal 2 5 7" xfId="3380" xr:uid="{00000000-0005-0000-0000-0000C5160000}"/>
    <cellStyle name="Normal 2 6" xfId="3389" xr:uid="{00000000-0005-0000-0000-0000C6160000}"/>
    <cellStyle name="Normal 2 6 2" xfId="3774" xr:uid="{00000000-0005-0000-0000-0000C7160000}"/>
    <cellStyle name="Normal 2 6 2 2" xfId="3775" xr:uid="{00000000-0005-0000-0000-0000C8160000}"/>
    <cellStyle name="Normal 2 6 2 2 2" xfId="4401" xr:uid="{00000000-0005-0000-0000-0000C9160000}"/>
    <cellStyle name="Normal 2 6 2 2 2 2" xfId="7569" xr:uid="{00000000-0005-0000-0000-0000CA160000}"/>
    <cellStyle name="Normal 2 6 2 2 2 2 2" xfId="10324" xr:uid="{00000000-0005-0000-0000-0000CB160000}"/>
    <cellStyle name="Normal 2 6 2 2 2 3" xfId="8962" xr:uid="{00000000-0005-0000-0000-0000CC160000}"/>
    <cellStyle name="Normal 2 6 2 2 3" xfId="6945" xr:uid="{00000000-0005-0000-0000-0000CD160000}"/>
    <cellStyle name="Normal 2 6 2 2 3 2" xfId="9700" xr:uid="{00000000-0005-0000-0000-0000CE160000}"/>
    <cellStyle name="Normal 2 6 2 2 4" xfId="8338" xr:uid="{00000000-0005-0000-0000-0000CF160000}"/>
    <cellStyle name="Normal 2 6 2 3" xfId="3776" xr:uid="{00000000-0005-0000-0000-0000D0160000}"/>
    <cellStyle name="Normal 2 6 2 3 2" xfId="4402" xr:uid="{00000000-0005-0000-0000-0000D1160000}"/>
    <cellStyle name="Normal 2 6 2 3 2 2" xfId="7570" xr:uid="{00000000-0005-0000-0000-0000D2160000}"/>
    <cellStyle name="Normal 2 6 2 3 2 2 2" xfId="10325" xr:uid="{00000000-0005-0000-0000-0000D3160000}"/>
    <cellStyle name="Normal 2 6 2 3 2 3" xfId="8963" xr:uid="{00000000-0005-0000-0000-0000D4160000}"/>
    <cellStyle name="Normal 2 6 2 3 3" xfId="6946" xr:uid="{00000000-0005-0000-0000-0000D5160000}"/>
    <cellStyle name="Normal 2 6 2 3 3 2" xfId="9701" xr:uid="{00000000-0005-0000-0000-0000D6160000}"/>
    <cellStyle name="Normal 2 6 2 3 4" xfId="8339" xr:uid="{00000000-0005-0000-0000-0000D7160000}"/>
    <cellStyle name="Normal 2 6 2 4" xfId="4400" xr:uid="{00000000-0005-0000-0000-0000D8160000}"/>
    <cellStyle name="Normal 2 6 2 4 2" xfId="7568" xr:uid="{00000000-0005-0000-0000-0000D9160000}"/>
    <cellStyle name="Normal 2 6 2 4 2 2" xfId="10323" xr:uid="{00000000-0005-0000-0000-0000DA160000}"/>
    <cellStyle name="Normal 2 6 2 4 3" xfId="8961" xr:uid="{00000000-0005-0000-0000-0000DB160000}"/>
    <cellStyle name="Normal 2 6 2 5" xfId="6944" xr:uid="{00000000-0005-0000-0000-0000DC160000}"/>
    <cellStyle name="Normal 2 6 2 5 2" xfId="9699" xr:uid="{00000000-0005-0000-0000-0000DD160000}"/>
    <cellStyle name="Normal 2 6 2 6" xfId="8337" xr:uid="{00000000-0005-0000-0000-0000DE160000}"/>
    <cellStyle name="Normal 2 6 3" xfId="3777" xr:uid="{00000000-0005-0000-0000-0000DF160000}"/>
    <cellStyle name="Normal 2 6 3 2" xfId="4403" xr:uid="{00000000-0005-0000-0000-0000E0160000}"/>
    <cellStyle name="Normal 2 6 3 2 2" xfId="7571" xr:uid="{00000000-0005-0000-0000-0000E1160000}"/>
    <cellStyle name="Normal 2 6 3 2 2 2" xfId="10326" xr:uid="{00000000-0005-0000-0000-0000E2160000}"/>
    <cellStyle name="Normal 2 6 3 2 3" xfId="8964" xr:uid="{00000000-0005-0000-0000-0000E3160000}"/>
    <cellStyle name="Normal 2 6 3 3" xfId="6947" xr:uid="{00000000-0005-0000-0000-0000E4160000}"/>
    <cellStyle name="Normal 2 6 3 3 2" xfId="9702" xr:uid="{00000000-0005-0000-0000-0000E5160000}"/>
    <cellStyle name="Normal 2 6 3 4" xfId="8340" xr:uid="{00000000-0005-0000-0000-0000E6160000}"/>
    <cellStyle name="Normal 2 6 4" xfId="3778" xr:uid="{00000000-0005-0000-0000-0000E7160000}"/>
    <cellStyle name="Normal 2 6 4 2" xfId="4404" xr:uid="{00000000-0005-0000-0000-0000E8160000}"/>
    <cellStyle name="Normal 2 6 4 2 2" xfId="7572" xr:uid="{00000000-0005-0000-0000-0000E9160000}"/>
    <cellStyle name="Normal 2 6 4 2 2 2" xfId="10327" xr:uid="{00000000-0005-0000-0000-0000EA160000}"/>
    <cellStyle name="Normal 2 6 4 2 3" xfId="8965" xr:uid="{00000000-0005-0000-0000-0000EB160000}"/>
    <cellStyle name="Normal 2 6 4 3" xfId="6948" xr:uid="{00000000-0005-0000-0000-0000EC160000}"/>
    <cellStyle name="Normal 2 6 4 3 2" xfId="9703" xr:uid="{00000000-0005-0000-0000-0000ED160000}"/>
    <cellStyle name="Normal 2 6 4 4" xfId="8341" xr:uid="{00000000-0005-0000-0000-0000EE160000}"/>
    <cellStyle name="Normal 2 6 5" xfId="3779" xr:uid="{00000000-0005-0000-0000-0000EF160000}"/>
    <cellStyle name="Normal 2 6 5 2" xfId="4405" xr:uid="{00000000-0005-0000-0000-0000F0160000}"/>
    <cellStyle name="Normal 2 6 5 2 2" xfId="7573" xr:uid="{00000000-0005-0000-0000-0000F1160000}"/>
    <cellStyle name="Normal 2 6 5 2 2 2" xfId="10328" xr:uid="{00000000-0005-0000-0000-0000F2160000}"/>
    <cellStyle name="Normal 2 6 5 2 3" xfId="8966" xr:uid="{00000000-0005-0000-0000-0000F3160000}"/>
    <cellStyle name="Normal 2 6 5 3" xfId="6949" xr:uid="{00000000-0005-0000-0000-0000F4160000}"/>
    <cellStyle name="Normal 2 6 5 3 2" xfId="9704" xr:uid="{00000000-0005-0000-0000-0000F5160000}"/>
    <cellStyle name="Normal 2 6 5 4" xfId="8342" xr:uid="{00000000-0005-0000-0000-0000F6160000}"/>
    <cellStyle name="Normal 2 6 6" xfId="3773" xr:uid="{00000000-0005-0000-0000-0000F7160000}"/>
    <cellStyle name="Normal 2 6 6 2" xfId="4399" xr:uid="{00000000-0005-0000-0000-0000F8160000}"/>
    <cellStyle name="Normal 2 6 6 2 2" xfId="7567" xr:uid="{00000000-0005-0000-0000-0000F9160000}"/>
    <cellStyle name="Normal 2 6 6 2 2 2" xfId="10322" xr:uid="{00000000-0005-0000-0000-0000FA160000}"/>
    <cellStyle name="Normal 2 6 6 2 3" xfId="8960" xr:uid="{00000000-0005-0000-0000-0000FB160000}"/>
    <cellStyle name="Normal 2 6 6 3" xfId="6943" xr:uid="{00000000-0005-0000-0000-0000FC160000}"/>
    <cellStyle name="Normal 2 6 6 3 2" xfId="9698" xr:uid="{00000000-0005-0000-0000-0000FD160000}"/>
    <cellStyle name="Normal 2 6 6 4" xfId="8336" xr:uid="{00000000-0005-0000-0000-0000FE160000}"/>
    <cellStyle name="Normal 2 7" xfId="3780" xr:uid="{00000000-0005-0000-0000-0000FF160000}"/>
    <cellStyle name="Normal 2 7 2" xfId="3781" xr:uid="{00000000-0005-0000-0000-000000170000}"/>
    <cellStyle name="Normal 2 7 2 2" xfId="3782" xr:uid="{00000000-0005-0000-0000-000001170000}"/>
    <cellStyle name="Normal 2 7 2 2 2" xfId="4408" xr:uid="{00000000-0005-0000-0000-000002170000}"/>
    <cellStyle name="Normal 2 7 2 2 2 2" xfId="7576" xr:uid="{00000000-0005-0000-0000-000003170000}"/>
    <cellStyle name="Normal 2 7 2 2 2 2 2" xfId="10331" xr:uid="{00000000-0005-0000-0000-000004170000}"/>
    <cellStyle name="Normal 2 7 2 2 2 3" xfId="8969" xr:uid="{00000000-0005-0000-0000-000005170000}"/>
    <cellStyle name="Normal 2 7 2 2 3" xfId="6952" xr:uid="{00000000-0005-0000-0000-000006170000}"/>
    <cellStyle name="Normal 2 7 2 2 3 2" xfId="9707" xr:uid="{00000000-0005-0000-0000-000007170000}"/>
    <cellStyle name="Normal 2 7 2 2 4" xfId="8345" xr:uid="{00000000-0005-0000-0000-000008170000}"/>
    <cellStyle name="Normal 2 7 2 3" xfId="3783" xr:uid="{00000000-0005-0000-0000-000009170000}"/>
    <cellStyle name="Normal 2 7 2 3 2" xfId="4409" xr:uid="{00000000-0005-0000-0000-00000A170000}"/>
    <cellStyle name="Normal 2 7 2 3 2 2" xfId="7577" xr:uid="{00000000-0005-0000-0000-00000B170000}"/>
    <cellStyle name="Normal 2 7 2 3 2 2 2" xfId="10332" xr:uid="{00000000-0005-0000-0000-00000C170000}"/>
    <cellStyle name="Normal 2 7 2 3 2 3" xfId="8970" xr:uid="{00000000-0005-0000-0000-00000D170000}"/>
    <cellStyle name="Normal 2 7 2 3 3" xfId="6953" xr:uid="{00000000-0005-0000-0000-00000E170000}"/>
    <cellStyle name="Normal 2 7 2 3 3 2" xfId="9708" xr:uid="{00000000-0005-0000-0000-00000F170000}"/>
    <cellStyle name="Normal 2 7 2 3 4" xfId="8346" xr:uid="{00000000-0005-0000-0000-000010170000}"/>
    <cellStyle name="Normal 2 7 2 4" xfId="4407" xr:uid="{00000000-0005-0000-0000-000011170000}"/>
    <cellStyle name="Normal 2 7 2 4 2" xfId="7575" xr:uid="{00000000-0005-0000-0000-000012170000}"/>
    <cellStyle name="Normal 2 7 2 4 2 2" xfId="10330" xr:uid="{00000000-0005-0000-0000-000013170000}"/>
    <cellStyle name="Normal 2 7 2 4 3" xfId="8968" xr:uid="{00000000-0005-0000-0000-000014170000}"/>
    <cellStyle name="Normal 2 7 2 5" xfId="6951" xr:uid="{00000000-0005-0000-0000-000015170000}"/>
    <cellStyle name="Normal 2 7 2 5 2" xfId="9706" xr:uid="{00000000-0005-0000-0000-000016170000}"/>
    <cellStyle name="Normal 2 7 2 6" xfId="8344" xr:uid="{00000000-0005-0000-0000-000017170000}"/>
    <cellStyle name="Normal 2 7 3" xfId="3784" xr:uid="{00000000-0005-0000-0000-000018170000}"/>
    <cellStyle name="Normal 2 7 3 2" xfId="4410" xr:uid="{00000000-0005-0000-0000-000019170000}"/>
    <cellStyle name="Normal 2 7 3 2 2" xfId="7578" xr:uid="{00000000-0005-0000-0000-00001A170000}"/>
    <cellStyle name="Normal 2 7 3 2 2 2" xfId="10333" xr:uid="{00000000-0005-0000-0000-00001B170000}"/>
    <cellStyle name="Normal 2 7 3 2 3" xfId="8971" xr:uid="{00000000-0005-0000-0000-00001C170000}"/>
    <cellStyle name="Normal 2 7 3 3" xfId="6954" xr:uid="{00000000-0005-0000-0000-00001D170000}"/>
    <cellStyle name="Normal 2 7 3 3 2" xfId="9709" xr:uid="{00000000-0005-0000-0000-00001E170000}"/>
    <cellStyle name="Normal 2 7 3 4" xfId="8347" xr:uid="{00000000-0005-0000-0000-00001F170000}"/>
    <cellStyle name="Normal 2 7 4" xfId="3785" xr:uid="{00000000-0005-0000-0000-000020170000}"/>
    <cellStyle name="Normal 2 7 4 2" xfId="4411" xr:uid="{00000000-0005-0000-0000-000021170000}"/>
    <cellStyle name="Normal 2 7 4 2 2" xfId="7579" xr:uid="{00000000-0005-0000-0000-000022170000}"/>
    <cellStyle name="Normal 2 7 4 2 2 2" xfId="10334" xr:uid="{00000000-0005-0000-0000-000023170000}"/>
    <cellStyle name="Normal 2 7 4 2 3" xfId="8972" xr:uid="{00000000-0005-0000-0000-000024170000}"/>
    <cellStyle name="Normal 2 7 4 3" xfId="6955" xr:uid="{00000000-0005-0000-0000-000025170000}"/>
    <cellStyle name="Normal 2 7 4 3 2" xfId="9710" xr:uid="{00000000-0005-0000-0000-000026170000}"/>
    <cellStyle name="Normal 2 7 4 4" xfId="8348" xr:uid="{00000000-0005-0000-0000-000027170000}"/>
    <cellStyle name="Normal 2 7 5" xfId="3786" xr:uid="{00000000-0005-0000-0000-000028170000}"/>
    <cellStyle name="Normal 2 7 5 2" xfId="4412" xr:uid="{00000000-0005-0000-0000-000029170000}"/>
    <cellStyle name="Normal 2 7 5 2 2" xfId="7580" xr:uid="{00000000-0005-0000-0000-00002A170000}"/>
    <cellStyle name="Normal 2 7 5 2 2 2" xfId="10335" xr:uid="{00000000-0005-0000-0000-00002B170000}"/>
    <cellStyle name="Normal 2 7 5 2 3" xfId="8973" xr:uid="{00000000-0005-0000-0000-00002C170000}"/>
    <cellStyle name="Normal 2 7 5 3" xfId="6956" xr:uid="{00000000-0005-0000-0000-00002D170000}"/>
    <cellStyle name="Normal 2 7 5 3 2" xfId="9711" xr:uid="{00000000-0005-0000-0000-00002E170000}"/>
    <cellStyle name="Normal 2 7 5 4" xfId="8349" xr:uid="{00000000-0005-0000-0000-00002F170000}"/>
    <cellStyle name="Normal 2 7 6" xfId="4406" xr:uid="{00000000-0005-0000-0000-000030170000}"/>
    <cellStyle name="Normal 2 7 6 2" xfId="7574" xr:uid="{00000000-0005-0000-0000-000031170000}"/>
    <cellStyle name="Normal 2 7 6 2 2" xfId="10329" xr:uid="{00000000-0005-0000-0000-000032170000}"/>
    <cellStyle name="Normal 2 7 6 3" xfId="8967" xr:uid="{00000000-0005-0000-0000-000033170000}"/>
    <cellStyle name="Normal 2 7 7" xfId="6950" xr:uid="{00000000-0005-0000-0000-000034170000}"/>
    <cellStyle name="Normal 2 7 7 2" xfId="9705" xr:uid="{00000000-0005-0000-0000-000035170000}"/>
    <cellStyle name="Normal 2 7 8" xfId="8343" xr:uid="{00000000-0005-0000-0000-000036170000}"/>
    <cellStyle name="Normal 2 8" xfId="3787" xr:uid="{00000000-0005-0000-0000-000037170000}"/>
    <cellStyle name="Normal 2 8 2" xfId="3788" xr:uid="{00000000-0005-0000-0000-000038170000}"/>
    <cellStyle name="Normal 2 8 2 2" xfId="3789" xr:uid="{00000000-0005-0000-0000-000039170000}"/>
    <cellStyle name="Normal 2 8 2 2 2" xfId="4415" xr:uid="{00000000-0005-0000-0000-00003A170000}"/>
    <cellStyle name="Normal 2 8 2 2 2 2" xfId="7583" xr:uid="{00000000-0005-0000-0000-00003B170000}"/>
    <cellStyle name="Normal 2 8 2 2 2 2 2" xfId="10338" xr:uid="{00000000-0005-0000-0000-00003C170000}"/>
    <cellStyle name="Normal 2 8 2 2 2 3" xfId="8976" xr:uid="{00000000-0005-0000-0000-00003D170000}"/>
    <cellStyle name="Normal 2 8 2 2 3" xfId="6959" xr:uid="{00000000-0005-0000-0000-00003E170000}"/>
    <cellStyle name="Normal 2 8 2 2 3 2" xfId="9714" xr:uid="{00000000-0005-0000-0000-00003F170000}"/>
    <cellStyle name="Normal 2 8 2 2 4" xfId="8352" xr:uid="{00000000-0005-0000-0000-000040170000}"/>
    <cellStyle name="Normal 2 8 2 3" xfId="3790" xr:uid="{00000000-0005-0000-0000-000041170000}"/>
    <cellStyle name="Normal 2 8 2 3 2" xfId="4416" xr:uid="{00000000-0005-0000-0000-000042170000}"/>
    <cellStyle name="Normal 2 8 2 3 2 2" xfId="7584" xr:uid="{00000000-0005-0000-0000-000043170000}"/>
    <cellStyle name="Normal 2 8 2 3 2 2 2" xfId="10339" xr:uid="{00000000-0005-0000-0000-000044170000}"/>
    <cellStyle name="Normal 2 8 2 3 2 3" xfId="8977" xr:uid="{00000000-0005-0000-0000-000045170000}"/>
    <cellStyle name="Normal 2 8 2 3 3" xfId="6960" xr:uid="{00000000-0005-0000-0000-000046170000}"/>
    <cellStyle name="Normal 2 8 2 3 3 2" xfId="9715" xr:uid="{00000000-0005-0000-0000-000047170000}"/>
    <cellStyle name="Normal 2 8 2 3 4" xfId="8353" xr:uid="{00000000-0005-0000-0000-000048170000}"/>
    <cellStyle name="Normal 2 8 2 4" xfId="4414" xr:uid="{00000000-0005-0000-0000-000049170000}"/>
    <cellStyle name="Normal 2 8 2 4 2" xfId="7582" xr:uid="{00000000-0005-0000-0000-00004A170000}"/>
    <cellStyle name="Normal 2 8 2 4 2 2" xfId="10337" xr:uid="{00000000-0005-0000-0000-00004B170000}"/>
    <cellStyle name="Normal 2 8 2 4 3" xfId="8975" xr:uid="{00000000-0005-0000-0000-00004C170000}"/>
    <cellStyle name="Normal 2 8 2 5" xfId="6958" xr:uid="{00000000-0005-0000-0000-00004D170000}"/>
    <cellStyle name="Normal 2 8 2 5 2" xfId="9713" xr:uid="{00000000-0005-0000-0000-00004E170000}"/>
    <cellStyle name="Normal 2 8 2 6" xfId="8351" xr:uid="{00000000-0005-0000-0000-00004F170000}"/>
    <cellStyle name="Normal 2 8 3" xfId="3791" xr:uid="{00000000-0005-0000-0000-000050170000}"/>
    <cellStyle name="Normal 2 8 3 2" xfId="4417" xr:uid="{00000000-0005-0000-0000-000051170000}"/>
    <cellStyle name="Normal 2 8 3 2 2" xfId="7585" xr:uid="{00000000-0005-0000-0000-000052170000}"/>
    <cellStyle name="Normal 2 8 3 2 2 2" xfId="10340" xr:uid="{00000000-0005-0000-0000-000053170000}"/>
    <cellStyle name="Normal 2 8 3 2 3" xfId="8978" xr:uid="{00000000-0005-0000-0000-000054170000}"/>
    <cellStyle name="Normal 2 8 3 3" xfId="6961" xr:uid="{00000000-0005-0000-0000-000055170000}"/>
    <cellStyle name="Normal 2 8 3 3 2" xfId="9716" xr:uid="{00000000-0005-0000-0000-000056170000}"/>
    <cellStyle name="Normal 2 8 3 4" xfId="8354" xr:uid="{00000000-0005-0000-0000-000057170000}"/>
    <cellStyle name="Normal 2 8 4" xfId="3792" xr:uid="{00000000-0005-0000-0000-000058170000}"/>
    <cellStyle name="Normal 2 8 4 2" xfId="4418" xr:uid="{00000000-0005-0000-0000-000059170000}"/>
    <cellStyle name="Normal 2 8 4 2 2" xfId="7586" xr:uid="{00000000-0005-0000-0000-00005A170000}"/>
    <cellStyle name="Normal 2 8 4 2 2 2" xfId="10341" xr:uid="{00000000-0005-0000-0000-00005B170000}"/>
    <cellStyle name="Normal 2 8 4 2 3" xfId="8979" xr:uid="{00000000-0005-0000-0000-00005C170000}"/>
    <cellStyle name="Normal 2 8 4 3" xfId="6962" xr:uid="{00000000-0005-0000-0000-00005D170000}"/>
    <cellStyle name="Normal 2 8 4 3 2" xfId="9717" xr:uid="{00000000-0005-0000-0000-00005E170000}"/>
    <cellStyle name="Normal 2 8 4 4" xfId="8355" xr:uid="{00000000-0005-0000-0000-00005F170000}"/>
    <cellStyle name="Normal 2 8 5" xfId="3793" xr:uid="{00000000-0005-0000-0000-000060170000}"/>
    <cellStyle name="Normal 2 8 5 2" xfId="4419" xr:uid="{00000000-0005-0000-0000-000061170000}"/>
    <cellStyle name="Normal 2 8 5 2 2" xfId="7587" xr:uid="{00000000-0005-0000-0000-000062170000}"/>
    <cellStyle name="Normal 2 8 5 2 2 2" xfId="10342" xr:uid="{00000000-0005-0000-0000-000063170000}"/>
    <cellStyle name="Normal 2 8 5 2 3" xfId="8980" xr:uid="{00000000-0005-0000-0000-000064170000}"/>
    <cellStyle name="Normal 2 8 5 3" xfId="6963" xr:uid="{00000000-0005-0000-0000-000065170000}"/>
    <cellStyle name="Normal 2 8 5 3 2" xfId="9718" xr:uid="{00000000-0005-0000-0000-000066170000}"/>
    <cellStyle name="Normal 2 8 5 4" xfId="8356" xr:uid="{00000000-0005-0000-0000-000067170000}"/>
    <cellStyle name="Normal 2 8 6" xfId="4413" xr:uid="{00000000-0005-0000-0000-000068170000}"/>
    <cellStyle name="Normal 2 8 6 2" xfId="7581" xr:uid="{00000000-0005-0000-0000-000069170000}"/>
    <cellStyle name="Normal 2 8 6 2 2" xfId="10336" xr:uid="{00000000-0005-0000-0000-00006A170000}"/>
    <cellStyle name="Normal 2 8 6 3" xfId="8974" xr:uid="{00000000-0005-0000-0000-00006B170000}"/>
    <cellStyle name="Normal 2 8 7" xfId="6957" xr:uid="{00000000-0005-0000-0000-00006C170000}"/>
    <cellStyle name="Normal 2 8 7 2" xfId="9712" xr:uid="{00000000-0005-0000-0000-00006D170000}"/>
    <cellStyle name="Normal 2 8 8" xfId="8350" xr:uid="{00000000-0005-0000-0000-00006E170000}"/>
    <cellStyle name="Normal 2 9" xfId="3794" xr:uid="{00000000-0005-0000-0000-00006F170000}"/>
    <cellStyle name="Normal 2 9 2" xfId="3795" xr:uid="{00000000-0005-0000-0000-000070170000}"/>
    <cellStyle name="Normal 2 9 2 2" xfId="3796" xr:uid="{00000000-0005-0000-0000-000071170000}"/>
    <cellStyle name="Normal 2 9 2 2 2" xfId="4422" xr:uid="{00000000-0005-0000-0000-000072170000}"/>
    <cellStyle name="Normal 2 9 2 2 2 2" xfId="7590" xr:uid="{00000000-0005-0000-0000-000073170000}"/>
    <cellStyle name="Normal 2 9 2 2 2 2 2" xfId="10345" xr:uid="{00000000-0005-0000-0000-000074170000}"/>
    <cellStyle name="Normal 2 9 2 2 2 3" xfId="8983" xr:uid="{00000000-0005-0000-0000-000075170000}"/>
    <cellStyle name="Normal 2 9 2 2 3" xfId="6966" xr:uid="{00000000-0005-0000-0000-000076170000}"/>
    <cellStyle name="Normal 2 9 2 2 3 2" xfId="9721" xr:uid="{00000000-0005-0000-0000-000077170000}"/>
    <cellStyle name="Normal 2 9 2 2 4" xfId="8359" xr:uid="{00000000-0005-0000-0000-000078170000}"/>
    <cellStyle name="Normal 2 9 2 3" xfId="3797" xr:uid="{00000000-0005-0000-0000-000079170000}"/>
    <cellStyle name="Normal 2 9 2 3 2" xfId="4423" xr:uid="{00000000-0005-0000-0000-00007A170000}"/>
    <cellStyle name="Normal 2 9 2 3 2 2" xfId="7591" xr:uid="{00000000-0005-0000-0000-00007B170000}"/>
    <cellStyle name="Normal 2 9 2 3 2 2 2" xfId="10346" xr:uid="{00000000-0005-0000-0000-00007C170000}"/>
    <cellStyle name="Normal 2 9 2 3 2 3" xfId="8984" xr:uid="{00000000-0005-0000-0000-00007D170000}"/>
    <cellStyle name="Normal 2 9 2 3 3" xfId="6967" xr:uid="{00000000-0005-0000-0000-00007E170000}"/>
    <cellStyle name="Normal 2 9 2 3 3 2" xfId="9722" xr:uid="{00000000-0005-0000-0000-00007F170000}"/>
    <cellStyle name="Normal 2 9 2 3 4" xfId="8360" xr:uid="{00000000-0005-0000-0000-000080170000}"/>
    <cellStyle name="Normal 2 9 2 4" xfId="4421" xr:uid="{00000000-0005-0000-0000-000081170000}"/>
    <cellStyle name="Normal 2 9 2 4 2" xfId="7589" xr:uid="{00000000-0005-0000-0000-000082170000}"/>
    <cellStyle name="Normal 2 9 2 4 2 2" xfId="10344" xr:uid="{00000000-0005-0000-0000-000083170000}"/>
    <cellStyle name="Normal 2 9 2 4 3" xfId="8982" xr:uid="{00000000-0005-0000-0000-000084170000}"/>
    <cellStyle name="Normal 2 9 2 5" xfId="6965" xr:uid="{00000000-0005-0000-0000-000085170000}"/>
    <cellStyle name="Normal 2 9 2 5 2" xfId="9720" xr:uid="{00000000-0005-0000-0000-000086170000}"/>
    <cellStyle name="Normal 2 9 2 6" xfId="8358" xr:uid="{00000000-0005-0000-0000-000087170000}"/>
    <cellStyle name="Normal 2 9 3" xfId="3798" xr:uid="{00000000-0005-0000-0000-000088170000}"/>
    <cellStyle name="Normal 2 9 3 2" xfId="4424" xr:uid="{00000000-0005-0000-0000-000089170000}"/>
    <cellStyle name="Normal 2 9 3 2 2" xfId="7592" xr:uid="{00000000-0005-0000-0000-00008A170000}"/>
    <cellStyle name="Normal 2 9 3 2 2 2" xfId="10347" xr:uid="{00000000-0005-0000-0000-00008B170000}"/>
    <cellStyle name="Normal 2 9 3 2 3" xfId="8985" xr:uid="{00000000-0005-0000-0000-00008C170000}"/>
    <cellStyle name="Normal 2 9 3 3" xfId="6968" xr:uid="{00000000-0005-0000-0000-00008D170000}"/>
    <cellStyle name="Normal 2 9 3 3 2" xfId="9723" xr:uid="{00000000-0005-0000-0000-00008E170000}"/>
    <cellStyle name="Normal 2 9 3 4" xfId="8361" xr:uid="{00000000-0005-0000-0000-00008F170000}"/>
    <cellStyle name="Normal 2 9 4" xfId="3799" xr:uid="{00000000-0005-0000-0000-000090170000}"/>
    <cellStyle name="Normal 2 9 4 2" xfId="4425" xr:uid="{00000000-0005-0000-0000-000091170000}"/>
    <cellStyle name="Normal 2 9 4 2 2" xfId="7593" xr:uid="{00000000-0005-0000-0000-000092170000}"/>
    <cellStyle name="Normal 2 9 4 2 2 2" xfId="10348" xr:uid="{00000000-0005-0000-0000-000093170000}"/>
    <cellStyle name="Normal 2 9 4 2 3" xfId="8986" xr:uid="{00000000-0005-0000-0000-000094170000}"/>
    <cellStyle name="Normal 2 9 4 3" xfId="6969" xr:uid="{00000000-0005-0000-0000-000095170000}"/>
    <cellStyle name="Normal 2 9 4 3 2" xfId="9724" xr:uid="{00000000-0005-0000-0000-000096170000}"/>
    <cellStyle name="Normal 2 9 4 4" xfId="8362" xr:uid="{00000000-0005-0000-0000-000097170000}"/>
    <cellStyle name="Normal 2 9 5" xfId="4420" xr:uid="{00000000-0005-0000-0000-000098170000}"/>
    <cellStyle name="Normal 2 9 5 2" xfId="7588" xr:uid="{00000000-0005-0000-0000-000099170000}"/>
    <cellStyle name="Normal 2 9 5 2 2" xfId="10343" xr:uid="{00000000-0005-0000-0000-00009A170000}"/>
    <cellStyle name="Normal 2 9 5 3" xfId="8981" xr:uid="{00000000-0005-0000-0000-00009B170000}"/>
    <cellStyle name="Normal 2 9 6" xfId="6964" xr:uid="{00000000-0005-0000-0000-00009C170000}"/>
    <cellStyle name="Normal 2 9 6 2" xfId="9719" xr:uid="{00000000-0005-0000-0000-00009D170000}"/>
    <cellStyle name="Normal 2 9 7" xfId="8357" xr:uid="{00000000-0005-0000-0000-00009E170000}"/>
    <cellStyle name="Normal 20" xfId="3800" xr:uid="{00000000-0005-0000-0000-00009F170000}"/>
    <cellStyle name="Normal 20 2" xfId="4426" xr:uid="{00000000-0005-0000-0000-0000A0170000}"/>
    <cellStyle name="Normal 20 2 2" xfId="7594" xr:uid="{00000000-0005-0000-0000-0000A1170000}"/>
    <cellStyle name="Normal 20 2 2 2" xfId="10349" xr:uid="{00000000-0005-0000-0000-0000A2170000}"/>
    <cellStyle name="Normal 20 2 3" xfId="8987" xr:uid="{00000000-0005-0000-0000-0000A3170000}"/>
    <cellStyle name="Normal 20 3" xfId="6970" xr:uid="{00000000-0005-0000-0000-0000A4170000}"/>
    <cellStyle name="Normal 20 3 2" xfId="9725" xr:uid="{00000000-0005-0000-0000-0000A5170000}"/>
    <cellStyle name="Normal 20 4" xfId="8363" xr:uid="{00000000-0005-0000-0000-0000A6170000}"/>
    <cellStyle name="Normal 21" xfId="3801" xr:uid="{00000000-0005-0000-0000-0000A7170000}"/>
    <cellStyle name="Normal 21 2" xfId="4427" xr:uid="{00000000-0005-0000-0000-0000A8170000}"/>
    <cellStyle name="Normal 21 2 2" xfId="7595" xr:uid="{00000000-0005-0000-0000-0000A9170000}"/>
    <cellStyle name="Normal 21 2 2 2" xfId="10350" xr:uid="{00000000-0005-0000-0000-0000AA170000}"/>
    <cellStyle name="Normal 21 2 3" xfId="8988" xr:uid="{00000000-0005-0000-0000-0000AB170000}"/>
    <cellStyle name="Normal 21 3" xfId="6971" xr:uid="{00000000-0005-0000-0000-0000AC170000}"/>
    <cellStyle name="Normal 21 3 2" xfId="9726" xr:uid="{00000000-0005-0000-0000-0000AD170000}"/>
    <cellStyle name="Normal 21 4" xfId="8364" xr:uid="{00000000-0005-0000-0000-0000AE170000}"/>
    <cellStyle name="Normal 22" xfId="3802" xr:uid="{00000000-0005-0000-0000-0000AF170000}"/>
    <cellStyle name="Normal 22 2" xfId="4428" xr:uid="{00000000-0005-0000-0000-0000B0170000}"/>
    <cellStyle name="Normal 22 2 2" xfId="7596" xr:uid="{00000000-0005-0000-0000-0000B1170000}"/>
    <cellStyle name="Normal 22 2 2 2" xfId="10351" xr:uid="{00000000-0005-0000-0000-0000B2170000}"/>
    <cellStyle name="Normal 22 2 3" xfId="8989" xr:uid="{00000000-0005-0000-0000-0000B3170000}"/>
    <cellStyle name="Normal 22 3" xfId="6972" xr:uid="{00000000-0005-0000-0000-0000B4170000}"/>
    <cellStyle name="Normal 22 3 2" xfId="9727" xr:uid="{00000000-0005-0000-0000-0000B5170000}"/>
    <cellStyle name="Normal 22 4" xfId="8365" xr:uid="{00000000-0005-0000-0000-0000B6170000}"/>
    <cellStyle name="Normal 23" xfId="3515" xr:uid="{00000000-0005-0000-0000-0000B7170000}"/>
    <cellStyle name="Normal 23 2" xfId="4156" xr:uid="{00000000-0005-0000-0000-0000B8170000}"/>
    <cellStyle name="Normal 23 2 2" xfId="7324" xr:uid="{00000000-0005-0000-0000-0000B9170000}"/>
    <cellStyle name="Normal 23 2 2 2" xfId="10079" xr:uid="{00000000-0005-0000-0000-0000BA170000}"/>
    <cellStyle name="Normal 23 2 3" xfId="8717" xr:uid="{00000000-0005-0000-0000-0000BB170000}"/>
    <cellStyle name="Normal 23 3" xfId="6713" xr:uid="{00000000-0005-0000-0000-0000BC170000}"/>
    <cellStyle name="Normal 23 3 2" xfId="9468" xr:uid="{00000000-0005-0000-0000-0000BD170000}"/>
    <cellStyle name="Normal 23 4" xfId="10652" xr:uid="{00000000-0005-0000-0000-0000BE170000}"/>
    <cellStyle name="Normal 23 5" xfId="8101" xr:uid="{00000000-0005-0000-0000-0000BF170000}"/>
    <cellStyle name="Normal 24" xfId="4728" xr:uid="{00000000-0005-0000-0000-0000C0170000}"/>
    <cellStyle name="Normal 25" xfId="4731" xr:uid="{00000000-0005-0000-0000-0000C1170000}"/>
    <cellStyle name="Normal 26" xfId="4732" xr:uid="{00000000-0005-0000-0000-0000C2170000}"/>
    <cellStyle name="Normal 27" xfId="4733" xr:uid="{00000000-0005-0000-0000-0000C3170000}"/>
    <cellStyle name="Normal 28" xfId="4734" xr:uid="{00000000-0005-0000-0000-0000C4170000}"/>
    <cellStyle name="Normal 29" xfId="4735" xr:uid="{00000000-0005-0000-0000-0000C5170000}"/>
    <cellStyle name="Normal 3" xfId="982" xr:uid="{00000000-0005-0000-0000-0000C6170000}"/>
    <cellStyle name="Normal 3 10" xfId="3804" xr:uid="{00000000-0005-0000-0000-0000C7170000}"/>
    <cellStyle name="Normal 3 10 2" xfId="3805" xr:uid="{00000000-0005-0000-0000-0000C8170000}"/>
    <cellStyle name="Normal 3 10 2 2" xfId="4431" xr:uid="{00000000-0005-0000-0000-0000C9170000}"/>
    <cellStyle name="Normal 3 10 2 2 2" xfId="7599" xr:uid="{00000000-0005-0000-0000-0000CA170000}"/>
    <cellStyle name="Normal 3 10 2 2 2 2" xfId="10354" xr:uid="{00000000-0005-0000-0000-0000CB170000}"/>
    <cellStyle name="Normal 3 10 2 2 3" xfId="8992" xr:uid="{00000000-0005-0000-0000-0000CC170000}"/>
    <cellStyle name="Normal 3 10 2 3" xfId="6975" xr:uid="{00000000-0005-0000-0000-0000CD170000}"/>
    <cellStyle name="Normal 3 10 2 3 2" xfId="9730" xr:uid="{00000000-0005-0000-0000-0000CE170000}"/>
    <cellStyle name="Normal 3 10 2 4" xfId="8368" xr:uid="{00000000-0005-0000-0000-0000CF170000}"/>
    <cellStyle name="Normal 3 10 3" xfId="4430" xr:uid="{00000000-0005-0000-0000-0000D0170000}"/>
    <cellStyle name="Normal 3 10 3 2" xfId="7598" xr:uid="{00000000-0005-0000-0000-0000D1170000}"/>
    <cellStyle name="Normal 3 10 3 2 2" xfId="10353" xr:uid="{00000000-0005-0000-0000-0000D2170000}"/>
    <cellStyle name="Normal 3 10 3 3" xfId="8991" xr:uid="{00000000-0005-0000-0000-0000D3170000}"/>
    <cellStyle name="Normal 3 10 4" xfId="6974" xr:uid="{00000000-0005-0000-0000-0000D4170000}"/>
    <cellStyle name="Normal 3 10 4 2" xfId="9729" xr:uid="{00000000-0005-0000-0000-0000D5170000}"/>
    <cellStyle name="Normal 3 10 5" xfId="8367" xr:uid="{00000000-0005-0000-0000-0000D6170000}"/>
    <cellStyle name="Normal 3 11" xfId="3806" xr:uid="{00000000-0005-0000-0000-0000D7170000}"/>
    <cellStyle name="Normal 3 11 2" xfId="4432" xr:uid="{00000000-0005-0000-0000-0000D8170000}"/>
    <cellStyle name="Normal 3 11 2 2" xfId="7600" xr:uid="{00000000-0005-0000-0000-0000D9170000}"/>
    <cellStyle name="Normal 3 11 2 2 2" xfId="10355" xr:uid="{00000000-0005-0000-0000-0000DA170000}"/>
    <cellStyle name="Normal 3 11 2 3" xfId="8993" xr:uid="{00000000-0005-0000-0000-0000DB170000}"/>
    <cellStyle name="Normal 3 11 3" xfId="6976" xr:uid="{00000000-0005-0000-0000-0000DC170000}"/>
    <cellStyle name="Normal 3 11 3 2" xfId="9731" xr:uid="{00000000-0005-0000-0000-0000DD170000}"/>
    <cellStyle name="Normal 3 11 4" xfId="8369" xr:uid="{00000000-0005-0000-0000-0000DE170000}"/>
    <cellStyle name="Normal 3 12" xfId="3807" xr:uid="{00000000-0005-0000-0000-0000DF170000}"/>
    <cellStyle name="Normal 3 12 2" xfId="4433" xr:uid="{00000000-0005-0000-0000-0000E0170000}"/>
    <cellStyle name="Normal 3 12 2 2" xfId="7601" xr:uid="{00000000-0005-0000-0000-0000E1170000}"/>
    <cellStyle name="Normal 3 12 2 2 2" xfId="10356" xr:uid="{00000000-0005-0000-0000-0000E2170000}"/>
    <cellStyle name="Normal 3 12 2 3" xfId="8994" xr:uid="{00000000-0005-0000-0000-0000E3170000}"/>
    <cellStyle name="Normal 3 12 3" xfId="6977" xr:uid="{00000000-0005-0000-0000-0000E4170000}"/>
    <cellStyle name="Normal 3 12 3 2" xfId="9732" xr:uid="{00000000-0005-0000-0000-0000E5170000}"/>
    <cellStyle name="Normal 3 12 4" xfId="8370" xr:uid="{00000000-0005-0000-0000-0000E6170000}"/>
    <cellStyle name="Normal 3 13" xfId="3808" xr:uid="{00000000-0005-0000-0000-0000E7170000}"/>
    <cellStyle name="Normal 3 13 2" xfId="4434" xr:uid="{00000000-0005-0000-0000-0000E8170000}"/>
    <cellStyle name="Normal 3 13 2 2" xfId="7602" xr:uid="{00000000-0005-0000-0000-0000E9170000}"/>
    <cellStyle name="Normal 3 13 2 2 2" xfId="10357" xr:uid="{00000000-0005-0000-0000-0000EA170000}"/>
    <cellStyle name="Normal 3 13 2 3" xfId="8995" xr:uid="{00000000-0005-0000-0000-0000EB170000}"/>
    <cellStyle name="Normal 3 13 3" xfId="6978" xr:uid="{00000000-0005-0000-0000-0000EC170000}"/>
    <cellStyle name="Normal 3 13 3 2" xfId="9733" xr:uid="{00000000-0005-0000-0000-0000ED170000}"/>
    <cellStyle name="Normal 3 13 4" xfId="8371" xr:uid="{00000000-0005-0000-0000-0000EE170000}"/>
    <cellStyle name="Normal 3 14" xfId="3803" xr:uid="{00000000-0005-0000-0000-0000EF170000}"/>
    <cellStyle name="Normal 3 14 2" xfId="4429" xr:uid="{00000000-0005-0000-0000-0000F0170000}"/>
    <cellStyle name="Normal 3 14 2 2" xfId="7597" xr:uid="{00000000-0005-0000-0000-0000F1170000}"/>
    <cellStyle name="Normal 3 14 2 2 2" xfId="10352" xr:uid="{00000000-0005-0000-0000-0000F2170000}"/>
    <cellStyle name="Normal 3 14 2 3" xfId="8990" xr:uid="{00000000-0005-0000-0000-0000F3170000}"/>
    <cellStyle name="Normal 3 14 3" xfId="6973" xr:uid="{00000000-0005-0000-0000-0000F4170000}"/>
    <cellStyle name="Normal 3 14 3 2" xfId="9728" xr:uid="{00000000-0005-0000-0000-0000F5170000}"/>
    <cellStyle name="Normal 3 14 4" xfId="8366" xr:uid="{00000000-0005-0000-0000-0000F6170000}"/>
    <cellStyle name="Normal 3 15" xfId="3381" xr:uid="{00000000-0005-0000-0000-0000F7170000}"/>
    <cellStyle name="Normal 3 2" xfId="983" xr:uid="{00000000-0005-0000-0000-0000F8170000}"/>
    <cellStyle name="Normal 3 2 10" xfId="6224" xr:uid="{00000000-0005-0000-0000-0000F9170000}"/>
    <cellStyle name="Normal 3 2 10 2" xfId="9340" xr:uid="{00000000-0005-0000-0000-0000FA170000}"/>
    <cellStyle name="Normal 3 2 11" xfId="7915" xr:uid="{00000000-0005-0000-0000-0000FB170000}"/>
    <cellStyle name="Normal 3 2 2" xfId="984" xr:uid="{00000000-0005-0000-0000-0000FC170000}"/>
    <cellStyle name="Normal 3 2 2 2" xfId="2616" xr:uid="{00000000-0005-0000-0000-0000FD170000}"/>
    <cellStyle name="Normal 3 2 2 2 2" xfId="4437" xr:uid="{00000000-0005-0000-0000-0000FE170000}"/>
    <cellStyle name="Normal 3 2 2 2 2 2" xfId="7605" xr:uid="{00000000-0005-0000-0000-0000FF170000}"/>
    <cellStyle name="Normal 3 2 2 2 2 2 2" xfId="10360" xr:uid="{00000000-0005-0000-0000-000000180000}"/>
    <cellStyle name="Normal 3 2 2 2 2 3" xfId="8998" xr:uid="{00000000-0005-0000-0000-000001180000}"/>
    <cellStyle name="Normal 3 2 2 2 3" xfId="3811" xr:uid="{00000000-0005-0000-0000-000002180000}"/>
    <cellStyle name="Normal 3 2 2 2 3 2" xfId="6981" xr:uid="{00000000-0005-0000-0000-000003180000}"/>
    <cellStyle name="Normal 3 2 2 2 3 2 2" xfId="9736" xr:uid="{00000000-0005-0000-0000-000004180000}"/>
    <cellStyle name="Normal 3 2 2 2 3 3" xfId="8374" xr:uid="{00000000-0005-0000-0000-000005180000}"/>
    <cellStyle name="Normal 3 2 2 3" xfId="3328" xr:uid="{00000000-0005-0000-0000-000006180000}"/>
    <cellStyle name="Normal 3 2 2 3 2" xfId="4438" xr:uid="{00000000-0005-0000-0000-000007180000}"/>
    <cellStyle name="Normal 3 2 2 3 2 2" xfId="7606" xr:uid="{00000000-0005-0000-0000-000008180000}"/>
    <cellStyle name="Normal 3 2 2 3 2 2 2" xfId="10361" xr:uid="{00000000-0005-0000-0000-000009180000}"/>
    <cellStyle name="Normal 3 2 2 3 2 3" xfId="8999" xr:uid="{00000000-0005-0000-0000-00000A180000}"/>
    <cellStyle name="Normal 3 2 2 3 3" xfId="3812" xr:uid="{00000000-0005-0000-0000-00000B180000}"/>
    <cellStyle name="Normal 3 2 2 3 3 2" xfId="6982" xr:uid="{00000000-0005-0000-0000-00000C180000}"/>
    <cellStyle name="Normal 3 2 2 3 3 2 2" xfId="9737" xr:uid="{00000000-0005-0000-0000-00000D180000}"/>
    <cellStyle name="Normal 3 2 2 3 3 3" xfId="8375" xr:uid="{00000000-0005-0000-0000-00000E180000}"/>
    <cellStyle name="Normal 3 2 2 3 4" xfId="6632" xr:uid="{00000000-0005-0000-0000-00000F180000}"/>
    <cellStyle name="Normal 3 2 2 3 4 2" xfId="9396" xr:uid="{00000000-0005-0000-0000-000010180000}"/>
    <cellStyle name="Normal 3 2 2 3 5" xfId="8025" xr:uid="{00000000-0005-0000-0000-000011180000}"/>
    <cellStyle name="Normal 3 2 2 4" xfId="3813" xr:uid="{00000000-0005-0000-0000-000012180000}"/>
    <cellStyle name="Normal 3 2 2 4 2" xfId="4439" xr:uid="{00000000-0005-0000-0000-000013180000}"/>
    <cellStyle name="Normal 3 2 2 4 2 2" xfId="7607" xr:uid="{00000000-0005-0000-0000-000014180000}"/>
    <cellStyle name="Normal 3 2 2 4 2 2 2" xfId="10362" xr:uid="{00000000-0005-0000-0000-000015180000}"/>
    <cellStyle name="Normal 3 2 2 4 2 3" xfId="9000" xr:uid="{00000000-0005-0000-0000-000016180000}"/>
    <cellStyle name="Normal 3 2 2 4 3" xfId="6983" xr:uid="{00000000-0005-0000-0000-000017180000}"/>
    <cellStyle name="Normal 3 2 2 4 3 2" xfId="9738" xr:uid="{00000000-0005-0000-0000-000018180000}"/>
    <cellStyle name="Normal 3 2 2 4 4" xfId="8376" xr:uid="{00000000-0005-0000-0000-000019180000}"/>
    <cellStyle name="Normal 3 2 2 5" xfId="4436" xr:uid="{00000000-0005-0000-0000-00001A180000}"/>
    <cellStyle name="Normal 3 2 2 5 2" xfId="7604" xr:uid="{00000000-0005-0000-0000-00001B180000}"/>
    <cellStyle name="Normal 3 2 2 5 2 2" xfId="10359" xr:uid="{00000000-0005-0000-0000-00001C180000}"/>
    <cellStyle name="Normal 3 2 2 5 3" xfId="8997" xr:uid="{00000000-0005-0000-0000-00001D180000}"/>
    <cellStyle name="Normal 3 2 2 6" xfId="3810" xr:uid="{00000000-0005-0000-0000-00001E180000}"/>
    <cellStyle name="Normal 3 2 2 6 2" xfId="6980" xr:uid="{00000000-0005-0000-0000-00001F180000}"/>
    <cellStyle name="Normal 3 2 2 6 2 2" xfId="9735" xr:uid="{00000000-0005-0000-0000-000020180000}"/>
    <cellStyle name="Normal 3 2 2 6 3" xfId="8373" xr:uid="{00000000-0005-0000-0000-000021180000}"/>
    <cellStyle name="Normal 3 2 3" xfId="2615" xr:uid="{00000000-0005-0000-0000-000022180000}"/>
    <cellStyle name="Normal 3 2 3 2" xfId="3305" xr:uid="{00000000-0005-0000-0000-000023180000}"/>
    <cellStyle name="Normal 3 2 3 2 2" xfId="4440" xr:uid="{00000000-0005-0000-0000-000024180000}"/>
    <cellStyle name="Normal 3 2 3 2 2 2" xfId="7608" xr:uid="{00000000-0005-0000-0000-000025180000}"/>
    <cellStyle name="Normal 3 2 3 2 2 2 2" xfId="10363" xr:uid="{00000000-0005-0000-0000-000026180000}"/>
    <cellStyle name="Normal 3 2 3 2 2 3" xfId="9001" xr:uid="{00000000-0005-0000-0000-000027180000}"/>
    <cellStyle name="Normal 3 2 3 2 3" xfId="6614" xr:uid="{00000000-0005-0000-0000-000028180000}"/>
    <cellStyle name="Normal 3 2 3 2 3 2" xfId="9378" xr:uid="{00000000-0005-0000-0000-000029180000}"/>
    <cellStyle name="Normal 3 2 3 2 4" xfId="8007" xr:uid="{00000000-0005-0000-0000-00002A180000}"/>
    <cellStyle name="Normal 3 2 3 3" xfId="3814" xr:uid="{00000000-0005-0000-0000-00002B180000}"/>
    <cellStyle name="Normal 3 2 3 3 2" xfId="6984" xr:uid="{00000000-0005-0000-0000-00002C180000}"/>
    <cellStyle name="Normal 3 2 3 3 2 2" xfId="9739" xr:uid="{00000000-0005-0000-0000-00002D180000}"/>
    <cellStyle name="Normal 3 2 3 3 3" xfId="8377" xr:uid="{00000000-0005-0000-0000-00002E180000}"/>
    <cellStyle name="Normal 3 2 3 4" xfId="5671" xr:uid="{00000000-0005-0000-0000-00002F180000}"/>
    <cellStyle name="Normal 3 2 3 4 2" xfId="9321" xr:uid="{00000000-0005-0000-0000-000030180000}"/>
    <cellStyle name="Normal 3 2 3 5" xfId="6593" xr:uid="{00000000-0005-0000-0000-000031180000}"/>
    <cellStyle name="Normal 3 2 3 5 2" xfId="9357" xr:uid="{00000000-0005-0000-0000-000032180000}"/>
    <cellStyle name="Normal 3 2 3 6" xfId="7969" xr:uid="{00000000-0005-0000-0000-000033180000}"/>
    <cellStyle name="Normal 3 2 4" xfId="3321" xr:uid="{00000000-0005-0000-0000-000034180000}"/>
    <cellStyle name="Normal 3 2 4 2" xfId="4441" xr:uid="{00000000-0005-0000-0000-000035180000}"/>
    <cellStyle name="Normal 3 2 4 2 2" xfId="7609" xr:uid="{00000000-0005-0000-0000-000036180000}"/>
    <cellStyle name="Normal 3 2 4 2 2 2" xfId="10364" xr:uid="{00000000-0005-0000-0000-000037180000}"/>
    <cellStyle name="Normal 3 2 4 2 3" xfId="9002" xr:uid="{00000000-0005-0000-0000-000038180000}"/>
    <cellStyle name="Normal 3 2 4 3" xfId="3815" xr:uid="{00000000-0005-0000-0000-000039180000}"/>
    <cellStyle name="Normal 3 2 4 3 2" xfId="6985" xr:uid="{00000000-0005-0000-0000-00003A180000}"/>
    <cellStyle name="Normal 3 2 4 3 2 2" xfId="9740" xr:uid="{00000000-0005-0000-0000-00003B180000}"/>
    <cellStyle name="Normal 3 2 4 3 3" xfId="8378" xr:uid="{00000000-0005-0000-0000-00003C180000}"/>
    <cellStyle name="Normal 3 2 4 4" xfId="6628" xr:uid="{00000000-0005-0000-0000-00003D180000}"/>
    <cellStyle name="Normal 3 2 4 4 2" xfId="9392" xr:uid="{00000000-0005-0000-0000-00003E180000}"/>
    <cellStyle name="Normal 3 2 4 5" xfId="8021" xr:uid="{00000000-0005-0000-0000-00003F180000}"/>
    <cellStyle name="Normal 3 2 5" xfId="3286" xr:uid="{00000000-0005-0000-0000-000040180000}"/>
    <cellStyle name="Normal 3 2 5 2" xfId="4442" xr:uid="{00000000-0005-0000-0000-000041180000}"/>
    <cellStyle name="Normal 3 2 5 2 2" xfId="7610" xr:uid="{00000000-0005-0000-0000-000042180000}"/>
    <cellStyle name="Normal 3 2 5 2 2 2" xfId="10365" xr:uid="{00000000-0005-0000-0000-000043180000}"/>
    <cellStyle name="Normal 3 2 5 2 3" xfId="9003" xr:uid="{00000000-0005-0000-0000-000044180000}"/>
    <cellStyle name="Normal 3 2 5 3" xfId="3816" xr:uid="{00000000-0005-0000-0000-000045180000}"/>
    <cellStyle name="Normal 3 2 5 3 2" xfId="6986" xr:uid="{00000000-0005-0000-0000-000046180000}"/>
    <cellStyle name="Normal 3 2 5 3 2 2" xfId="9741" xr:uid="{00000000-0005-0000-0000-000047180000}"/>
    <cellStyle name="Normal 3 2 5 3 3" xfId="8379" xr:uid="{00000000-0005-0000-0000-000048180000}"/>
    <cellStyle name="Normal 3 2 5 4" xfId="6604" xr:uid="{00000000-0005-0000-0000-000049180000}"/>
    <cellStyle name="Normal 3 2 5 4 2" xfId="9368" xr:uid="{00000000-0005-0000-0000-00004A180000}"/>
    <cellStyle name="Normal 3 2 5 5" xfId="7997" xr:uid="{00000000-0005-0000-0000-00004B180000}"/>
    <cellStyle name="Normal 3 2 6" xfId="3817" xr:uid="{00000000-0005-0000-0000-00004C180000}"/>
    <cellStyle name="Normal 3 2 6 2" xfId="4443" xr:uid="{00000000-0005-0000-0000-00004D180000}"/>
    <cellStyle name="Normal 3 2 6 2 2" xfId="7611" xr:uid="{00000000-0005-0000-0000-00004E180000}"/>
    <cellStyle name="Normal 3 2 6 2 2 2" xfId="10366" xr:uid="{00000000-0005-0000-0000-00004F180000}"/>
    <cellStyle name="Normal 3 2 6 2 3" xfId="9004" xr:uid="{00000000-0005-0000-0000-000050180000}"/>
    <cellStyle name="Normal 3 2 6 3" xfId="6987" xr:uid="{00000000-0005-0000-0000-000051180000}"/>
    <cellStyle name="Normal 3 2 6 3 2" xfId="9742" xr:uid="{00000000-0005-0000-0000-000052180000}"/>
    <cellStyle name="Normal 3 2 6 4" xfId="8380" xr:uid="{00000000-0005-0000-0000-000053180000}"/>
    <cellStyle name="Normal 3 2 7" xfId="3809" xr:uid="{00000000-0005-0000-0000-000054180000}"/>
    <cellStyle name="Normal 3 2 7 2" xfId="4435" xr:uid="{00000000-0005-0000-0000-000055180000}"/>
    <cellStyle name="Normal 3 2 7 2 2" xfId="7603" xr:uid="{00000000-0005-0000-0000-000056180000}"/>
    <cellStyle name="Normal 3 2 7 2 2 2" xfId="10358" xr:uid="{00000000-0005-0000-0000-000057180000}"/>
    <cellStyle name="Normal 3 2 7 2 3" xfId="8996" xr:uid="{00000000-0005-0000-0000-000058180000}"/>
    <cellStyle name="Normal 3 2 7 3" xfId="6979" xr:uid="{00000000-0005-0000-0000-000059180000}"/>
    <cellStyle name="Normal 3 2 7 3 2" xfId="9734" xr:uid="{00000000-0005-0000-0000-00005A180000}"/>
    <cellStyle name="Normal 3 2 7 4" xfId="8372" xr:uid="{00000000-0005-0000-0000-00005B180000}"/>
    <cellStyle name="Normal 3 2 8" xfId="3505" xr:uid="{00000000-0005-0000-0000-00005C180000}"/>
    <cellStyle name="Normal 3 2 9" xfId="5299" xr:uid="{00000000-0005-0000-0000-00005D180000}"/>
    <cellStyle name="Normal 3 2 9 2" xfId="9307" xr:uid="{00000000-0005-0000-0000-00005E180000}"/>
    <cellStyle name="Normal 3 3" xfId="985" xr:uid="{00000000-0005-0000-0000-00005F180000}"/>
    <cellStyle name="Normal 3 3 10" xfId="6225" xr:uid="{00000000-0005-0000-0000-000060180000}"/>
    <cellStyle name="Normal 3 3 10 2" xfId="9341" xr:uid="{00000000-0005-0000-0000-000061180000}"/>
    <cellStyle name="Normal 3 3 11" xfId="7916" xr:uid="{00000000-0005-0000-0000-000062180000}"/>
    <cellStyle name="Normal 3 3 2" xfId="2617" xr:uid="{00000000-0005-0000-0000-000063180000}"/>
    <cellStyle name="Normal 3 3 2 2" xfId="3306" xr:uid="{00000000-0005-0000-0000-000064180000}"/>
    <cellStyle name="Normal 3 3 2 2 2" xfId="4446" xr:uid="{00000000-0005-0000-0000-000065180000}"/>
    <cellStyle name="Normal 3 3 2 2 2 2" xfId="7614" xr:uid="{00000000-0005-0000-0000-000066180000}"/>
    <cellStyle name="Normal 3 3 2 2 2 2 2" xfId="10369" xr:uid="{00000000-0005-0000-0000-000067180000}"/>
    <cellStyle name="Normal 3 3 2 2 2 3" xfId="9007" xr:uid="{00000000-0005-0000-0000-000068180000}"/>
    <cellStyle name="Normal 3 3 2 2 3" xfId="3820" xr:uid="{00000000-0005-0000-0000-000069180000}"/>
    <cellStyle name="Normal 3 3 2 2 3 2" xfId="6990" xr:uid="{00000000-0005-0000-0000-00006A180000}"/>
    <cellStyle name="Normal 3 3 2 2 3 2 2" xfId="9745" xr:uid="{00000000-0005-0000-0000-00006B180000}"/>
    <cellStyle name="Normal 3 3 2 2 3 3" xfId="8383" xr:uid="{00000000-0005-0000-0000-00006C180000}"/>
    <cellStyle name="Normal 3 3 2 2 4" xfId="6615" xr:uid="{00000000-0005-0000-0000-00006D180000}"/>
    <cellStyle name="Normal 3 3 2 2 4 2" xfId="9379" xr:uid="{00000000-0005-0000-0000-00006E180000}"/>
    <cellStyle name="Normal 3 3 2 2 5" xfId="8008" xr:uid="{00000000-0005-0000-0000-00006F180000}"/>
    <cellStyle name="Normal 3 3 2 3" xfId="3821" xr:uid="{00000000-0005-0000-0000-000070180000}"/>
    <cellStyle name="Normal 3 3 2 3 2" xfId="4447" xr:uid="{00000000-0005-0000-0000-000071180000}"/>
    <cellStyle name="Normal 3 3 2 3 2 2" xfId="7615" xr:uid="{00000000-0005-0000-0000-000072180000}"/>
    <cellStyle name="Normal 3 3 2 3 2 2 2" xfId="10370" xr:uid="{00000000-0005-0000-0000-000073180000}"/>
    <cellStyle name="Normal 3 3 2 3 2 3" xfId="9008" xr:uid="{00000000-0005-0000-0000-000074180000}"/>
    <cellStyle name="Normal 3 3 2 3 3" xfId="6991" xr:uid="{00000000-0005-0000-0000-000075180000}"/>
    <cellStyle name="Normal 3 3 2 3 3 2" xfId="9746" xr:uid="{00000000-0005-0000-0000-000076180000}"/>
    <cellStyle name="Normal 3 3 2 3 4" xfId="8384" xr:uid="{00000000-0005-0000-0000-000077180000}"/>
    <cellStyle name="Normal 3 3 2 4" xfId="4445" xr:uid="{00000000-0005-0000-0000-000078180000}"/>
    <cellStyle name="Normal 3 3 2 4 2" xfId="7613" xr:uid="{00000000-0005-0000-0000-000079180000}"/>
    <cellStyle name="Normal 3 3 2 4 2 2" xfId="10368" xr:uid="{00000000-0005-0000-0000-00007A180000}"/>
    <cellStyle name="Normal 3 3 2 4 3" xfId="9006" xr:uid="{00000000-0005-0000-0000-00007B180000}"/>
    <cellStyle name="Normal 3 3 2 5" xfId="3819" xr:uid="{00000000-0005-0000-0000-00007C180000}"/>
    <cellStyle name="Normal 3 3 2 5 2" xfId="6989" xr:uid="{00000000-0005-0000-0000-00007D180000}"/>
    <cellStyle name="Normal 3 3 2 5 2 2" xfId="9744" xr:uid="{00000000-0005-0000-0000-00007E180000}"/>
    <cellStyle name="Normal 3 3 2 5 3" xfId="8382" xr:uid="{00000000-0005-0000-0000-00007F180000}"/>
    <cellStyle name="Normal 3 3 2 6" xfId="5672" xr:uid="{00000000-0005-0000-0000-000080180000}"/>
    <cellStyle name="Normal 3 3 2 6 2" xfId="9322" xr:uid="{00000000-0005-0000-0000-000081180000}"/>
    <cellStyle name="Normal 3 3 2 7" xfId="6594" xr:uid="{00000000-0005-0000-0000-000082180000}"/>
    <cellStyle name="Normal 3 3 2 7 2" xfId="9358" xr:uid="{00000000-0005-0000-0000-000083180000}"/>
    <cellStyle name="Normal 3 3 2 8" xfId="7970" xr:uid="{00000000-0005-0000-0000-000084180000}"/>
    <cellStyle name="Normal 3 3 3" xfId="3327" xr:uid="{00000000-0005-0000-0000-000085180000}"/>
    <cellStyle name="Normal 3 3 3 2" xfId="4448" xr:uid="{00000000-0005-0000-0000-000086180000}"/>
    <cellStyle name="Normal 3 3 3 2 2" xfId="7616" xr:uid="{00000000-0005-0000-0000-000087180000}"/>
    <cellStyle name="Normal 3 3 3 2 2 2" xfId="10371" xr:uid="{00000000-0005-0000-0000-000088180000}"/>
    <cellStyle name="Normal 3 3 3 2 3" xfId="9009" xr:uid="{00000000-0005-0000-0000-000089180000}"/>
    <cellStyle name="Normal 3 3 3 3" xfId="3822" xr:uid="{00000000-0005-0000-0000-00008A180000}"/>
    <cellStyle name="Normal 3 3 3 3 2" xfId="6992" xr:uid="{00000000-0005-0000-0000-00008B180000}"/>
    <cellStyle name="Normal 3 3 3 3 2 2" xfId="9747" xr:uid="{00000000-0005-0000-0000-00008C180000}"/>
    <cellStyle name="Normal 3 3 3 3 3" xfId="8385" xr:uid="{00000000-0005-0000-0000-00008D180000}"/>
    <cellStyle name="Normal 3 3 3 4" xfId="6631" xr:uid="{00000000-0005-0000-0000-00008E180000}"/>
    <cellStyle name="Normal 3 3 3 4 2" xfId="9395" xr:uid="{00000000-0005-0000-0000-00008F180000}"/>
    <cellStyle name="Normal 3 3 3 5" xfId="8024" xr:uid="{00000000-0005-0000-0000-000090180000}"/>
    <cellStyle name="Normal 3 3 4" xfId="3287" xr:uid="{00000000-0005-0000-0000-000091180000}"/>
    <cellStyle name="Normal 3 3 4 2" xfId="4449" xr:uid="{00000000-0005-0000-0000-000092180000}"/>
    <cellStyle name="Normal 3 3 4 2 2" xfId="7617" xr:uid="{00000000-0005-0000-0000-000093180000}"/>
    <cellStyle name="Normal 3 3 4 2 2 2" xfId="10372" xr:uid="{00000000-0005-0000-0000-000094180000}"/>
    <cellStyle name="Normal 3 3 4 2 3" xfId="9010" xr:uid="{00000000-0005-0000-0000-000095180000}"/>
    <cellStyle name="Normal 3 3 4 3" xfId="3823" xr:uid="{00000000-0005-0000-0000-000096180000}"/>
    <cellStyle name="Normal 3 3 4 3 2" xfId="6993" xr:uid="{00000000-0005-0000-0000-000097180000}"/>
    <cellStyle name="Normal 3 3 4 3 2 2" xfId="9748" xr:uid="{00000000-0005-0000-0000-000098180000}"/>
    <cellStyle name="Normal 3 3 4 3 3" xfId="8386" xr:uid="{00000000-0005-0000-0000-000099180000}"/>
    <cellStyle name="Normal 3 3 4 4" xfId="6605" xr:uid="{00000000-0005-0000-0000-00009A180000}"/>
    <cellStyle name="Normal 3 3 4 4 2" xfId="9369" xr:uid="{00000000-0005-0000-0000-00009B180000}"/>
    <cellStyle name="Normal 3 3 4 5" xfId="7998" xr:uid="{00000000-0005-0000-0000-00009C180000}"/>
    <cellStyle name="Normal 3 3 5" xfId="3824" xr:uid="{00000000-0005-0000-0000-00009D180000}"/>
    <cellStyle name="Normal 3 3 5 2" xfId="4450" xr:uid="{00000000-0005-0000-0000-00009E180000}"/>
    <cellStyle name="Normal 3 3 5 2 2" xfId="7618" xr:uid="{00000000-0005-0000-0000-00009F180000}"/>
    <cellStyle name="Normal 3 3 5 2 2 2" xfId="10373" xr:uid="{00000000-0005-0000-0000-0000A0180000}"/>
    <cellStyle name="Normal 3 3 5 2 3" xfId="9011" xr:uid="{00000000-0005-0000-0000-0000A1180000}"/>
    <cellStyle name="Normal 3 3 5 3" xfId="6994" xr:uid="{00000000-0005-0000-0000-0000A2180000}"/>
    <cellStyle name="Normal 3 3 5 3 2" xfId="9749" xr:uid="{00000000-0005-0000-0000-0000A3180000}"/>
    <cellStyle name="Normal 3 3 5 4" xfId="8387" xr:uid="{00000000-0005-0000-0000-0000A4180000}"/>
    <cellStyle name="Normal 3 3 6" xfId="3825" xr:uid="{00000000-0005-0000-0000-0000A5180000}"/>
    <cellStyle name="Normal 3 3 6 2" xfId="4451" xr:uid="{00000000-0005-0000-0000-0000A6180000}"/>
    <cellStyle name="Normal 3 3 6 2 2" xfId="7619" xr:uid="{00000000-0005-0000-0000-0000A7180000}"/>
    <cellStyle name="Normal 3 3 6 2 2 2" xfId="10374" xr:uid="{00000000-0005-0000-0000-0000A8180000}"/>
    <cellStyle name="Normal 3 3 6 2 3" xfId="9012" xr:uid="{00000000-0005-0000-0000-0000A9180000}"/>
    <cellStyle name="Normal 3 3 6 3" xfId="6995" xr:uid="{00000000-0005-0000-0000-0000AA180000}"/>
    <cellStyle name="Normal 3 3 6 3 2" xfId="9750" xr:uid="{00000000-0005-0000-0000-0000AB180000}"/>
    <cellStyle name="Normal 3 3 6 4" xfId="8388" xr:uid="{00000000-0005-0000-0000-0000AC180000}"/>
    <cellStyle name="Normal 3 3 7" xfId="4444" xr:uid="{00000000-0005-0000-0000-0000AD180000}"/>
    <cellStyle name="Normal 3 3 7 2" xfId="7612" xr:uid="{00000000-0005-0000-0000-0000AE180000}"/>
    <cellStyle name="Normal 3 3 7 2 2" xfId="10367" xr:uid="{00000000-0005-0000-0000-0000AF180000}"/>
    <cellStyle name="Normal 3 3 7 3" xfId="9005" xr:uid="{00000000-0005-0000-0000-0000B0180000}"/>
    <cellStyle name="Normal 3 3 8" xfId="3818" xr:uid="{00000000-0005-0000-0000-0000B1180000}"/>
    <cellStyle name="Normal 3 3 8 2" xfId="6988" xr:uid="{00000000-0005-0000-0000-0000B2180000}"/>
    <cellStyle name="Normal 3 3 8 2 2" xfId="9743" xr:uid="{00000000-0005-0000-0000-0000B3180000}"/>
    <cellStyle name="Normal 3 3 8 3" xfId="8381" xr:uid="{00000000-0005-0000-0000-0000B4180000}"/>
    <cellStyle name="Normal 3 3 9" xfId="5300" xr:uid="{00000000-0005-0000-0000-0000B5180000}"/>
    <cellStyle name="Normal 3 3 9 2" xfId="9308" xr:uid="{00000000-0005-0000-0000-0000B6180000}"/>
    <cellStyle name="Normal 3 4" xfId="3320" xr:uid="{00000000-0005-0000-0000-0000B7180000}"/>
    <cellStyle name="Normal 3 4 10" xfId="6627" xr:uid="{00000000-0005-0000-0000-0000B8180000}"/>
    <cellStyle name="Normal 3 4 10 2" xfId="9391" xr:uid="{00000000-0005-0000-0000-0000B9180000}"/>
    <cellStyle name="Normal 3 4 11" xfId="8020" xr:uid="{00000000-0005-0000-0000-0000BA180000}"/>
    <cellStyle name="Normal 3 4 12" xfId="10690" xr:uid="{00000000-0005-0000-0000-0000BB180000}"/>
    <cellStyle name="Normal 3 4 2" xfId="3827" xr:uid="{00000000-0005-0000-0000-0000BC180000}"/>
    <cellStyle name="Normal 3 4 2 2" xfId="3828" xr:uid="{00000000-0005-0000-0000-0000BD180000}"/>
    <cellStyle name="Normal 3 4 2 2 2" xfId="4454" xr:uid="{00000000-0005-0000-0000-0000BE180000}"/>
    <cellStyle name="Normal 3 4 2 2 2 2" xfId="7622" xr:uid="{00000000-0005-0000-0000-0000BF180000}"/>
    <cellStyle name="Normal 3 4 2 2 2 2 2" xfId="10377" xr:uid="{00000000-0005-0000-0000-0000C0180000}"/>
    <cellStyle name="Normal 3 4 2 2 2 3" xfId="9015" xr:uid="{00000000-0005-0000-0000-0000C1180000}"/>
    <cellStyle name="Normal 3 4 2 2 3" xfId="6998" xr:uid="{00000000-0005-0000-0000-0000C2180000}"/>
    <cellStyle name="Normal 3 4 2 2 3 2" xfId="9753" xr:uid="{00000000-0005-0000-0000-0000C3180000}"/>
    <cellStyle name="Normal 3 4 2 2 4" xfId="8391" xr:uid="{00000000-0005-0000-0000-0000C4180000}"/>
    <cellStyle name="Normal 3 4 2 3" xfId="3829" xr:uid="{00000000-0005-0000-0000-0000C5180000}"/>
    <cellStyle name="Normal 3 4 2 3 2" xfId="4455" xr:uid="{00000000-0005-0000-0000-0000C6180000}"/>
    <cellStyle name="Normal 3 4 2 3 2 2" xfId="7623" xr:uid="{00000000-0005-0000-0000-0000C7180000}"/>
    <cellStyle name="Normal 3 4 2 3 2 2 2" xfId="10378" xr:uid="{00000000-0005-0000-0000-0000C8180000}"/>
    <cellStyle name="Normal 3 4 2 3 2 3" xfId="9016" xr:uid="{00000000-0005-0000-0000-0000C9180000}"/>
    <cellStyle name="Normal 3 4 2 3 3" xfId="6999" xr:uid="{00000000-0005-0000-0000-0000CA180000}"/>
    <cellStyle name="Normal 3 4 2 3 3 2" xfId="9754" xr:uid="{00000000-0005-0000-0000-0000CB180000}"/>
    <cellStyle name="Normal 3 4 2 3 4" xfId="8392" xr:uid="{00000000-0005-0000-0000-0000CC180000}"/>
    <cellStyle name="Normal 3 4 2 4" xfId="4453" xr:uid="{00000000-0005-0000-0000-0000CD180000}"/>
    <cellStyle name="Normal 3 4 2 4 2" xfId="7621" xr:uid="{00000000-0005-0000-0000-0000CE180000}"/>
    <cellStyle name="Normal 3 4 2 4 2 2" xfId="10376" xr:uid="{00000000-0005-0000-0000-0000CF180000}"/>
    <cellStyle name="Normal 3 4 2 4 3" xfId="9014" xr:uid="{00000000-0005-0000-0000-0000D0180000}"/>
    <cellStyle name="Normal 3 4 2 5" xfId="6997" xr:uid="{00000000-0005-0000-0000-0000D1180000}"/>
    <cellStyle name="Normal 3 4 2 5 2" xfId="9752" xr:uid="{00000000-0005-0000-0000-0000D2180000}"/>
    <cellStyle name="Normal 3 4 2 6" xfId="8390" xr:uid="{00000000-0005-0000-0000-0000D3180000}"/>
    <cellStyle name="Normal 3 4 3" xfId="3830" xr:uid="{00000000-0005-0000-0000-0000D4180000}"/>
    <cellStyle name="Normal 3 4 3 2" xfId="4456" xr:uid="{00000000-0005-0000-0000-0000D5180000}"/>
    <cellStyle name="Normal 3 4 3 2 2" xfId="7624" xr:uid="{00000000-0005-0000-0000-0000D6180000}"/>
    <cellStyle name="Normal 3 4 3 2 2 2" xfId="10379" xr:uid="{00000000-0005-0000-0000-0000D7180000}"/>
    <cellStyle name="Normal 3 4 3 2 3" xfId="9017" xr:uid="{00000000-0005-0000-0000-0000D8180000}"/>
    <cellStyle name="Normal 3 4 3 3" xfId="7000" xr:uid="{00000000-0005-0000-0000-0000D9180000}"/>
    <cellStyle name="Normal 3 4 3 3 2" xfId="9755" xr:uid="{00000000-0005-0000-0000-0000DA180000}"/>
    <cellStyle name="Normal 3 4 3 4" xfId="8393" xr:uid="{00000000-0005-0000-0000-0000DB180000}"/>
    <cellStyle name="Normal 3 4 4" xfId="3831" xr:uid="{00000000-0005-0000-0000-0000DC180000}"/>
    <cellStyle name="Normal 3 4 4 2" xfId="4457" xr:uid="{00000000-0005-0000-0000-0000DD180000}"/>
    <cellStyle name="Normal 3 4 4 2 2" xfId="7625" xr:uid="{00000000-0005-0000-0000-0000DE180000}"/>
    <cellStyle name="Normal 3 4 4 2 2 2" xfId="10380" xr:uid="{00000000-0005-0000-0000-0000DF180000}"/>
    <cellStyle name="Normal 3 4 4 2 3" xfId="9018" xr:uid="{00000000-0005-0000-0000-0000E0180000}"/>
    <cellStyle name="Normal 3 4 4 3" xfId="7001" xr:uid="{00000000-0005-0000-0000-0000E1180000}"/>
    <cellStyle name="Normal 3 4 4 3 2" xfId="9756" xr:uid="{00000000-0005-0000-0000-0000E2180000}"/>
    <cellStyle name="Normal 3 4 4 4" xfId="8394" xr:uid="{00000000-0005-0000-0000-0000E3180000}"/>
    <cellStyle name="Normal 3 4 5" xfId="3832" xr:uid="{00000000-0005-0000-0000-0000E4180000}"/>
    <cellStyle name="Normal 3 4 5 2" xfId="4458" xr:uid="{00000000-0005-0000-0000-0000E5180000}"/>
    <cellStyle name="Normal 3 4 5 2 2" xfId="7626" xr:uid="{00000000-0005-0000-0000-0000E6180000}"/>
    <cellStyle name="Normal 3 4 5 2 2 2" xfId="10381" xr:uid="{00000000-0005-0000-0000-0000E7180000}"/>
    <cellStyle name="Normal 3 4 5 2 3" xfId="9019" xr:uid="{00000000-0005-0000-0000-0000E8180000}"/>
    <cellStyle name="Normal 3 4 5 3" xfId="7002" xr:uid="{00000000-0005-0000-0000-0000E9180000}"/>
    <cellStyle name="Normal 3 4 5 3 2" xfId="9757" xr:uid="{00000000-0005-0000-0000-0000EA180000}"/>
    <cellStyle name="Normal 3 4 5 4" xfId="8395" xr:uid="{00000000-0005-0000-0000-0000EB180000}"/>
    <cellStyle name="Normal 3 4 6" xfId="3833" xr:uid="{00000000-0005-0000-0000-0000EC180000}"/>
    <cellStyle name="Normal 3 4 6 2" xfId="4459" xr:uid="{00000000-0005-0000-0000-0000ED180000}"/>
    <cellStyle name="Normal 3 4 6 2 2" xfId="7627" xr:uid="{00000000-0005-0000-0000-0000EE180000}"/>
    <cellStyle name="Normal 3 4 6 2 2 2" xfId="10382" xr:uid="{00000000-0005-0000-0000-0000EF180000}"/>
    <cellStyle name="Normal 3 4 6 2 3" xfId="9020" xr:uid="{00000000-0005-0000-0000-0000F0180000}"/>
    <cellStyle name="Normal 3 4 6 3" xfId="7003" xr:uid="{00000000-0005-0000-0000-0000F1180000}"/>
    <cellStyle name="Normal 3 4 6 3 2" xfId="9758" xr:uid="{00000000-0005-0000-0000-0000F2180000}"/>
    <cellStyle name="Normal 3 4 6 4" xfId="8396" xr:uid="{00000000-0005-0000-0000-0000F3180000}"/>
    <cellStyle name="Normal 3 4 7" xfId="4452" xr:uid="{00000000-0005-0000-0000-0000F4180000}"/>
    <cellStyle name="Normal 3 4 7 2" xfId="7620" xr:uid="{00000000-0005-0000-0000-0000F5180000}"/>
    <cellStyle name="Normal 3 4 7 2 2" xfId="10375" xr:uid="{00000000-0005-0000-0000-0000F6180000}"/>
    <cellStyle name="Normal 3 4 7 3" xfId="9013" xr:uid="{00000000-0005-0000-0000-0000F7180000}"/>
    <cellStyle name="Normal 3 4 8" xfId="3826" xr:uid="{00000000-0005-0000-0000-0000F8180000}"/>
    <cellStyle name="Normal 3 4 8 2" xfId="6996" xr:uid="{00000000-0005-0000-0000-0000F9180000}"/>
    <cellStyle name="Normal 3 4 8 2 2" xfId="9751" xr:uid="{00000000-0005-0000-0000-0000FA180000}"/>
    <cellStyle name="Normal 3 4 8 3" xfId="8389" xr:uid="{00000000-0005-0000-0000-0000FB180000}"/>
    <cellStyle name="Normal 3 4 9" xfId="5298" xr:uid="{00000000-0005-0000-0000-0000FC180000}"/>
    <cellStyle name="Normal 3 5" xfId="3834" xr:uid="{00000000-0005-0000-0000-0000FD180000}"/>
    <cellStyle name="Normal 3 5 2" xfId="3835" xr:uid="{00000000-0005-0000-0000-0000FE180000}"/>
    <cellStyle name="Normal 3 5 2 2" xfId="3836" xr:uid="{00000000-0005-0000-0000-0000FF180000}"/>
    <cellStyle name="Normal 3 5 2 2 2" xfId="4462" xr:uid="{00000000-0005-0000-0000-000000190000}"/>
    <cellStyle name="Normal 3 5 2 2 2 2" xfId="7630" xr:uid="{00000000-0005-0000-0000-000001190000}"/>
    <cellStyle name="Normal 3 5 2 2 2 2 2" xfId="10385" xr:uid="{00000000-0005-0000-0000-000002190000}"/>
    <cellStyle name="Normal 3 5 2 2 2 3" xfId="9023" xr:uid="{00000000-0005-0000-0000-000003190000}"/>
    <cellStyle name="Normal 3 5 2 2 3" xfId="7006" xr:uid="{00000000-0005-0000-0000-000004190000}"/>
    <cellStyle name="Normal 3 5 2 2 3 2" xfId="9761" xr:uid="{00000000-0005-0000-0000-000005190000}"/>
    <cellStyle name="Normal 3 5 2 2 4" xfId="8399" xr:uid="{00000000-0005-0000-0000-000006190000}"/>
    <cellStyle name="Normal 3 5 2 3" xfId="3837" xr:uid="{00000000-0005-0000-0000-000007190000}"/>
    <cellStyle name="Normal 3 5 2 3 2" xfId="4463" xr:uid="{00000000-0005-0000-0000-000008190000}"/>
    <cellStyle name="Normal 3 5 2 3 2 2" xfId="7631" xr:uid="{00000000-0005-0000-0000-000009190000}"/>
    <cellStyle name="Normal 3 5 2 3 2 2 2" xfId="10386" xr:uid="{00000000-0005-0000-0000-00000A190000}"/>
    <cellStyle name="Normal 3 5 2 3 2 3" xfId="9024" xr:uid="{00000000-0005-0000-0000-00000B190000}"/>
    <cellStyle name="Normal 3 5 2 3 3" xfId="7007" xr:uid="{00000000-0005-0000-0000-00000C190000}"/>
    <cellStyle name="Normal 3 5 2 3 3 2" xfId="9762" xr:uid="{00000000-0005-0000-0000-00000D190000}"/>
    <cellStyle name="Normal 3 5 2 3 4" xfId="8400" xr:uid="{00000000-0005-0000-0000-00000E190000}"/>
    <cellStyle name="Normal 3 5 2 4" xfId="4461" xr:uid="{00000000-0005-0000-0000-00000F190000}"/>
    <cellStyle name="Normal 3 5 2 4 2" xfId="7629" xr:uid="{00000000-0005-0000-0000-000010190000}"/>
    <cellStyle name="Normal 3 5 2 4 2 2" xfId="10384" xr:uid="{00000000-0005-0000-0000-000011190000}"/>
    <cellStyle name="Normal 3 5 2 4 3" xfId="9022" xr:uid="{00000000-0005-0000-0000-000012190000}"/>
    <cellStyle name="Normal 3 5 2 5" xfId="7005" xr:uid="{00000000-0005-0000-0000-000013190000}"/>
    <cellStyle name="Normal 3 5 2 5 2" xfId="9760" xr:uid="{00000000-0005-0000-0000-000014190000}"/>
    <cellStyle name="Normal 3 5 2 6" xfId="8398" xr:uid="{00000000-0005-0000-0000-000015190000}"/>
    <cellStyle name="Normal 3 5 3" xfId="3838" xr:uid="{00000000-0005-0000-0000-000016190000}"/>
    <cellStyle name="Normal 3 5 3 2" xfId="4464" xr:uid="{00000000-0005-0000-0000-000017190000}"/>
    <cellStyle name="Normal 3 5 3 2 2" xfId="7632" xr:uid="{00000000-0005-0000-0000-000018190000}"/>
    <cellStyle name="Normal 3 5 3 2 2 2" xfId="10387" xr:uid="{00000000-0005-0000-0000-000019190000}"/>
    <cellStyle name="Normal 3 5 3 2 3" xfId="9025" xr:uid="{00000000-0005-0000-0000-00001A190000}"/>
    <cellStyle name="Normal 3 5 3 3" xfId="7008" xr:uid="{00000000-0005-0000-0000-00001B190000}"/>
    <cellStyle name="Normal 3 5 3 3 2" xfId="9763" xr:uid="{00000000-0005-0000-0000-00001C190000}"/>
    <cellStyle name="Normal 3 5 3 4" xfId="8401" xr:uid="{00000000-0005-0000-0000-00001D190000}"/>
    <cellStyle name="Normal 3 5 4" xfId="3839" xr:uid="{00000000-0005-0000-0000-00001E190000}"/>
    <cellStyle name="Normal 3 5 4 2" xfId="4465" xr:uid="{00000000-0005-0000-0000-00001F190000}"/>
    <cellStyle name="Normal 3 5 4 2 2" xfId="7633" xr:uid="{00000000-0005-0000-0000-000020190000}"/>
    <cellStyle name="Normal 3 5 4 2 2 2" xfId="10388" xr:uid="{00000000-0005-0000-0000-000021190000}"/>
    <cellStyle name="Normal 3 5 4 2 3" xfId="9026" xr:uid="{00000000-0005-0000-0000-000022190000}"/>
    <cellStyle name="Normal 3 5 4 3" xfId="7009" xr:uid="{00000000-0005-0000-0000-000023190000}"/>
    <cellStyle name="Normal 3 5 4 3 2" xfId="9764" xr:uid="{00000000-0005-0000-0000-000024190000}"/>
    <cellStyle name="Normal 3 5 4 4" xfId="8402" xr:uid="{00000000-0005-0000-0000-000025190000}"/>
    <cellStyle name="Normal 3 5 5" xfId="3840" xr:uid="{00000000-0005-0000-0000-000026190000}"/>
    <cellStyle name="Normal 3 5 5 2" xfId="4466" xr:uid="{00000000-0005-0000-0000-000027190000}"/>
    <cellStyle name="Normal 3 5 5 2 2" xfId="7634" xr:uid="{00000000-0005-0000-0000-000028190000}"/>
    <cellStyle name="Normal 3 5 5 2 2 2" xfId="10389" xr:uid="{00000000-0005-0000-0000-000029190000}"/>
    <cellStyle name="Normal 3 5 5 2 3" xfId="9027" xr:uid="{00000000-0005-0000-0000-00002A190000}"/>
    <cellStyle name="Normal 3 5 5 3" xfId="7010" xr:uid="{00000000-0005-0000-0000-00002B190000}"/>
    <cellStyle name="Normal 3 5 5 3 2" xfId="9765" xr:uid="{00000000-0005-0000-0000-00002C190000}"/>
    <cellStyle name="Normal 3 5 5 4" xfId="8403" xr:uid="{00000000-0005-0000-0000-00002D190000}"/>
    <cellStyle name="Normal 3 5 6" xfId="4460" xr:uid="{00000000-0005-0000-0000-00002E190000}"/>
    <cellStyle name="Normal 3 5 6 2" xfId="7628" xr:uid="{00000000-0005-0000-0000-00002F190000}"/>
    <cellStyle name="Normal 3 5 6 2 2" xfId="10383" xr:uid="{00000000-0005-0000-0000-000030190000}"/>
    <cellStyle name="Normal 3 5 6 3" xfId="9021" xr:uid="{00000000-0005-0000-0000-000031190000}"/>
    <cellStyle name="Normal 3 5 7" xfId="7004" xr:uid="{00000000-0005-0000-0000-000032190000}"/>
    <cellStyle name="Normal 3 5 7 2" xfId="9759" xr:uid="{00000000-0005-0000-0000-000033190000}"/>
    <cellStyle name="Normal 3 5 8" xfId="8397" xr:uid="{00000000-0005-0000-0000-000034190000}"/>
    <cellStyle name="Normal 3 6" xfId="3841" xr:uid="{00000000-0005-0000-0000-000035190000}"/>
    <cellStyle name="Normal 3 6 2" xfId="3842" xr:uid="{00000000-0005-0000-0000-000036190000}"/>
    <cellStyle name="Normal 3 6 2 2" xfId="3843" xr:uid="{00000000-0005-0000-0000-000037190000}"/>
    <cellStyle name="Normal 3 6 2 2 2" xfId="4469" xr:uid="{00000000-0005-0000-0000-000038190000}"/>
    <cellStyle name="Normal 3 6 2 2 2 2" xfId="7637" xr:uid="{00000000-0005-0000-0000-000039190000}"/>
    <cellStyle name="Normal 3 6 2 2 2 2 2" xfId="10392" xr:uid="{00000000-0005-0000-0000-00003A190000}"/>
    <cellStyle name="Normal 3 6 2 2 2 3" xfId="9030" xr:uid="{00000000-0005-0000-0000-00003B190000}"/>
    <cellStyle name="Normal 3 6 2 2 3" xfId="7013" xr:uid="{00000000-0005-0000-0000-00003C190000}"/>
    <cellStyle name="Normal 3 6 2 2 3 2" xfId="9768" xr:uid="{00000000-0005-0000-0000-00003D190000}"/>
    <cellStyle name="Normal 3 6 2 2 4" xfId="8406" xr:uid="{00000000-0005-0000-0000-00003E190000}"/>
    <cellStyle name="Normal 3 6 2 3" xfId="3844" xr:uid="{00000000-0005-0000-0000-00003F190000}"/>
    <cellStyle name="Normal 3 6 2 3 2" xfId="4470" xr:uid="{00000000-0005-0000-0000-000040190000}"/>
    <cellStyle name="Normal 3 6 2 3 2 2" xfId="7638" xr:uid="{00000000-0005-0000-0000-000041190000}"/>
    <cellStyle name="Normal 3 6 2 3 2 2 2" xfId="10393" xr:uid="{00000000-0005-0000-0000-000042190000}"/>
    <cellStyle name="Normal 3 6 2 3 2 3" xfId="9031" xr:uid="{00000000-0005-0000-0000-000043190000}"/>
    <cellStyle name="Normal 3 6 2 3 3" xfId="7014" xr:uid="{00000000-0005-0000-0000-000044190000}"/>
    <cellStyle name="Normal 3 6 2 3 3 2" xfId="9769" xr:uid="{00000000-0005-0000-0000-000045190000}"/>
    <cellStyle name="Normal 3 6 2 3 4" xfId="8407" xr:uid="{00000000-0005-0000-0000-000046190000}"/>
    <cellStyle name="Normal 3 6 2 4" xfId="4468" xr:uid="{00000000-0005-0000-0000-000047190000}"/>
    <cellStyle name="Normal 3 6 2 4 2" xfId="7636" xr:uid="{00000000-0005-0000-0000-000048190000}"/>
    <cellStyle name="Normal 3 6 2 4 2 2" xfId="10391" xr:uid="{00000000-0005-0000-0000-000049190000}"/>
    <cellStyle name="Normal 3 6 2 4 3" xfId="9029" xr:uid="{00000000-0005-0000-0000-00004A190000}"/>
    <cellStyle name="Normal 3 6 2 5" xfId="7012" xr:uid="{00000000-0005-0000-0000-00004B190000}"/>
    <cellStyle name="Normal 3 6 2 5 2" xfId="9767" xr:uid="{00000000-0005-0000-0000-00004C190000}"/>
    <cellStyle name="Normal 3 6 2 6" xfId="8405" xr:uid="{00000000-0005-0000-0000-00004D190000}"/>
    <cellStyle name="Normal 3 6 3" xfId="3845" xr:uid="{00000000-0005-0000-0000-00004E190000}"/>
    <cellStyle name="Normal 3 6 3 2" xfId="4471" xr:uid="{00000000-0005-0000-0000-00004F190000}"/>
    <cellStyle name="Normal 3 6 3 2 2" xfId="7639" xr:uid="{00000000-0005-0000-0000-000050190000}"/>
    <cellStyle name="Normal 3 6 3 2 2 2" xfId="10394" xr:uid="{00000000-0005-0000-0000-000051190000}"/>
    <cellStyle name="Normal 3 6 3 2 3" xfId="9032" xr:uid="{00000000-0005-0000-0000-000052190000}"/>
    <cellStyle name="Normal 3 6 3 3" xfId="7015" xr:uid="{00000000-0005-0000-0000-000053190000}"/>
    <cellStyle name="Normal 3 6 3 3 2" xfId="9770" xr:uid="{00000000-0005-0000-0000-000054190000}"/>
    <cellStyle name="Normal 3 6 3 4" xfId="8408" xr:uid="{00000000-0005-0000-0000-000055190000}"/>
    <cellStyle name="Normal 3 6 4" xfId="3846" xr:uid="{00000000-0005-0000-0000-000056190000}"/>
    <cellStyle name="Normal 3 6 4 2" xfId="4472" xr:uid="{00000000-0005-0000-0000-000057190000}"/>
    <cellStyle name="Normal 3 6 4 2 2" xfId="7640" xr:uid="{00000000-0005-0000-0000-000058190000}"/>
    <cellStyle name="Normal 3 6 4 2 2 2" xfId="10395" xr:uid="{00000000-0005-0000-0000-000059190000}"/>
    <cellStyle name="Normal 3 6 4 2 3" xfId="9033" xr:uid="{00000000-0005-0000-0000-00005A190000}"/>
    <cellStyle name="Normal 3 6 4 3" xfId="7016" xr:uid="{00000000-0005-0000-0000-00005B190000}"/>
    <cellStyle name="Normal 3 6 4 3 2" xfId="9771" xr:uid="{00000000-0005-0000-0000-00005C190000}"/>
    <cellStyle name="Normal 3 6 4 4" xfId="8409" xr:uid="{00000000-0005-0000-0000-00005D190000}"/>
    <cellStyle name="Normal 3 6 5" xfId="3847" xr:uid="{00000000-0005-0000-0000-00005E190000}"/>
    <cellStyle name="Normal 3 6 5 2" xfId="4473" xr:uid="{00000000-0005-0000-0000-00005F190000}"/>
    <cellStyle name="Normal 3 6 5 2 2" xfId="7641" xr:uid="{00000000-0005-0000-0000-000060190000}"/>
    <cellStyle name="Normal 3 6 5 2 2 2" xfId="10396" xr:uid="{00000000-0005-0000-0000-000061190000}"/>
    <cellStyle name="Normal 3 6 5 2 3" xfId="9034" xr:uid="{00000000-0005-0000-0000-000062190000}"/>
    <cellStyle name="Normal 3 6 5 3" xfId="7017" xr:uid="{00000000-0005-0000-0000-000063190000}"/>
    <cellStyle name="Normal 3 6 5 3 2" xfId="9772" xr:uid="{00000000-0005-0000-0000-000064190000}"/>
    <cellStyle name="Normal 3 6 5 4" xfId="8410" xr:uid="{00000000-0005-0000-0000-000065190000}"/>
    <cellStyle name="Normal 3 6 6" xfId="4467" xr:uid="{00000000-0005-0000-0000-000066190000}"/>
    <cellStyle name="Normal 3 6 6 2" xfId="7635" xr:uid="{00000000-0005-0000-0000-000067190000}"/>
    <cellStyle name="Normal 3 6 6 2 2" xfId="10390" xr:uid="{00000000-0005-0000-0000-000068190000}"/>
    <cellStyle name="Normal 3 6 6 3" xfId="9028" xr:uid="{00000000-0005-0000-0000-000069190000}"/>
    <cellStyle name="Normal 3 6 7" xfId="7011" xr:uid="{00000000-0005-0000-0000-00006A190000}"/>
    <cellStyle name="Normal 3 6 7 2" xfId="9766" xr:uid="{00000000-0005-0000-0000-00006B190000}"/>
    <cellStyle name="Normal 3 6 8" xfId="8404" xr:uid="{00000000-0005-0000-0000-00006C190000}"/>
    <cellStyle name="Normal 3 7" xfId="3848" xr:uid="{00000000-0005-0000-0000-00006D190000}"/>
    <cellStyle name="Normal 3 7 2" xfId="3849" xr:uid="{00000000-0005-0000-0000-00006E190000}"/>
    <cellStyle name="Normal 3 7 2 2" xfId="3850" xr:uid="{00000000-0005-0000-0000-00006F190000}"/>
    <cellStyle name="Normal 3 7 2 2 2" xfId="4476" xr:uid="{00000000-0005-0000-0000-000070190000}"/>
    <cellStyle name="Normal 3 7 2 2 2 2" xfId="7644" xr:uid="{00000000-0005-0000-0000-000071190000}"/>
    <cellStyle name="Normal 3 7 2 2 2 2 2" xfId="10399" xr:uid="{00000000-0005-0000-0000-000072190000}"/>
    <cellStyle name="Normal 3 7 2 2 2 3" xfId="9037" xr:uid="{00000000-0005-0000-0000-000073190000}"/>
    <cellStyle name="Normal 3 7 2 2 3" xfId="7020" xr:uid="{00000000-0005-0000-0000-000074190000}"/>
    <cellStyle name="Normal 3 7 2 2 3 2" xfId="9775" xr:uid="{00000000-0005-0000-0000-000075190000}"/>
    <cellStyle name="Normal 3 7 2 2 4" xfId="8413" xr:uid="{00000000-0005-0000-0000-000076190000}"/>
    <cellStyle name="Normal 3 7 2 3" xfId="3851" xr:uid="{00000000-0005-0000-0000-000077190000}"/>
    <cellStyle name="Normal 3 7 2 3 2" xfId="4477" xr:uid="{00000000-0005-0000-0000-000078190000}"/>
    <cellStyle name="Normal 3 7 2 3 2 2" xfId="7645" xr:uid="{00000000-0005-0000-0000-000079190000}"/>
    <cellStyle name="Normal 3 7 2 3 2 2 2" xfId="10400" xr:uid="{00000000-0005-0000-0000-00007A190000}"/>
    <cellStyle name="Normal 3 7 2 3 2 3" xfId="9038" xr:uid="{00000000-0005-0000-0000-00007B190000}"/>
    <cellStyle name="Normal 3 7 2 3 3" xfId="7021" xr:uid="{00000000-0005-0000-0000-00007C190000}"/>
    <cellStyle name="Normal 3 7 2 3 3 2" xfId="9776" xr:uid="{00000000-0005-0000-0000-00007D190000}"/>
    <cellStyle name="Normal 3 7 2 3 4" xfId="8414" xr:uid="{00000000-0005-0000-0000-00007E190000}"/>
    <cellStyle name="Normal 3 7 2 4" xfId="4475" xr:uid="{00000000-0005-0000-0000-00007F190000}"/>
    <cellStyle name="Normal 3 7 2 4 2" xfId="7643" xr:uid="{00000000-0005-0000-0000-000080190000}"/>
    <cellStyle name="Normal 3 7 2 4 2 2" xfId="10398" xr:uid="{00000000-0005-0000-0000-000081190000}"/>
    <cellStyle name="Normal 3 7 2 4 3" xfId="9036" xr:uid="{00000000-0005-0000-0000-000082190000}"/>
    <cellStyle name="Normal 3 7 2 5" xfId="7019" xr:uid="{00000000-0005-0000-0000-000083190000}"/>
    <cellStyle name="Normal 3 7 2 5 2" xfId="9774" xr:uid="{00000000-0005-0000-0000-000084190000}"/>
    <cellStyle name="Normal 3 7 2 6" xfId="8412" xr:uid="{00000000-0005-0000-0000-000085190000}"/>
    <cellStyle name="Normal 3 7 3" xfId="3852" xr:uid="{00000000-0005-0000-0000-000086190000}"/>
    <cellStyle name="Normal 3 7 3 2" xfId="4478" xr:uid="{00000000-0005-0000-0000-000087190000}"/>
    <cellStyle name="Normal 3 7 3 2 2" xfId="7646" xr:uid="{00000000-0005-0000-0000-000088190000}"/>
    <cellStyle name="Normal 3 7 3 2 2 2" xfId="10401" xr:uid="{00000000-0005-0000-0000-000089190000}"/>
    <cellStyle name="Normal 3 7 3 2 3" xfId="9039" xr:uid="{00000000-0005-0000-0000-00008A190000}"/>
    <cellStyle name="Normal 3 7 3 3" xfId="7022" xr:uid="{00000000-0005-0000-0000-00008B190000}"/>
    <cellStyle name="Normal 3 7 3 3 2" xfId="9777" xr:uid="{00000000-0005-0000-0000-00008C190000}"/>
    <cellStyle name="Normal 3 7 3 4" xfId="8415" xr:uid="{00000000-0005-0000-0000-00008D190000}"/>
    <cellStyle name="Normal 3 7 4" xfId="3853" xr:uid="{00000000-0005-0000-0000-00008E190000}"/>
    <cellStyle name="Normal 3 7 4 2" xfId="4479" xr:uid="{00000000-0005-0000-0000-00008F190000}"/>
    <cellStyle name="Normal 3 7 4 2 2" xfId="7647" xr:uid="{00000000-0005-0000-0000-000090190000}"/>
    <cellStyle name="Normal 3 7 4 2 2 2" xfId="10402" xr:uid="{00000000-0005-0000-0000-000091190000}"/>
    <cellStyle name="Normal 3 7 4 2 3" xfId="9040" xr:uid="{00000000-0005-0000-0000-000092190000}"/>
    <cellStyle name="Normal 3 7 4 3" xfId="7023" xr:uid="{00000000-0005-0000-0000-000093190000}"/>
    <cellStyle name="Normal 3 7 4 3 2" xfId="9778" xr:uid="{00000000-0005-0000-0000-000094190000}"/>
    <cellStyle name="Normal 3 7 4 4" xfId="8416" xr:uid="{00000000-0005-0000-0000-000095190000}"/>
    <cellStyle name="Normal 3 7 5" xfId="3854" xr:uid="{00000000-0005-0000-0000-000096190000}"/>
    <cellStyle name="Normal 3 7 5 2" xfId="4480" xr:uid="{00000000-0005-0000-0000-000097190000}"/>
    <cellStyle name="Normal 3 7 5 2 2" xfId="7648" xr:uid="{00000000-0005-0000-0000-000098190000}"/>
    <cellStyle name="Normal 3 7 5 2 2 2" xfId="10403" xr:uid="{00000000-0005-0000-0000-000099190000}"/>
    <cellStyle name="Normal 3 7 5 2 3" xfId="9041" xr:uid="{00000000-0005-0000-0000-00009A190000}"/>
    <cellStyle name="Normal 3 7 5 3" xfId="7024" xr:uid="{00000000-0005-0000-0000-00009B190000}"/>
    <cellStyle name="Normal 3 7 5 3 2" xfId="9779" xr:uid="{00000000-0005-0000-0000-00009C190000}"/>
    <cellStyle name="Normal 3 7 5 4" xfId="8417" xr:uid="{00000000-0005-0000-0000-00009D190000}"/>
    <cellStyle name="Normal 3 7 6" xfId="4474" xr:uid="{00000000-0005-0000-0000-00009E190000}"/>
    <cellStyle name="Normal 3 7 6 2" xfId="7642" xr:uid="{00000000-0005-0000-0000-00009F190000}"/>
    <cellStyle name="Normal 3 7 6 2 2" xfId="10397" xr:uid="{00000000-0005-0000-0000-0000A0190000}"/>
    <cellStyle name="Normal 3 7 6 3" xfId="9035" xr:uid="{00000000-0005-0000-0000-0000A1190000}"/>
    <cellStyle name="Normal 3 7 7" xfId="7018" xr:uid="{00000000-0005-0000-0000-0000A2190000}"/>
    <cellStyle name="Normal 3 7 7 2" xfId="9773" xr:uid="{00000000-0005-0000-0000-0000A3190000}"/>
    <cellStyle name="Normal 3 7 8" xfId="8411" xr:uid="{00000000-0005-0000-0000-0000A4190000}"/>
    <cellStyle name="Normal 3 8" xfId="3855" xr:uid="{00000000-0005-0000-0000-0000A5190000}"/>
    <cellStyle name="Normal 3 8 2" xfId="3856" xr:uid="{00000000-0005-0000-0000-0000A6190000}"/>
    <cellStyle name="Normal 3 8 2 2" xfId="3857" xr:uid="{00000000-0005-0000-0000-0000A7190000}"/>
    <cellStyle name="Normal 3 8 2 2 2" xfId="4483" xr:uid="{00000000-0005-0000-0000-0000A8190000}"/>
    <cellStyle name="Normal 3 8 2 2 2 2" xfId="7651" xr:uid="{00000000-0005-0000-0000-0000A9190000}"/>
    <cellStyle name="Normal 3 8 2 2 2 2 2" xfId="10406" xr:uid="{00000000-0005-0000-0000-0000AA190000}"/>
    <cellStyle name="Normal 3 8 2 2 2 3" xfId="9044" xr:uid="{00000000-0005-0000-0000-0000AB190000}"/>
    <cellStyle name="Normal 3 8 2 2 3" xfId="7027" xr:uid="{00000000-0005-0000-0000-0000AC190000}"/>
    <cellStyle name="Normal 3 8 2 2 3 2" xfId="9782" xr:uid="{00000000-0005-0000-0000-0000AD190000}"/>
    <cellStyle name="Normal 3 8 2 2 4" xfId="8420" xr:uid="{00000000-0005-0000-0000-0000AE190000}"/>
    <cellStyle name="Normal 3 8 2 3" xfId="3858" xr:uid="{00000000-0005-0000-0000-0000AF190000}"/>
    <cellStyle name="Normal 3 8 2 3 2" xfId="4484" xr:uid="{00000000-0005-0000-0000-0000B0190000}"/>
    <cellStyle name="Normal 3 8 2 3 2 2" xfId="7652" xr:uid="{00000000-0005-0000-0000-0000B1190000}"/>
    <cellStyle name="Normal 3 8 2 3 2 2 2" xfId="10407" xr:uid="{00000000-0005-0000-0000-0000B2190000}"/>
    <cellStyle name="Normal 3 8 2 3 2 3" xfId="9045" xr:uid="{00000000-0005-0000-0000-0000B3190000}"/>
    <cellStyle name="Normal 3 8 2 3 3" xfId="7028" xr:uid="{00000000-0005-0000-0000-0000B4190000}"/>
    <cellStyle name="Normal 3 8 2 3 3 2" xfId="9783" xr:uid="{00000000-0005-0000-0000-0000B5190000}"/>
    <cellStyle name="Normal 3 8 2 3 4" xfId="8421" xr:uid="{00000000-0005-0000-0000-0000B6190000}"/>
    <cellStyle name="Normal 3 8 2 4" xfId="4482" xr:uid="{00000000-0005-0000-0000-0000B7190000}"/>
    <cellStyle name="Normal 3 8 2 4 2" xfId="7650" xr:uid="{00000000-0005-0000-0000-0000B8190000}"/>
    <cellStyle name="Normal 3 8 2 4 2 2" xfId="10405" xr:uid="{00000000-0005-0000-0000-0000B9190000}"/>
    <cellStyle name="Normal 3 8 2 4 3" xfId="9043" xr:uid="{00000000-0005-0000-0000-0000BA190000}"/>
    <cellStyle name="Normal 3 8 2 5" xfId="7026" xr:uid="{00000000-0005-0000-0000-0000BB190000}"/>
    <cellStyle name="Normal 3 8 2 5 2" xfId="9781" xr:uid="{00000000-0005-0000-0000-0000BC190000}"/>
    <cellStyle name="Normal 3 8 2 6" xfId="8419" xr:uid="{00000000-0005-0000-0000-0000BD190000}"/>
    <cellStyle name="Normal 3 8 3" xfId="3859" xr:uid="{00000000-0005-0000-0000-0000BE190000}"/>
    <cellStyle name="Normal 3 8 3 2" xfId="4485" xr:uid="{00000000-0005-0000-0000-0000BF190000}"/>
    <cellStyle name="Normal 3 8 3 2 2" xfId="7653" xr:uid="{00000000-0005-0000-0000-0000C0190000}"/>
    <cellStyle name="Normal 3 8 3 2 2 2" xfId="10408" xr:uid="{00000000-0005-0000-0000-0000C1190000}"/>
    <cellStyle name="Normal 3 8 3 2 3" xfId="9046" xr:uid="{00000000-0005-0000-0000-0000C2190000}"/>
    <cellStyle name="Normal 3 8 3 3" xfId="7029" xr:uid="{00000000-0005-0000-0000-0000C3190000}"/>
    <cellStyle name="Normal 3 8 3 3 2" xfId="9784" xr:uid="{00000000-0005-0000-0000-0000C4190000}"/>
    <cellStyle name="Normal 3 8 3 4" xfId="8422" xr:uid="{00000000-0005-0000-0000-0000C5190000}"/>
    <cellStyle name="Normal 3 8 4" xfId="3860" xr:uid="{00000000-0005-0000-0000-0000C6190000}"/>
    <cellStyle name="Normal 3 8 4 2" xfId="4486" xr:uid="{00000000-0005-0000-0000-0000C7190000}"/>
    <cellStyle name="Normal 3 8 4 2 2" xfId="7654" xr:uid="{00000000-0005-0000-0000-0000C8190000}"/>
    <cellStyle name="Normal 3 8 4 2 2 2" xfId="10409" xr:uid="{00000000-0005-0000-0000-0000C9190000}"/>
    <cellStyle name="Normal 3 8 4 2 3" xfId="9047" xr:uid="{00000000-0005-0000-0000-0000CA190000}"/>
    <cellStyle name="Normal 3 8 4 3" xfId="7030" xr:uid="{00000000-0005-0000-0000-0000CB190000}"/>
    <cellStyle name="Normal 3 8 4 3 2" xfId="9785" xr:uid="{00000000-0005-0000-0000-0000CC190000}"/>
    <cellStyle name="Normal 3 8 4 4" xfId="8423" xr:uid="{00000000-0005-0000-0000-0000CD190000}"/>
    <cellStyle name="Normal 3 8 5" xfId="3861" xr:uid="{00000000-0005-0000-0000-0000CE190000}"/>
    <cellStyle name="Normal 3 8 5 2" xfId="4487" xr:uid="{00000000-0005-0000-0000-0000CF190000}"/>
    <cellStyle name="Normal 3 8 5 2 2" xfId="7655" xr:uid="{00000000-0005-0000-0000-0000D0190000}"/>
    <cellStyle name="Normal 3 8 5 2 2 2" xfId="10410" xr:uid="{00000000-0005-0000-0000-0000D1190000}"/>
    <cellStyle name="Normal 3 8 5 2 3" xfId="9048" xr:uid="{00000000-0005-0000-0000-0000D2190000}"/>
    <cellStyle name="Normal 3 8 5 3" xfId="7031" xr:uid="{00000000-0005-0000-0000-0000D3190000}"/>
    <cellStyle name="Normal 3 8 5 3 2" xfId="9786" xr:uid="{00000000-0005-0000-0000-0000D4190000}"/>
    <cellStyle name="Normal 3 8 5 4" xfId="8424" xr:uid="{00000000-0005-0000-0000-0000D5190000}"/>
    <cellStyle name="Normal 3 8 6" xfId="4481" xr:uid="{00000000-0005-0000-0000-0000D6190000}"/>
    <cellStyle name="Normal 3 8 6 2" xfId="7649" xr:uid="{00000000-0005-0000-0000-0000D7190000}"/>
    <cellStyle name="Normal 3 8 6 2 2" xfId="10404" xr:uid="{00000000-0005-0000-0000-0000D8190000}"/>
    <cellStyle name="Normal 3 8 6 3" xfId="9042" xr:uid="{00000000-0005-0000-0000-0000D9190000}"/>
    <cellStyle name="Normal 3 8 7" xfId="7025" xr:uid="{00000000-0005-0000-0000-0000DA190000}"/>
    <cellStyle name="Normal 3 8 7 2" xfId="9780" xr:uid="{00000000-0005-0000-0000-0000DB190000}"/>
    <cellStyle name="Normal 3 8 8" xfId="8418" xr:uid="{00000000-0005-0000-0000-0000DC190000}"/>
    <cellStyle name="Normal 3 9" xfId="3862" xr:uid="{00000000-0005-0000-0000-0000DD190000}"/>
    <cellStyle name="Normal 3 9 2" xfId="3863" xr:uid="{00000000-0005-0000-0000-0000DE190000}"/>
    <cellStyle name="Normal 3 9 2 2" xfId="4489" xr:uid="{00000000-0005-0000-0000-0000DF190000}"/>
    <cellStyle name="Normal 3 9 2 2 2" xfId="7657" xr:uid="{00000000-0005-0000-0000-0000E0190000}"/>
    <cellStyle name="Normal 3 9 2 2 2 2" xfId="10412" xr:uid="{00000000-0005-0000-0000-0000E1190000}"/>
    <cellStyle name="Normal 3 9 2 2 3" xfId="9050" xr:uid="{00000000-0005-0000-0000-0000E2190000}"/>
    <cellStyle name="Normal 3 9 2 3" xfId="7033" xr:uid="{00000000-0005-0000-0000-0000E3190000}"/>
    <cellStyle name="Normal 3 9 2 3 2" xfId="9788" xr:uid="{00000000-0005-0000-0000-0000E4190000}"/>
    <cellStyle name="Normal 3 9 2 4" xfId="8426" xr:uid="{00000000-0005-0000-0000-0000E5190000}"/>
    <cellStyle name="Normal 3 9 3" xfId="3864" xr:uid="{00000000-0005-0000-0000-0000E6190000}"/>
    <cellStyle name="Normal 3 9 3 2" xfId="4490" xr:uid="{00000000-0005-0000-0000-0000E7190000}"/>
    <cellStyle name="Normal 3 9 3 2 2" xfId="7658" xr:uid="{00000000-0005-0000-0000-0000E8190000}"/>
    <cellStyle name="Normal 3 9 3 2 2 2" xfId="10413" xr:uid="{00000000-0005-0000-0000-0000E9190000}"/>
    <cellStyle name="Normal 3 9 3 2 3" xfId="9051" xr:uid="{00000000-0005-0000-0000-0000EA190000}"/>
    <cellStyle name="Normal 3 9 3 3" xfId="7034" xr:uid="{00000000-0005-0000-0000-0000EB190000}"/>
    <cellStyle name="Normal 3 9 3 3 2" xfId="9789" xr:uid="{00000000-0005-0000-0000-0000EC190000}"/>
    <cellStyle name="Normal 3 9 3 4" xfId="8427" xr:uid="{00000000-0005-0000-0000-0000ED190000}"/>
    <cellStyle name="Normal 3 9 4" xfId="4488" xr:uid="{00000000-0005-0000-0000-0000EE190000}"/>
    <cellStyle name="Normal 3 9 4 2" xfId="7656" xr:uid="{00000000-0005-0000-0000-0000EF190000}"/>
    <cellStyle name="Normal 3 9 4 2 2" xfId="10411" xr:uid="{00000000-0005-0000-0000-0000F0190000}"/>
    <cellStyle name="Normal 3 9 4 3" xfId="9049" xr:uid="{00000000-0005-0000-0000-0000F1190000}"/>
    <cellStyle name="Normal 3 9 5" xfId="7032" xr:uid="{00000000-0005-0000-0000-0000F2190000}"/>
    <cellStyle name="Normal 3 9 5 2" xfId="9787" xr:uid="{00000000-0005-0000-0000-0000F3190000}"/>
    <cellStyle name="Normal 3 9 6" xfId="8425" xr:uid="{00000000-0005-0000-0000-0000F4190000}"/>
    <cellStyle name="Normal 30" xfId="4736" xr:uid="{00000000-0005-0000-0000-0000F5190000}"/>
    <cellStyle name="Normal 31" xfId="4737" xr:uid="{00000000-0005-0000-0000-0000F6190000}"/>
    <cellStyle name="Normal 32" xfId="4738" xr:uid="{00000000-0005-0000-0000-0000F7190000}"/>
    <cellStyle name="Normal 33" xfId="3371" xr:uid="{00000000-0005-0000-0000-0000F8190000}"/>
    <cellStyle name="Normal 34" xfId="4739" xr:uid="{00000000-0005-0000-0000-0000F9190000}"/>
    <cellStyle name="Normal 34 2" xfId="9290" xr:uid="{00000000-0005-0000-0000-0000FA190000}"/>
    <cellStyle name="Normal 35" xfId="10657" xr:uid="{00000000-0005-0000-0000-0000FB190000}"/>
    <cellStyle name="Normal 36" xfId="10692" xr:uid="{00000000-0005-0000-0000-0000FC190000}"/>
    <cellStyle name="Normal 37" xfId="10694" xr:uid="{00000000-0005-0000-0000-0000FD190000}"/>
    <cellStyle name="Normal 37 2" xfId="10695" xr:uid="{00000000-0005-0000-0000-0000FE190000}"/>
    <cellStyle name="Normal 4" xfId="986" xr:uid="{00000000-0005-0000-0000-0000FF190000}"/>
    <cellStyle name="Normal 4 2" xfId="987" xr:uid="{00000000-0005-0000-0000-0000001A0000}"/>
    <cellStyle name="Normal 4 2 2" xfId="2618" xr:uid="{00000000-0005-0000-0000-0000011A0000}"/>
    <cellStyle name="Normal 4 2 3" xfId="3448" xr:uid="{00000000-0005-0000-0000-0000021A0000}"/>
    <cellStyle name="Normal 4 3" xfId="3460" xr:uid="{00000000-0005-0000-0000-0000031A0000}"/>
    <cellStyle name="Normal 4 3 2" xfId="3476" xr:uid="{00000000-0005-0000-0000-0000041A0000}"/>
    <cellStyle name="Normal 4 3 2 2" xfId="4127" xr:uid="{00000000-0005-0000-0000-0000051A0000}"/>
    <cellStyle name="Normal 4 3 2 2 2" xfId="7295" xr:uid="{00000000-0005-0000-0000-0000061A0000}"/>
    <cellStyle name="Normal 4 3 2 2 2 2" xfId="10050" xr:uid="{00000000-0005-0000-0000-0000071A0000}"/>
    <cellStyle name="Normal 4 3 2 2 3" xfId="8688" xr:uid="{00000000-0005-0000-0000-0000081A0000}"/>
    <cellStyle name="Normal 4 3 2 3" xfId="6684" xr:uid="{00000000-0005-0000-0000-0000091A0000}"/>
    <cellStyle name="Normal 4 3 2 3 2" xfId="9439" xr:uid="{00000000-0005-0000-0000-00000A1A0000}"/>
    <cellStyle name="Normal 4 3 2 4" xfId="8072" xr:uid="{00000000-0005-0000-0000-00000B1A0000}"/>
    <cellStyle name="Normal 4 3 3" xfId="3492" xr:uid="{00000000-0005-0000-0000-00000C1A0000}"/>
    <cellStyle name="Normal 4 3 3 2" xfId="4143" xr:uid="{00000000-0005-0000-0000-00000D1A0000}"/>
    <cellStyle name="Normal 4 3 3 2 2" xfId="7311" xr:uid="{00000000-0005-0000-0000-00000E1A0000}"/>
    <cellStyle name="Normal 4 3 3 2 2 2" xfId="10066" xr:uid="{00000000-0005-0000-0000-00000F1A0000}"/>
    <cellStyle name="Normal 4 3 3 2 3" xfId="8704" xr:uid="{00000000-0005-0000-0000-0000101A0000}"/>
    <cellStyle name="Normal 4 3 3 3" xfId="6700" xr:uid="{00000000-0005-0000-0000-0000111A0000}"/>
    <cellStyle name="Normal 4 3 3 3 2" xfId="9455" xr:uid="{00000000-0005-0000-0000-0000121A0000}"/>
    <cellStyle name="Normal 4 3 3 4" xfId="8088" xr:uid="{00000000-0005-0000-0000-0000131A0000}"/>
    <cellStyle name="Normal 4 3 4" xfId="3518" xr:uid="{00000000-0005-0000-0000-0000141A0000}"/>
    <cellStyle name="Normal 4 3 5" xfId="4111" xr:uid="{00000000-0005-0000-0000-0000151A0000}"/>
    <cellStyle name="Normal 4 3 5 2" xfId="7279" xr:uid="{00000000-0005-0000-0000-0000161A0000}"/>
    <cellStyle name="Normal 4 3 5 2 2" xfId="10034" xr:uid="{00000000-0005-0000-0000-0000171A0000}"/>
    <cellStyle name="Normal 4 3 5 3" xfId="8672" xr:uid="{00000000-0005-0000-0000-0000181A0000}"/>
    <cellStyle name="Normal 4 3 6" xfId="5301" xr:uid="{00000000-0005-0000-0000-0000191A0000}"/>
    <cellStyle name="Normal 4 3 7" xfId="6668" xr:uid="{00000000-0005-0000-0000-00001A1A0000}"/>
    <cellStyle name="Normal 4 3 7 2" xfId="9423" xr:uid="{00000000-0005-0000-0000-00001B1A0000}"/>
    <cellStyle name="Normal 4 3 8" xfId="8056" xr:uid="{00000000-0005-0000-0000-00001C1A0000}"/>
    <cellStyle name="Normal 4 4" xfId="3468" xr:uid="{00000000-0005-0000-0000-00001D1A0000}"/>
    <cellStyle name="Normal 4 4 2" xfId="4119" xr:uid="{00000000-0005-0000-0000-00001E1A0000}"/>
    <cellStyle name="Normal 4 4 2 2" xfId="7287" xr:uid="{00000000-0005-0000-0000-00001F1A0000}"/>
    <cellStyle name="Normal 4 4 2 2 2" xfId="10042" xr:uid="{00000000-0005-0000-0000-0000201A0000}"/>
    <cellStyle name="Normal 4 4 2 3" xfId="8680" xr:uid="{00000000-0005-0000-0000-0000211A0000}"/>
    <cellStyle name="Normal 4 4 3" xfId="6676" xr:uid="{00000000-0005-0000-0000-0000221A0000}"/>
    <cellStyle name="Normal 4 4 3 2" xfId="9431" xr:uid="{00000000-0005-0000-0000-0000231A0000}"/>
    <cellStyle name="Normal 4 4 4" xfId="8064" xr:uid="{00000000-0005-0000-0000-0000241A0000}"/>
    <cellStyle name="Normal 4 5" xfId="3484" xr:uid="{00000000-0005-0000-0000-0000251A0000}"/>
    <cellStyle name="Normal 4 5 2" xfId="4135" xr:uid="{00000000-0005-0000-0000-0000261A0000}"/>
    <cellStyle name="Normal 4 5 2 2" xfId="7303" xr:uid="{00000000-0005-0000-0000-0000271A0000}"/>
    <cellStyle name="Normal 4 5 2 2 2" xfId="10058" xr:uid="{00000000-0005-0000-0000-0000281A0000}"/>
    <cellStyle name="Normal 4 5 2 3" xfId="8696" xr:uid="{00000000-0005-0000-0000-0000291A0000}"/>
    <cellStyle name="Normal 4 5 3" xfId="6692" xr:uid="{00000000-0005-0000-0000-00002A1A0000}"/>
    <cellStyle name="Normal 4 5 3 2" xfId="9447" xr:uid="{00000000-0005-0000-0000-00002B1A0000}"/>
    <cellStyle name="Normal 4 5 4" xfId="8080" xr:uid="{00000000-0005-0000-0000-00002C1A0000}"/>
    <cellStyle name="Normal 4 6" xfId="3510" xr:uid="{00000000-0005-0000-0000-00002D1A0000}"/>
    <cellStyle name="Normal 4 7" xfId="4103" xr:uid="{00000000-0005-0000-0000-00002E1A0000}"/>
    <cellStyle name="Normal 4 7 2" xfId="7271" xr:uid="{00000000-0005-0000-0000-00002F1A0000}"/>
    <cellStyle name="Normal 4 7 2 2" xfId="10026" xr:uid="{00000000-0005-0000-0000-0000301A0000}"/>
    <cellStyle name="Normal 4 7 3" xfId="8664" xr:uid="{00000000-0005-0000-0000-0000311A0000}"/>
    <cellStyle name="Normal 4 8" xfId="3384" xr:uid="{00000000-0005-0000-0000-0000321A0000}"/>
    <cellStyle name="Normal 4 8 2" xfId="6652" xr:uid="{00000000-0005-0000-0000-0000331A0000}"/>
    <cellStyle name="Normal 4 8 2 2" xfId="9415" xr:uid="{00000000-0005-0000-0000-0000341A0000}"/>
    <cellStyle name="Normal 4 8 3" xfId="8044" xr:uid="{00000000-0005-0000-0000-0000351A0000}"/>
    <cellStyle name="Normal 5" xfId="988" xr:uid="{00000000-0005-0000-0000-0000361A0000}"/>
    <cellStyle name="Normal 5 10" xfId="3866" xr:uid="{00000000-0005-0000-0000-0000371A0000}"/>
    <cellStyle name="Normal 5 10 2" xfId="4492" xr:uid="{00000000-0005-0000-0000-0000381A0000}"/>
    <cellStyle name="Normal 5 10 2 2" xfId="7660" xr:uid="{00000000-0005-0000-0000-0000391A0000}"/>
    <cellStyle name="Normal 5 10 2 2 2" xfId="10415" xr:uid="{00000000-0005-0000-0000-00003A1A0000}"/>
    <cellStyle name="Normal 5 10 2 3" xfId="9053" xr:uid="{00000000-0005-0000-0000-00003B1A0000}"/>
    <cellStyle name="Normal 5 10 3" xfId="7036" xr:uid="{00000000-0005-0000-0000-00003C1A0000}"/>
    <cellStyle name="Normal 5 10 3 2" xfId="9791" xr:uid="{00000000-0005-0000-0000-00003D1A0000}"/>
    <cellStyle name="Normal 5 10 4" xfId="8429" xr:uid="{00000000-0005-0000-0000-00003E1A0000}"/>
    <cellStyle name="Normal 5 11" xfId="3867" xr:uid="{00000000-0005-0000-0000-00003F1A0000}"/>
    <cellStyle name="Normal 5 11 2" xfId="4493" xr:uid="{00000000-0005-0000-0000-0000401A0000}"/>
    <cellStyle name="Normal 5 11 2 2" xfId="7661" xr:uid="{00000000-0005-0000-0000-0000411A0000}"/>
    <cellStyle name="Normal 5 11 2 2 2" xfId="10416" xr:uid="{00000000-0005-0000-0000-0000421A0000}"/>
    <cellStyle name="Normal 5 11 2 3" xfId="9054" xr:uid="{00000000-0005-0000-0000-0000431A0000}"/>
    <cellStyle name="Normal 5 11 3" xfId="7037" xr:uid="{00000000-0005-0000-0000-0000441A0000}"/>
    <cellStyle name="Normal 5 11 3 2" xfId="9792" xr:uid="{00000000-0005-0000-0000-0000451A0000}"/>
    <cellStyle name="Normal 5 11 4" xfId="8430" xr:uid="{00000000-0005-0000-0000-0000461A0000}"/>
    <cellStyle name="Normal 5 12" xfId="3868" xr:uid="{00000000-0005-0000-0000-0000471A0000}"/>
    <cellStyle name="Normal 5 12 2" xfId="4494" xr:uid="{00000000-0005-0000-0000-0000481A0000}"/>
    <cellStyle name="Normal 5 12 2 2" xfId="7662" xr:uid="{00000000-0005-0000-0000-0000491A0000}"/>
    <cellStyle name="Normal 5 12 2 2 2" xfId="10417" xr:uid="{00000000-0005-0000-0000-00004A1A0000}"/>
    <cellStyle name="Normal 5 12 2 3" xfId="9055" xr:uid="{00000000-0005-0000-0000-00004B1A0000}"/>
    <cellStyle name="Normal 5 12 3" xfId="7038" xr:uid="{00000000-0005-0000-0000-00004C1A0000}"/>
    <cellStyle name="Normal 5 12 3 2" xfId="9793" xr:uid="{00000000-0005-0000-0000-00004D1A0000}"/>
    <cellStyle name="Normal 5 12 4" xfId="8431" xr:uid="{00000000-0005-0000-0000-00004E1A0000}"/>
    <cellStyle name="Normal 5 13" xfId="3865" xr:uid="{00000000-0005-0000-0000-00004F1A0000}"/>
    <cellStyle name="Normal 5 13 2" xfId="4491" xr:uid="{00000000-0005-0000-0000-0000501A0000}"/>
    <cellStyle name="Normal 5 13 2 2" xfId="7659" xr:uid="{00000000-0005-0000-0000-0000511A0000}"/>
    <cellStyle name="Normal 5 13 2 2 2" xfId="10414" xr:uid="{00000000-0005-0000-0000-0000521A0000}"/>
    <cellStyle name="Normal 5 13 2 3" xfId="9052" xr:uid="{00000000-0005-0000-0000-0000531A0000}"/>
    <cellStyle name="Normal 5 13 3" xfId="7035" xr:uid="{00000000-0005-0000-0000-0000541A0000}"/>
    <cellStyle name="Normal 5 13 3 2" xfId="9790" xr:uid="{00000000-0005-0000-0000-0000551A0000}"/>
    <cellStyle name="Normal 5 13 4" xfId="8428" xr:uid="{00000000-0005-0000-0000-0000561A0000}"/>
    <cellStyle name="Normal 5 14" xfId="3502" xr:uid="{00000000-0005-0000-0000-0000571A0000}"/>
    <cellStyle name="Normal 5 15" xfId="3449" xr:uid="{00000000-0005-0000-0000-0000581A0000}"/>
    <cellStyle name="Normal 5 2" xfId="2070" xr:uid="{00000000-0005-0000-0000-0000591A0000}"/>
    <cellStyle name="Normal 5 2 2" xfId="2071" xr:uid="{00000000-0005-0000-0000-00005A1A0000}"/>
    <cellStyle name="Normal 5 2 2 2" xfId="2072" xr:uid="{00000000-0005-0000-0000-00005B1A0000}"/>
    <cellStyle name="Normal 5 2 2 2 2" xfId="4497" xr:uid="{00000000-0005-0000-0000-00005C1A0000}"/>
    <cellStyle name="Normal 5 2 2 2 2 2" xfId="7665" xr:uid="{00000000-0005-0000-0000-00005D1A0000}"/>
    <cellStyle name="Normal 5 2 2 2 2 2 2" xfId="10420" xr:uid="{00000000-0005-0000-0000-00005E1A0000}"/>
    <cellStyle name="Normal 5 2 2 2 2 3" xfId="9058" xr:uid="{00000000-0005-0000-0000-00005F1A0000}"/>
    <cellStyle name="Normal 5 2 2 2 3" xfId="3871" xr:uid="{00000000-0005-0000-0000-0000601A0000}"/>
    <cellStyle name="Normal 5 2 2 2 3 2" xfId="7041" xr:uid="{00000000-0005-0000-0000-0000611A0000}"/>
    <cellStyle name="Normal 5 2 2 2 3 2 2" xfId="9796" xr:uid="{00000000-0005-0000-0000-0000621A0000}"/>
    <cellStyle name="Normal 5 2 2 2 3 3" xfId="8434" xr:uid="{00000000-0005-0000-0000-0000631A0000}"/>
    <cellStyle name="Normal 5 2 2 3" xfId="3872" xr:uid="{00000000-0005-0000-0000-0000641A0000}"/>
    <cellStyle name="Normal 5 2 2 3 2" xfId="4498" xr:uid="{00000000-0005-0000-0000-0000651A0000}"/>
    <cellStyle name="Normal 5 2 2 3 2 2" xfId="7666" xr:uid="{00000000-0005-0000-0000-0000661A0000}"/>
    <cellStyle name="Normal 5 2 2 3 2 2 2" xfId="10421" xr:uid="{00000000-0005-0000-0000-0000671A0000}"/>
    <cellStyle name="Normal 5 2 2 3 2 3" xfId="9059" xr:uid="{00000000-0005-0000-0000-0000681A0000}"/>
    <cellStyle name="Normal 5 2 2 3 3" xfId="7042" xr:uid="{00000000-0005-0000-0000-0000691A0000}"/>
    <cellStyle name="Normal 5 2 2 3 3 2" xfId="9797" xr:uid="{00000000-0005-0000-0000-00006A1A0000}"/>
    <cellStyle name="Normal 5 2 2 3 4" xfId="8435" xr:uid="{00000000-0005-0000-0000-00006B1A0000}"/>
    <cellStyle name="Normal 5 2 2 4" xfId="4496" xr:uid="{00000000-0005-0000-0000-00006C1A0000}"/>
    <cellStyle name="Normal 5 2 2 4 2" xfId="7664" xr:uid="{00000000-0005-0000-0000-00006D1A0000}"/>
    <cellStyle name="Normal 5 2 2 4 2 2" xfId="10419" xr:uid="{00000000-0005-0000-0000-00006E1A0000}"/>
    <cellStyle name="Normal 5 2 2 4 3" xfId="9057" xr:uid="{00000000-0005-0000-0000-00006F1A0000}"/>
    <cellStyle name="Normal 5 2 2 5" xfId="3870" xr:uid="{00000000-0005-0000-0000-0000701A0000}"/>
    <cellStyle name="Normal 5 2 2 5 2" xfId="7040" xr:uid="{00000000-0005-0000-0000-0000711A0000}"/>
    <cellStyle name="Normal 5 2 2 5 2 2" xfId="9795" xr:uid="{00000000-0005-0000-0000-0000721A0000}"/>
    <cellStyle name="Normal 5 2 2 5 3" xfId="8433" xr:uid="{00000000-0005-0000-0000-0000731A0000}"/>
    <cellStyle name="Normal 5 2 3" xfId="3873" xr:uid="{00000000-0005-0000-0000-0000741A0000}"/>
    <cellStyle name="Normal 5 2 3 2" xfId="4499" xr:uid="{00000000-0005-0000-0000-0000751A0000}"/>
    <cellStyle name="Normal 5 2 3 2 2" xfId="7667" xr:uid="{00000000-0005-0000-0000-0000761A0000}"/>
    <cellStyle name="Normal 5 2 3 2 2 2" xfId="10422" xr:uid="{00000000-0005-0000-0000-0000771A0000}"/>
    <cellStyle name="Normal 5 2 3 2 3" xfId="9060" xr:uid="{00000000-0005-0000-0000-0000781A0000}"/>
    <cellStyle name="Normal 5 2 3 3" xfId="7043" xr:uid="{00000000-0005-0000-0000-0000791A0000}"/>
    <cellStyle name="Normal 5 2 3 3 2" xfId="9798" xr:uid="{00000000-0005-0000-0000-00007A1A0000}"/>
    <cellStyle name="Normal 5 2 3 4" xfId="8436" xr:uid="{00000000-0005-0000-0000-00007B1A0000}"/>
    <cellStyle name="Normal 5 2 4" xfId="3874" xr:uid="{00000000-0005-0000-0000-00007C1A0000}"/>
    <cellStyle name="Normal 5 2 4 2" xfId="4500" xr:uid="{00000000-0005-0000-0000-00007D1A0000}"/>
    <cellStyle name="Normal 5 2 4 2 2" xfId="7668" xr:uid="{00000000-0005-0000-0000-00007E1A0000}"/>
    <cellStyle name="Normal 5 2 4 2 2 2" xfId="10423" xr:uid="{00000000-0005-0000-0000-00007F1A0000}"/>
    <cellStyle name="Normal 5 2 4 2 3" xfId="9061" xr:uid="{00000000-0005-0000-0000-0000801A0000}"/>
    <cellStyle name="Normal 5 2 4 3" xfId="7044" xr:uid="{00000000-0005-0000-0000-0000811A0000}"/>
    <cellStyle name="Normal 5 2 4 3 2" xfId="9799" xr:uid="{00000000-0005-0000-0000-0000821A0000}"/>
    <cellStyle name="Normal 5 2 4 4" xfId="8437" xr:uid="{00000000-0005-0000-0000-0000831A0000}"/>
    <cellStyle name="Normal 5 2 5" xfId="3875" xr:uid="{00000000-0005-0000-0000-0000841A0000}"/>
    <cellStyle name="Normal 5 2 5 2" xfId="4501" xr:uid="{00000000-0005-0000-0000-0000851A0000}"/>
    <cellStyle name="Normal 5 2 5 2 2" xfId="7669" xr:uid="{00000000-0005-0000-0000-0000861A0000}"/>
    <cellStyle name="Normal 5 2 5 2 2 2" xfId="10424" xr:uid="{00000000-0005-0000-0000-0000871A0000}"/>
    <cellStyle name="Normal 5 2 5 2 3" xfId="9062" xr:uid="{00000000-0005-0000-0000-0000881A0000}"/>
    <cellStyle name="Normal 5 2 5 3" xfId="7045" xr:uid="{00000000-0005-0000-0000-0000891A0000}"/>
    <cellStyle name="Normal 5 2 5 3 2" xfId="9800" xr:uid="{00000000-0005-0000-0000-00008A1A0000}"/>
    <cellStyle name="Normal 5 2 5 4" xfId="8438" xr:uid="{00000000-0005-0000-0000-00008B1A0000}"/>
    <cellStyle name="Normal 5 2 6" xfId="3876" xr:uid="{00000000-0005-0000-0000-00008C1A0000}"/>
    <cellStyle name="Normal 5 2 6 2" xfId="4502" xr:uid="{00000000-0005-0000-0000-00008D1A0000}"/>
    <cellStyle name="Normal 5 2 6 2 2" xfId="7670" xr:uid="{00000000-0005-0000-0000-00008E1A0000}"/>
    <cellStyle name="Normal 5 2 6 2 2 2" xfId="10425" xr:uid="{00000000-0005-0000-0000-00008F1A0000}"/>
    <cellStyle name="Normal 5 2 6 2 3" xfId="9063" xr:uid="{00000000-0005-0000-0000-0000901A0000}"/>
    <cellStyle name="Normal 5 2 6 3" xfId="7046" xr:uid="{00000000-0005-0000-0000-0000911A0000}"/>
    <cellStyle name="Normal 5 2 6 3 2" xfId="9801" xr:uid="{00000000-0005-0000-0000-0000921A0000}"/>
    <cellStyle name="Normal 5 2 6 4" xfId="8439" xr:uid="{00000000-0005-0000-0000-0000931A0000}"/>
    <cellStyle name="Normal 5 2 7" xfId="3869" xr:uid="{00000000-0005-0000-0000-0000941A0000}"/>
    <cellStyle name="Normal 5 2 7 2" xfId="4495" xr:uid="{00000000-0005-0000-0000-0000951A0000}"/>
    <cellStyle name="Normal 5 2 7 2 2" xfId="7663" xr:uid="{00000000-0005-0000-0000-0000961A0000}"/>
    <cellStyle name="Normal 5 2 7 2 2 2" xfId="10418" xr:uid="{00000000-0005-0000-0000-0000971A0000}"/>
    <cellStyle name="Normal 5 2 7 2 3" xfId="9056" xr:uid="{00000000-0005-0000-0000-0000981A0000}"/>
    <cellStyle name="Normal 5 2 7 3" xfId="7039" xr:uid="{00000000-0005-0000-0000-0000991A0000}"/>
    <cellStyle name="Normal 5 2 7 3 2" xfId="9794" xr:uid="{00000000-0005-0000-0000-00009A1A0000}"/>
    <cellStyle name="Normal 5 2 7 4" xfId="8432" xr:uid="{00000000-0005-0000-0000-00009B1A0000}"/>
    <cellStyle name="Normal 5 2 8" xfId="3519" xr:uid="{00000000-0005-0000-0000-00009C1A0000}"/>
    <cellStyle name="Normal 5 3" xfId="3877" xr:uid="{00000000-0005-0000-0000-00009D1A0000}"/>
    <cellStyle name="Normal 5 3 2" xfId="3878" xr:uid="{00000000-0005-0000-0000-00009E1A0000}"/>
    <cellStyle name="Normal 5 3 2 2" xfId="3879" xr:uid="{00000000-0005-0000-0000-00009F1A0000}"/>
    <cellStyle name="Normal 5 3 2 2 2" xfId="4505" xr:uid="{00000000-0005-0000-0000-0000A01A0000}"/>
    <cellStyle name="Normal 5 3 2 2 2 2" xfId="7673" xr:uid="{00000000-0005-0000-0000-0000A11A0000}"/>
    <cellStyle name="Normal 5 3 2 2 2 2 2" xfId="10428" xr:uid="{00000000-0005-0000-0000-0000A21A0000}"/>
    <cellStyle name="Normal 5 3 2 2 2 3" xfId="9066" xr:uid="{00000000-0005-0000-0000-0000A31A0000}"/>
    <cellStyle name="Normal 5 3 2 2 3" xfId="7049" xr:uid="{00000000-0005-0000-0000-0000A41A0000}"/>
    <cellStyle name="Normal 5 3 2 2 3 2" xfId="9804" xr:uid="{00000000-0005-0000-0000-0000A51A0000}"/>
    <cellStyle name="Normal 5 3 2 2 4" xfId="8442" xr:uid="{00000000-0005-0000-0000-0000A61A0000}"/>
    <cellStyle name="Normal 5 3 2 3" xfId="3880" xr:uid="{00000000-0005-0000-0000-0000A71A0000}"/>
    <cellStyle name="Normal 5 3 2 3 2" xfId="4506" xr:uid="{00000000-0005-0000-0000-0000A81A0000}"/>
    <cellStyle name="Normal 5 3 2 3 2 2" xfId="7674" xr:uid="{00000000-0005-0000-0000-0000A91A0000}"/>
    <cellStyle name="Normal 5 3 2 3 2 2 2" xfId="10429" xr:uid="{00000000-0005-0000-0000-0000AA1A0000}"/>
    <cellStyle name="Normal 5 3 2 3 2 3" xfId="9067" xr:uid="{00000000-0005-0000-0000-0000AB1A0000}"/>
    <cellStyle name="Normal 5 3 2 3 3" xfId="7050" xr:uid="{00000000-0005-0000-0000-0000AC1A0000}"/>
    <cellStyle name="Normal 5 3 2 3 3 2" xfId="9805" xr:uid="{00000000-0005-0000-0000-0000AD1A0000}"/>
    <cellStyle name="Normal 5 3 2 3 4" xfId="8443" xr:uid="{00000000-0005-0000-0000-0000AE1A0000}"/>
    <cellStyle name="Normal 5 3 2 4" xfId="4504" xr:uid="{00000000-0005-0000-0000-0000AF1A0000}"/>
    <cellStyle name="Normal 5 3 2 4 2" xfId="7672" xr:uid="{00000000-0005-0000-0000-0000B01A0000}"/>
    <cellStyle name="Normal 5 3 2 4 2 2" xfId="10427" xr:uid="{00000000-0005-0000-0000-0000B11A0000}"/>
    <cellStyle name="Normal 5 3 2 4 3" xfId="9065" xr:uid="{00000000-0005-0000-0000-0000B21A0000}"/>
    <cellStyle name="Normal 5 3 2 5" xfId="7048" xr:uid="{00000000-0005-0000-0000-0000B31A0000}"/>
    <cellStyle name="Normal 5 3 2 5 2" xfId="9803" xr:uid="{00000000-0005-0000-0000-0000B41A0000}"/>
    <cellStyle name="Normal 5 3 2 6" xfId="8441" xr:uid="{00000000-0005-0000-0000-0000B51A0000}"/>
    <cellStyle name="Normal 5 3 3" xfId="3881" xr:uid="{00000000-0005-0000-0000-0000B61A0000}"/>
    <cellStyle name="Normal 5 3 3 2" xfId="4507" xr:uid="{00000000-0005-0000-0000-0000B71A0000}"/>
    <cellStyle name="Normal 5 3 3 2 2" xfId="7675" xr:uid="{00000000-0005-0000-0000-0000B81A0000}"/>
    <cellStyle name="Normal 5 3 3 2 2 2" xfId="10430" xr:uid="{00000000-0005-0000-0000-0000B91A0000}"/>
    <cellStyle name="Normal 5 3 3 2 3" xfId="9068" xr:uid="{00000000-0005-0000-0000-0000BA1A0000}"/>
    <cellStyle name="Normal 5 3 3 3" xfId="7051" xr:uid="{00000000-0005-0000-0000-0000BB1A0000}"/>
    <cellStyle name="Normal 5 3 3 3 2" xfId="9806" xr:uid="{00000000-0005-0000-0000-0000BC1A0000}"/>
    <cellStyle name="Normal 5 3 3 4" xfId="8444" xr:uid="{00000000-0005-0000-0000-0000BD1A0000}"/>
    <cellStyle name="Normal 5 3 4" xfId="3882" xr:uid="{00000000-0005-0000-0000-0000BE1A0000}"/>
    <cellStyle name="Normal 5 3 4 2" xfId="4508" xr:uid="{00000000-0005-0000-0000-0000BF1A0000}"/>
    <cellStyle name="Normal 5 3 4 2 2" xfId="7676" xr:uid="{00000000-0005-0000-0000-0000C01A0000}"/>
    <cellStyle name="Normal 5 3 4 2 2 2" xfId="10431" xr:uid="{00000000-0005-0000-0000-0000C11A0000}"/>
    <cellStyle name="Normal 5 3 4 2 3" xfId="9069" xr:uid="{00000000-0005-0000-0000-0000C21A0000}"/>
    <cellStyle name="Normal 5 3 4 3" xfId="7052" xr:uid="{00000000-0005-0000-0000-0000C31A0000}"/>
    <cellStyle name="Normal 5 3 4 3 2" xfId="9807" xr:uid="{00000000-0005-0000-0000-0000C41A0000}"/>
    <cellStyle name="Normal 5 3 4 4" xfId="8445" xr:uid="{00000000-0005-0000-0000-0000C51A0000}"/>
    <cellStyle name="Normal 5 3 5" xfId="3883" xr:uid="{00000000-0005-0000-0000-0000C61A0000}"/>
    <cellStyle name="Normal 5 3 5 2" xfId="4509" xr:uid="{00000000-0005-0000-0000-0000C71A0000}"/>
    <cellStyle name="Normal 5 3 5 2 2" xfId="7677" xr:uid="{00000000-0005-0000-0000-0000C81A0000}"/>
    <cellStyle name="Normal 5 3 5 2 2 2" xfId="10432" xr:uid="{00000000-0005-0000-0000-0000C91A0000}"/>
    <cellStyle name="Normal 5 3 5 2 3" xfId="9070" xr:uid="{00000000-0005-0000-0000-0000CA1A0000}"/>
    <cellStyle name="Normal 5 3 5 3" xfId="7053" xr:uid="{00000000-0005-0000-0000-0000CB1A0000}"/>
    <cellStyle name="Normal 5 3 5 3 2" xfId="9808" xr:uid="{00000000-0005-0000-0000-0000CC1A0000}"/>
    <cellStyle name="Normal 5 3 5 4" xfId="8446" xr:uid="{00000000-0005-0000-0000-0000CD1A0000}"/>
    <cellStyle name="Normal 5 3 6" xfId="3884" xr:uid="{00000000-0005-0000-0000-0000CE1A0000}"/>
    <cellStyle name="Normal 5 3 6 2" xfId="4510" xr:uid="{00000000-0005-0000-0000-0000CF1A0000}"/>
    <cellStyle name="Normal 5 3 6 2 2" xfId="7678" xr:uid="{00000000-0005-0000-0000-0000D01A0000}"/>
    <cellStyle name="Normal 5 3 6 2 2 2" xfId="10433" xr:uid="{00000000-0005-0000-0000-0000D11A0000}"/>
    <cellStyle name="Normal 5 3 6 2 3" xfId="9071" xr:uid="{00000000-0005-0000-0000-0000D21A0000}"/>
    <cellStyle name="Normal 5 3 6 3" xfId="7054" xr:uid="{00000000-0005-0000-0000-0000D31A0000}"/>
    <cellStyle name="Normal 5 3 6 3 2" xfId="9809" xr:uid="{00000000-0005-0000-0000-0000D41A0000}"/>
    <cellStyle name="Normal 5 3 6 4" xfId="8447" xr:uid="{00000000-0005-0000-0000-0000D51A0000}"/>
    <cellStyle name="Normal 5 3 7" xfId="4503" xr:uid="{00000000-0005-0000-0000-0000D61A0000}"/>
    <cellStyle name="Normal 5 3 7 2" xfId="7671" xr:uid="{00000000-0005-0000-0000-0000D71A0000}"/>
    <cellStyle name="Normal 5 3 7 2 2" xfId="10426" xr:uid="{00000000-0005-0000-0000-0000D81A0000}"/>
    <cellStyle name="Normal 5 3 7 3" xfId="9064" xr:uid="{00000000-0005-0000-0000-0000D91A0000}"/>
    <cellStyle name="Normal 5 3 8" xfId="7047" xr:uid="{00000000-0005-0000-0000-0000DA1A0000}"/>
    <cellStyle name="Normal 5 3 8 2" xfId="9802" xr:uid="{00000000-0005-0000-0000-0000DB1A0000}"/>
    <cellStyle name="Normal 5 3 9" xfId="8440" xr:uid="{00000000-0005-0000-0000-0000DC1A0000}"/>
    <cellStyle name="Normal 5 4" xfId="3885" xr:uid="{00000000-0005-0000-0000-0000DD1A0000}"/>
    <cellStyle name="Normal 5 4 2" xfId="3886" xr:uid="{00000000-0005-0000-0000-0000DE1A0000}"/>
    <cellStyle name="Normal 5 4 2 2" xfId="3887" xr:uid="{00000000-0005-0000-0000-0000DF1A0000}"/>
    <cellStyle name="Normal 5 4 2 2 2" xfId="4513" xr:uid="{00000000-0005-0000-0000-0000E01A0000}"/>
    <cellStyle name="Normal 5 4 2 2 2 2" xfId="7681" xr:uid="{00000000-0005-0000-0000-0000E11A0000}"/>
    <cellStyle name="Normal 5 4 2 2 2 2 2" xfId="10436" xr:uid="{00000000-0005-0000-0000-0000E21A0000}"/>
    <cellStyle name="Normal 5 4 2 2 2 3" xfId="9074" xr:uid="{00000000-0005-0000-0000-0000E31A0000}"/>
    <cellStyle name="Normal 5 4 2 2 3" xfId="7057" xr:uid="{00000000-0005-0000-0000-0000E41A0000}"/>
    <cellStyle name="Normal 5 4 2 2 3 2" xfId="9812" xr:uid="{00000000-0005-0000-0000-0000E51A0000}"/>
    <cellStyle name="Normal 5 4 2 2 4" xfId="8450" xr:uid="{00000000-0005-0000-0000-0000E61A0000}"/>
    <cellStyle name="Normal 5 4 2 3" xfId="3888" xr:uid="{00000000-0005-0000-0000-0000E71A0000}"/>
    <cellStyle name="Normal 5 4 2 3 2" xfId="4514" xr:uid="{00000000-0005-0000-0000-0000E81A0000}"/>
    <cellStyle name="Normal 5 4 2 3 2 2" xfId="7682" xr:uid="{00000000-0005-0000-0000-0000E91A0000}"/>
    <cellStyle name="Normal 5 4 2 3 2 2 2" xfId="10437" xr:uid="{00000000-0005-0000-0000-0000EA1A0000}"/>
    <cellStyle name="Normal 5 4 2 3 2 3" xfId="9075" xr:uid="{00000000-0005-0000-0000-0000EB1A0000}"/>
    <cellStyle name="Normal 5 4 2 3 3" xfId="7058" xr:uid="{00000000-0005-0000-0000-0000EC1A0000}"/>
    <cellStyle name="Normal 5 4 2 3 3 2" xfId="9813" xr:uid="{00000000-0005-0000-0000-0000ED1A0000}"/>
    <cellStyle name="Normal 5 4 2 3 4" xfId="8451" xr:uid="{00000000-0005-0000-0000-0000EE1A0000}"/>
    <cellStyle name="Normal 5 4 2 4" xfId="4512" xr:uid="{00000000-0005-0000-0000-0000EF1A0000}"/>
    <cellStyle name="Normal 5 4 2 4 2" xfId="7680" xr:uid="{00000000-0005-0000-0000-0000F01A0000}"/>
    <cellStyle name="Normal 5 4 2 4 2 2" xfId="10435" xr:uid="{00000000-0005-0000-0000-0000F11A0000}"/>
    <cellStyle name="Normal 5 4 2 4 3" xfId="9073" xr:uid="{00000000-0005-0000-0000-0000F21A0000}"/>
    <cellStyle name="Normal 5 4 2 5" xfId="7056" xr:uid="{00000000-0005-0000-0000-0000F31A0000}"/>
    <cellStyle name="Normal 5 4 2 5 2" xfId="9811" xr:uid="{00000000-0005-0000-0000-0000F41A0000}"/>
    <cellStyle name="Normal 5 4 2 6" xfId="8449" xr:uid="{00000000-0005-0000-0000-0000F51A0000}"/>
    <cellStyle name="Normal 5 4 3" xfId="3889" xr:uid="{00000000-0005-0000-0000-0000F61A0000}"/>
    <cellStyle name="Normal 5 4 3 2" xfId="4515" xr:uid="{00000000-0005-0000-0000-0000F71A0000}"/>
    <cellStyle name="Normal 5 4 3 2 2" xfId="7683" xr:uid="{00000000-0005-0000-0000-0000F81A0000}"/>
    <cellStyle name="Normal 5 4 3 2 2 2" xfId="10438" xr:uid="{00000000-0005-0000-0000-0000F91A0000}"/>
    <cellStyle name="Normal 5 4 3 2 3" xfId="9076" xr:uid="{00000000-0005-0000-0000-0000FA1A0000}"/>
    <cellStyle name="Normal 5 4 3 3" xfId="7059" xr:uid="{00000000-0005-0000-0000-0000FB1A0000}"/>
    <cellStyle name="Normal 5 4 3 3 2" xfId="9814" xr:uid="{00000000-0005-0000-0000-0000FC1A0000}"/>
    <cellStyle name="Normal 5 4 3 4" xfId="8452" xr:uid="{00000000-0005-0000-0000-0000FD1A0000}"/>
    <cellStyle name="Normal 5 4 4" xfId="3890" xr:uid="{00000000-0005-0000-0000-0000FE1A0000}"/>
    <cellStyle name="Normal 5 4 4 2" xfId="4516" xr:uid="{00000000-0005-0000-0000-0000FF1A0000}"/>
    <cellStyle name="Normal 5 4 4 2 2" xfId="7684" xr:uid="{00000000-0005-0000-0000-0000001B0000}"/>
    <cellStyle name="Normal 5 4 4 2 2 2" xfId="10439" xr:uid="{00000000-0005-0000-0000-0000011B0000}"/>
    <cellStyle name="Normal 5 4 4 2 3" xfId="9077" xr:uid="{00000000-0005-0000-0000-0000021B0000}"/>
    <cellStyle name="Normal 5 4 4 3" xfId="7060" xr:uid="{00000000-0005-0000-0000-0000031B0000}"/>
    <cellStyle name="Normal 5 4 4 3 2" xfId="9815" xr:uid="{00000000-0005-0000-0000-0000041B0000}"/>
    <cellStyle name="Normal 5 4 4 4" xfId="8453" xr:uid="{00000000-0005-0000-0000-0000051B0000}"/>
    <cellStyle name="Normal 5 4 5" xfId="3891" xr:uid="{00000000-0005-0000-0000-0000061B0000}"/>
    <cellStyle name="Normal 5 4 5 2" xfId="4517" xr:uid="{00000000-0005-0000-0000-0000071B0000}"/>
    <cellStyle name="Normal 5 4 5 2 2" xfId="7685" xr:uid="{00000000-0005-0000-0000-0000081B0000}"/>
    <cellStyle name="Normal 5 4 5 2 2 2" xfId="10440" xr:uid="{00000000-0005-0000-0000-0000091B0000}"/>
    <cellStyle name="Normal 5 4 5 2 3" xfId="9078" xr:uid="{00000000-0005-0000-0000-00000A1B0000}"/>
    <cellStyle name="Normal 5 4 5 3" xfId="7061" xr:uid="{00000000-0005-0000-0000-00000B1B0000}"/>
    <cellStyle name="Normal 5 4 5 3 2" xfId="9816" xr:uid="{00000000-0005-0000-0000-00000C1B0000}"/>
    <cellStyle name="Normal 5 4 5 4" xfId="8454" xr:uid="{00000000-0005-0000-0000-00000D1B0000}"/>
    <cellStyle name="Normal 5 4 6" xfId="4511" xr:uid="{00000000-0005-0000-0000-00000E1B0000}"/>
    <cellStyle name="Normal 5 4 6 2" xfId="7679" xr:uid="{00000000-0005-0000-0000-00000F1B0000}"/>
    <cellStyle name="Normal 5 4 6 2 2" xfId="10434" xr:uid="{00000000-0005-0000-0000-0000101B0000}"/>
    <cellStyle name="Normal 5 4 6 3" xfId="9072" xr:uid="{00000000-0005-0000-0000-0000111B0000}"/>
    <cellStyle name="Normal 5 4 7" xfId="7055" xr:uid="{00000000-0005-0000-0000-0000121B0000}"/>
    <cellStyle name="Normal 5 4 7 2" xfId="9810" xr:uid="{00000000-0005-0000-0000-0000131B0000}"/>
    <cellStyle name="Normal 5 4 8" xfId="8448" xr:uid="{00000000-0005-0000-0000-0000141B0000}"/>
    <cellStyle name="Normal 5 5" xfId="3892" xr:uid="{00000000-0005-0000-0000-0000151B0000}"/>
    <cellStyle name="Normal 5 5 2" xfId="3893" xr:uid="{00000000-0005-0000-0000-0000161B0000}"/>
    <cellStyle name="Normal 5 5 2 2" xfId="3894" xr:uid="{00000000-0005-0000-0000-0000171B0000}"/>
    <cellStyle name="Normal 5 5 2 2 2" xfId="4520" xr:uid="{00000000-0005-0000-0000-0000181B0000}"/>
    <cellStyle name="Normal 5 5 2 2 2 2" xfId="7688" xr:uid="{00000000-0005-0000-0000-0000191B0000}"/>
    <cellStyle name="Normal 5 5 2 2 2 2 2" xfId="10443" xr:uid="{00000000-0005-0000-0000-00001A1B0000}"/>
    <cellStyle name="Normal 5 5 2 2 2 3" xfId="9081" xr:uid="{00000000-0005-0000-0000-00001B1B0000}"/>
    <cellStyle name="Normal 5 5 2 2 3" xfId="7064" xr:uid="{00000000-0005-0000-0000-00001C1B0000}"/>
    <cellStyle name="Normal 5 5 2 2 3 2" xfId="9819" xr:uid="{00000000-0005-0000-0000-00001D1B0000}"/>
    <cellStyle name="Normal 5 5 2 2 4" xfId="8457" xr:uid="{00000000-0005-0000-0000-00001E1B0000}"/>
    <cellStyle name="Normal 5 5 2 3" xfId="3895" xr:uid="{00000000-0005-0000-0000-00001F1B0000}"/>
    <cellStyle name="Normal 5 5 2 3 2" xfId="4521" xr:uid="{00000000-0005-0000-0000-0000201B0000}"/>
    <cellStyle name="Normal 5 5 2 3 2 2" xfId="7689" xr:uid="{00000000-0005-0000-0000-0000211B0000}"/>
    <cellStyle name="Normal 5 5 2 3 2 2 2" xfId="10444" xr:uid="{00000000-0005-0000-0000-0000221B0000}"/>
    <cellStyle name="Normal 5 5 2 3 2 3" xfId="9082" xr:uid="{00000000-0005-0000-0000-0000231B0000}"/>
    <cellStyle name="Normal 5 5 2 3 3" xfId="7065" xr:uid="{00000000-0005-0000-0000-0000241B0000}"/>
    <cellStyle name="Normal 5 5 2 3 3 2" xfId="9820" xr:uid="{00000000-0005-0000-0000-0000251B0000}"/>
    <cellStyle name="Normal 5 5 2 3 4" xfId="8458" xr:uid="{00000000-0005-0000-0000-0000261B0000}"/>
    <cellStyle name="Normal 5 5 2 4" xfId="4519" xr:uid="{00000000-0005-0000-0000-0000271B0000}"/>
    <cellStyle name="Normal 5 5 2 4 2" xfId="7687" xr:uid="{00000000-0005-0000-0000-0000281B0000}"/>
    <cellStyle name="Normal 5 5 2 4 2 2" xfId="10442" xr:uid="{00000000-0005-0000-0000-0000291B0000}"/>
    <cellStyle name="Normal 5 5 2 4 3" xfId="9080" xr:uid="{00000000-0005-0000-0000-00002A1B0000}"/>
    <cellStyle name="Normal 5 5 2 5" xfId="7063" xr:uid="{00000000-0005-0000-0000-00002B1B0000}"/>
    <cellStyle name="Normal 5 5 2 5 2" xfId="9818" xr:uid="{00000000-0005-0000-0000-00002C1B0000}"/>
    <cellStyle name="Normal 5 5 2 6" xfId="8456" xr:uid="{00000000-0005-0000-0000-00002D1B0000}"/>
    <cellStyle name="Normal 5 5 3" xfId="3896" xr:uid="{00000000-0005-0000-0000-00002E1B0000}"/>
    <cellStyle name="Normal 5 5 3 2" xfId="4522" xr:uid="{00000000-0005-0000-0000-00002F1B0000}"/>
    <cellStyle name="Normal 5 5 3 2 2" xfId="7690" xr:uid="{00000000-0005-0000-0000-0000301B0000}"/>
    <cellStyle name="Normal 5 5 3 2 2 2" xfId="10445" xr:uid="{00000000-0005-0000-0000-0000311B0000}"/>
    <cellStyle name="Normal 5 5 3 2 3" xfId="9083" xr:uid="{00000000-0005-0000-0000-0000321B0000}"/>
    <cellStyle name="Normal 5 5 3 3" xfId="7066" xr:uid="{00000000-0005-0000-0000-0000331B0000}"/>
    <cellStyle name="Normal 5 5 3 3 2" xfId="9821" xr:uid="{00000000-0005-0000-0000-0000341B0000}"/>
    <cellStyle name="Normal 5 5 3 4" xfId="8459" xr:uid="{00000000-0005-0000-0000-0000351B0000}"/>
    <cellStyle name="Normal 5 5 4" xfId="3897" xr:uid="{00000000-0005-0000-0000-0000361B0000}"/>
    <cellStyle name="Normal 5 5 4 2" xfId="4523" xr:uid="{00000000-0005-0000-0000-0000371B0000}"/>
    <cellStyle name="Normal 5 5 4 2 2" xfId="7691" xr:uid="{00000000-0005-0000-0000-0000381B0000}"/>
    <cellStyle name="Normal 5 5 4 2 2 2" xfId="10446" xr:uid="{00000000-0005-0000-0000-0000391B0000}"/>
    <cellStyle name="Normal 5 5 4 2 3" xfId="9084" xr:uid="{00000000-0005-0000-0000-00003A1B0000}"/>
    <cellStyle name="Normal 5 5 4 3" xfId="7067" xr:uid="{00000000-0005-0000-0000-00003B1B0000}"/>
    <cellStyle name="Normal 5 5 4 3 2" xfId="9822" xr:uid="{00000000-0005-0000-0000-00003C1B0000}"/>
    <cellStyle name="Normal 5 5 4 4" xfId="8460" xr:uid="{00000000-0005-0000-0000-00003D1B0000}"/>
    <cellStyle name="Normal 5 5 5" xfId="3898" xr:uid="{00000000-0005-0000-0000-00003E1B0000}"/>
    <cellStyle name="Normal 5 5 5 2" xfId="4524" xr:uid="{00000000-0005-0000-0000-00003F1B0000}"/>
    <cellStyle name="Normal 5 5 5 2 2" xfId="7692" xr:uid="{00000000-0005-0000-0000-0000401B0000}"/>
    <cellStyle name="Normal 5 5 5 2 2 2" xfId="10447" xr:uid="{00000000-0005-0000-0000-0000411B0000}"/>
    <cellStyle name="Normal 5 5 5 2 3" xfId="9085" xr:uid="{00000000-0005-0000-0000-0000421B0000}"/>
    <cellStyle name="Normal 5 5 5 3" xfId="7068" xr:uid="{00000000-0005-0000-0000-0000431B0000}"/>
    <cellStyle name="Normal 5 5 5 3 2" xfId="9823" xr:uid="{00000000-0005-0000-0000-0000441B0000}"/>
    <cellStyle name="Normal 5 5 5 4" xfId="8461" xr:uid="{00000000-0005-0000-0000-0000451B0000}"/>
    <cellStyle name="Normal 5 5 6" xfId="4518" xr:uid="{00000000-0005-0000-0000-0000461B0000}"/>
    <cellStyle name="Normal 5 5 6 2" xfId="7686" xr:uid="{00000000-0005-0000-0000-0000471B0000}"/>
    <cellStyle name="Normal 5 5 6 2 2" xfId="10441" xr:uid="{00000000-0005-0000-0000-0000481B0000}"/>
    <cellStyle name="Normal 5 5 6 3" xfId="9079" xr:uid="{00000000-0005-0000-0000-0000491B0000}"/>
    <cellStyle name="Normal 5 5 7" xfId="7062" xr:uid="{00000000-0005-0000-0000-00004A1B0000}"/>
    <cellStyle name="Normal 5 5 7 2" xfId="9817" xr:uid="{00000000-0005-0000-0000-00004B1B0000}"/>
    <cellStyle name="Normal 5 5 8" xfId="8455" xr:uid="{00000000-0005-0000-0000-00004C1B0000}"/>
    <cellStyle name="Normal 5 6" xfId="3899" xr:uid="{00000000-0005-0000-0000-00004D1B0000}"/>
    <cellStyle name="Normal 5 6 2" xfId="3900" xr:uid="{00000000-0005-0000-0000-00004E1B0000}"/>
    <cellStyle name="Normal 5 6 2 2" xfId="3901" xr:uid="{00000000-0005-0000-0000-00004F1B0000}"/>
    <cellStyle name="Normal 5 6 2 2 2" xfId="4527" xr:uid="{00000000-0005-0000-0000-0000501B0000}"/>
    <cellStyle name="Normal 5 6 2 2 2 2" xfId="7695" xr:uid="{00000000-0005-0000-0000-0000511B0000}"/>
    <cellStyle name="Normal 5 6 2 2 2 2 2" xfId="10450" xr:uid="{00000000-0005-0000-0000-0000521B0000}"/>
    <cellStyle name="Normal 5 6 2 2 2 3" xfId="9088" xr:uid="{00000000-0005-0000-0000-0000531B0000}"/>
    <cellStyle name="Normal 5 6 2 2 3" xfId="7071" xr:uid="{00000000-0005-0000-0000-0000541B0000}"/>
    <cellStyle name="Normal 5 6 2 2 3 2" xfId="9826" xr:uid="{00000000-0005-0000-0000-0000551B0000}"/>
    <cellStyle name="Normal 5 6 2 2 4" xfId="8464" xr:uid="{00000000-0005-0000-0000-0000561B0000}"/>
    <cellStyle name="Normal 5 6 2 3" xfId="3902" xr:uid="{00000000-0005-0000-0000-0000571B0000}"/>
    <cellStyle name="Normal 5 6 2 3 2" xfId="4528" xr:uid="{00000000-0005-0000-0000-0000581B0000}"/>
    <cellStyle name="Normal 5 6 2 3 2 2" xfId="7696" xr:uid="{00000000-0005-0000-0000-0000591B0000}"/>
    <cellStyle name="Normal 5 6 2 3 2 2 2" xfId="10451" xr:uid="{00000000-0005-0000-0000-00005A1B0000}"/>
    <cellStyle name="Normal 5 6 2 3 2 3" xfId="9089" xr:uid="{00000000-0005-0000-0000-00005B1B0000}"/>
    <cellStyle name="Normal 5 6 2 3 3" xfId="7072" xr:uid="{00000000-0005-0000-0000-00005C1B0000}"/>
    <cellStyle name="Normal 5 6 2 3 3 2" xfId="9827" xr:uid="{00000000-0005-0000-0000-00005D1B0000}"/>
    <cellStyle name="Normal 5 6 2 3 4" xfId="8465" xr:uid="{00000000-0005-0000-0000-00005E1B0000}"/>
    <cellStyle name="Normal 5 6 2 4" xfId="4526" xr:uid="{00000000-0005-0000-0000-00005F1B0000}"/>
    <cellStyle name="Normal 5 6 2 4 2" xfId="7694" xr:uid="{00000000-0005-0000-0000-0000601B0000}"/>
    <cellStyle name="Normal 5 6 2 4 2 2" xfId="10449" xr:uid="{00000000-0005-0000-0000-0000611B0000}"/>
    <cellStyle name="Normal 5 6 2 4 3" xfId="9087" xr:uid="{00000000-0005-0000-0000-0000621B0000}"/>
    <cellStyle name="Normal 5 6 2 5" xfId="7070" xr:uid="{00000000-0005-0000-0000-0000631B0000}"/>
    <cellStyle name="Normal 5 6 2 5 2" xfId="9825" xr:uid="{00000000-0005-0000-0000-0000641B0000}"/>
    <cellStyle name="Normal 5 6 2 6" xfId="8463" xr:uid="{00000000-0005-0000-0000-0000651B0000}"/>
    <cellStyle name="Normal 5 6 3" xfId="3903" xr:uid="{00000000-0005-0000-0000-0000661B0000}"/>
    <cellStyle name="Normal 5 6 3 2" xfId="4529" xr:uid="{00000000-0005-0000-0000-0000671B0000}"/>
    <cellStyle name="Normal 5 6 3 2 2" xfId="7697" xr:uid="{00000000-0005-0000-0000-0000681B0000}"/>
    <cellStyle name="Normal 5 6 3 2 2 2" xfId="10452" xr:uid="{00000000-0005-0000-0000-0000691B0000}"/>
    <cellStyle name="Normal 5 6 3 2 3" xfId="9090" xr:uid="{00000000-0005-0000-0000-00006A1B0000}"/>
    <cellStyle name="Normal 5 6 3 3" xfId="7073" xr:uid="{00000000-0005-0000-0000-00006B1B0000}"/>
    <cellStyle name="Normal 5 6 3 3 2" xfId="9828" xr:uid="{00000000-0005-0000-0000-00006C1B0000}"/>
    <cellStyle name="Normal 5 6 3 4" xfId="8466" xr:uid="{00000000-0005-0000-0000-00006D1B0000}"/>
    <cellStyle name="Normal 5 6 4" xfId="3904" xr:uid="{00000000-0005-0000-0000-00006E1B0000}"/>
    <cellStyle name="Normal 5 6 4 2" xfId="4530" xr:uid="{00000000-0005-0000-0000-00006F1B0000}"/>
    <cellStyle name="Normal 5 6 4 2 2" xfId="7698" xr:uid="{00000000-0005-0000-0000-0000701B0000}"/>
    <cellStyle name="Normal 5 6 4 2 2 2" xfId="10453" xr:uid="{00000000-0005-0000-0000-0000711B0000}"/>
    <cellStyle name="Normal 5 6 4 2 3" xfId="9091" xr:uid="{00000000-0005-0000-0000-0000721B0000}"/>
    <cellStyle name="Normal 5 6 4 3" xfId="7074" xr:uid="{00000000-0005-0000-0000-0000731B0000}"/>
    <cellStyle name="Normal 5 6 4 3 2" xfId="9829" xr:uid="{00000000-0005-0000-0000-0000741B0000}"/>
    <cellStyle name="Normal 5 6 4 4" xfId="8467" xr:uid="{00000000-0005-0000-0000-0000751B0000}"/>
    <cellStyle name="Normal 5 6 5" xfId="3905" xr:uid="{00000000-0005-0000-0000-0000761B0000}"/>
    <cellStyle name="Normal 5 6 5 2" xfId="4531" xr:uid="{00000000-0005-0000-0000-0000771B0000}"/>
    <cellStyle name="Normal 5 6 5 2 2" xfId="7699" xr:uid="{00000000-0005-0000-0000-0000781B0000}"/>
    <cellStyle name="Normal 5 6 5 2 2 2" xfId="10454" xr:uid="{00000000-0005-0000-0000-0000791B0000}"/>
    <cellStyle name="Normal 5 6 5 2 3" xfId="9092" xr:uid="{00000000-0005-0000-0000-00007A1B0000}"/>
    <cellStyle name="Normal 5 6 5 3" xfId="7075" xr:uid="{00000000-0005-0000-0000-00007B1B0000}"/>
    <cellStyle name="Normal 5 6 5 3 2" xfId="9830" xr:uid="{00000000-0005-0000-0000-00007C1B0000}"/>
    <cellStyle name="Normal 5 6 5 4" xfId="8468" xr:uid="{00000000-0005-0000-0000-00007D1B0000}"/>
    <cellStyle name="Normal 5 6 6" xfId="4525" xr:uid="{00000000-0005-0000-0000-00007E1B0000}"/>
    <cellStyle name="Normal 5 6 6 2" xfId="7693" xr:uid="{00000000-0005-0000-0000-00007F1B0000}"/>
    <cellStyle name="Normal 5 6 6 2 2" xfId="10448" xr:uid="{00000000-0005-0000-0000-0000801B0000}"/>
    <cellStyle name="Normal 5 6 6 3" xfId="9086" xr:uid="{00000000-0005-0000-0000-0000811B0000}"/>
    <cellStyle name="Normal 5 6 7" xfId="7069" xr:uid="{00000000-0005-0000-0000-0000821B0000}"/>
    <cellStyle name="Normal 5 6 7 2" xfId="9824" xr:uid="{00000000-0005-0000-0000-0000831B0000}"/>
    <cellStyle name="Normal 5 6 8" xfId="8462" xr:uid="{00000000-0005-0000-0000-0000841B0000}"/>
    <cellStyle name="Normal 5 7" xfId="3906" xr:uid="{00000000-0005-0000-0000-0000851B0000}"/>
    <cellStyle name="Normal 5 7 2" xfId="3907" xr:uid="{00000000-0005-0000-0000-0000861B0000}"/>
    <cellStyle name="Normal 5 7 2 2" xfId="3908" xr:uid="{00000000-0005-0000-0000-0000871B0000}"/>
    <cellStyle name="Normal 5 7 2 2 2" xfId="4534" xr:uid="{00000000-0005-0000-0000-0000881B0000}"/>
    <cellStyle name="Normal 5 7 2 2 2 2" xfId="7702" xr:uid="{00000000-0005-0000-0000-0000891B0000}"/>
    <cellStyle name="Normal 5 7 2 2 2 2 2" xfId="10457" xr:uid="{00000000-0005-0000-0000-00008A1B0000}"/>
    <cellStyle name="Normal 5 7 2 2 2 3" xfId="9095" xr:uid="{00000000-0005-0000-0000-00008B1B0000}"/>
    <cellStyle name="Normal 5 7 2 2 3" xfId="7078" xr:uid="{00000000-0005-0000-0000-00008C1B0000}"/>
    <cellStyle name="Normal 5 7 2 2 3 2" xfId="9833" xr:uid="{00000000-0005-0000-0000-00008D1B0000}"/>
    <cellStyle name="Normal 5 7 2 2 4" xfId="8471" xr:uid="{00000000-0005-0000-0000-00008E1B0000}"/>
    <cellStyle name="Normal 5 7 2 3" xfId="3909" xr:uid="{00000000-0005-0000-0000-00008F1B0000}"/>
    <cellStyle name="Normal 5 7 2 3 2" xfId="4535" xr:uid="{00000000-0005-0000-0000-0000901B0000}"/>
    <cellStyle name="Normal 5 7 2 3 2 2" xfId="7703" xr:uid="{00000000-0005-0000-0000-0000911B0000}"/>
    <cellStyle name="Normal 5 7 2 3 2 2 2" xfId="10458" xr:uid="{00000000-0005-0000-0000-0000921B0000}"/>
    <cellStyle name="Normal 5 7 2 3 2 3" xfId="9096" xr:uid="{00000000-0005-0000-0000-0000931B0000}"/>
    <cellStyle name="Normal 5 7 2 3 3" xfId="7079" xr:uid="{00000000-0005-0000-0000-0000941B0000}"/>
    <cellStyle name="Normal 5 7 2 3 3 2" xfId="9834" xr:uid="{00000000-0005-0000-0000-0000951B0000}"/>
    <cellStyle name="Normal 5 7 2 3 4" xfId="8472" xr:uid="{00000000-0005-0000-0000-0000961B0000}"/>
    <cellStyle name="Normal 5 7 2 4" xfId="4533" xr:uid="{00000000-0005-0000-0000-0000971B0000}"/>
    <cellStyle name="Normal 5 7 2 4 2" xfId="7701" xr:uid="{00000000-0005-0000-0000-0000981B0000}"/>
    <cellStyle name="Normal 5 7 2 4 2 2" xfId="10456" xr:uid="{00000000-0005-0000-0000-0000991B0000}"/>
    <cellStyle name="Normal 5 7 2 4 3" xfId="9094" xr:uid="{00000000-0005-0000-0000-00009A1B0000}"/>
    <cellStyle name="Normal 5 7 2 5" xfId="7077" xr:uid="{00000000-0005-0000-0000-00009B1B0000}"/>
    <cellStyle name="Normal 5 7 2 5 2" xfId="9832" xr:uid="{00000000-0005-0000-0000-00009C1B0000}"/>
    <cellStyle name="Normal 5 7 2 6" xfId="8470" xr:uid="{00000000-0005-0000-0000-00009D1B0000}"/>
    <cellStyle name="Normal 5 7 3" xfId="3910" xr:uid="{00000000-0005-0000-0000-00009E1B0000}"/>
    <cellStyle name="Normal 5 7 3 2" xfId="4536" xr:uid="{00000000-0005-0000-0000-00009F1B0000}"/>
    <cellStyle name="Normal 5 7 3 2 2" xfId="7704" xr:uid="{00000000-0005-0000-0000-0000A01B0000}"/>
    <cellStyle name="Normal 5 7 3 2 2 2" xfId="10459" xr:uid="{00000000-0005-0000-0000-0000A11B0000}"/>
    <cellStyle name="Normal 5 7 3 2 3" xfId="9097" xr:uid="{00000000-0005-0000-0000-0000A21B0000}"/>
    <cellStyle name="Normal 5 7 3 3" xfId="7080" xr:uid="{00000000-0005-0000-0000-0000A31B0000}"/>
    <cellStyle name="Normal 5 7 3 3 2" xfId="9835" xr:uid="{00000000-0005-0000-0000-0000A41B0000}"/>
    <cellStyle name="Normal 5 7 3 4" xfId="8473" xr:uid="{00000000-0005-0000-0000-0000A51B0000}"/>
    <cellStyle name="Normal 5 7 4" xfId="3911" xr:uid="{00000000-0005-0000-0000-0000A61B0000}"/>
    <cellStyle name="Normal 5 7 4 2" xfId="4537" xr:uid="{00000000-0005-0000-0000-0000A71B0000}"/>
    <cellStyle name="Normal 5 7 4 2 2" xfId="7705" xr:uid="{00000000-0005-0000-0000-0000A81B0000}"/>
    <cellStyle name="Normal 5 7 4 2 2 2" xfId="10460" xr:uid="{00000000-0005-0000-0000-0000A91B0000}"/>
    <cellStyle name="Normal 5 7 4 2 3" xfId="9098" xr:uid="{00000000-0005-0000-0000-0000AA1B0000}"/>
    <cellStyle name="Normal 5 7 4 3" xfId="7081" xr:uid="{00000000-0005-0000-0000-0000AB1B0000}"/>
    <cellStyle name="Normal 5 7 4 3 2" xfId="9836" xr:uid="{00000000-0005-0000-0000-0000AC1B0000}"/>
    <cellStyle name="Normal 5 7 4 4" xfId="8474" xr:uid="{00000000-0005-0000-0000-0000AD1B0000}"/>
    <cellStyle name="Normal 5 7 5" xfId="3912" xr:uid="{00000000-0005-0000-0000-0000AE1B0000}"/>
    <cellStyle name="Normal 5 7 5 2" xfId="4538" xr:uid="{00000000-0005-0000-0000-0000AF1B0000}"/>
    <cellStyle name="Normal 5 7 5 2 2" xfId="7706" xr:uid="{00000000-0005-0000-0000-0000B01B0000}"/>
    <cellStyle name="Normal 5 7 5 2 2 2" xfId="10461" xr:uid="{00000000-0005-0000-0000-0000B11B0000}"/>
    <cellStyle name="Normal 5 7 5 2 3" xfId="9099" xr:uid="{00000000-0005-0000-0000-0000B21B0000}"/>
    <cellStyle name="Normal 5 7 5 3" xfId="7082" xr:uid="{00000000-0005-0000-0000-0000B31B0000}"/>
    <cellStyle name="Normal 5 7 5 3 2" xfId="9837" xr:uid="{00000000-0005-0000-0000-0000B41B0000}"/>
    <cellStyle name="Normal 5 7 5 4" xfId="8475" xr:uid="{00000000-0005-0000-0000-0000B51B0000}"/>
    <cellStyle name="Normal 5 7 6" xfId="4532" xr:uid="{00000000-0005-0000-0000-0000B61B0000}"/>
    <cellStyle name="Normal 5 7 6 2" xfId="7700" xr:uid="{00000000-0005-0000-0000-0000B71B0000}"/>
    <cellStyle name="Normal 5 7 6 2 2" xfId="10455" xr:uid="{00000000-0005-0000-0000-0000B81B0000}"/>
    <cellStyle name="Normal 5 7 6 3" xfId="9093" xr:uid="{00000000-0005-0000-0000-0000B91B0000}"/>
    <cellStyle name="Normal 5 7 7" xfId="7076" xr:uid="{00000000-0005-0000-0000-0000BA1B0000}"/>
    <cellStyle name="Normal 5 7 7 2" xfId="9831" xr:uid="{00000000-0005-0000-0000-0000BB1B0000}"/>
    <cellStyle name="Normal 5 7 8" xfId="8469" xr:uid="{00000000-0005-0000-0000-0000BC1B0000}"/>
    <cellStyle name="Normal 5 8" xfId="3913" xr:uid="{00000000-0005-0000-0000-0000BD1B0000}"/>
    <cellStyle name="Normal 5 8 2" xfId="3914" xr:uid="{00000000-0005-0000-0000-0000BE1B0000}"/>
    <cellStyle name="Normal 5 8 2 2" xfId="4540" xr:uid="{00000000-0005-0000-0000-0000BF1B0000}"/>
    <cellStyle name="Normal 5 8 2 2 2" xfId="7708" xr:uid="{00000000-0005-0000-0000-0000C01B0000}"/>
    <cellStyle name="Normal 5 8 2 2 2 2" xfId="10463" xr:uid="{00000000-0005-0000-0000-0000C11B0000}"/>
    <cellStyle name="Normal 5 8 2 2 3" xfId="9101" xr:uid="{00000000-0005-0000-0000-0000C21B0000}"/>
    <cellStyle name="Normal 5 8 2 3" xfId="7084" xr:uid="{00000000-0005-0000-0000-0000C31B0000}"/>
    <cellStyle name="Normal 5 8 2 3 2" xfId="9839" xr:uid="{00000000-0005-0000-0000-0000C41B0000}"/>
    <cellStyle name="Normal 5 8 2 4" xfId="8477" xr:uid="{00000000-0005-0000-0000-0000C51B0000}"/>
    <cellStyle name="Normal 5 8 3" xfId="3915" xr:uid="{00000000-0005-0000-0000-0000C61B0000}"/>
    <cellStyle name="Normal 5 8 3 2" xfId="4541" xr:uid="{00000000-0005-0000-0000-0000C71B0000}"/>
    <cellStyle name="Normal 5 8 3 2 2" xfId="7709" xr:uid="{00000000-0005-0000-0000-0000C81B0000}"/>
    <cellStyle name="Normal 5 8 3 2 2 2" xfId="10464" xr:uid="{00000000-0005-0000-0000-0000C91B0000}"/>
    <cellStyle name="Normal 5 8 3 2 3" xfId="9102" xr:uid="{00000000-0005-0000-0000-0000CA1B0000}"/>
    <cellStyle name="Normal 5 8 3 3" xfId="7085" xr:uid="{00000000-0005-0000-0000-0000CB1B0000}"/>
    <cellStyle name="Normal 5 8 3 3 2" xfId="9840" xr:uid="{00000000-0005-0000-0000-0000CC1B0000}"/>
    <cellStyle name="Normal 5 8 3 4" xfId="8478" xr:uid="{00000000-0005-0000-0000-0000CD1B0000}"/>
    <cellStyle name="Normal 5 8 4" xfId="4539" xr:uid="{00000000-0005-0000-0000-0000CE1B0000}"/>
    <cellStyle name="Normal 5 8 4 2" xfId="7707" xr:uid="{00000000-0005-0000-0000-0000CF1B0000}"/>
    <cellStyle name="Normal 5 8 4 2 2" xfId="10462" xr:uid="{00000000-0005-0000-0000-0000D01B0000}"/>
    <cellStyle name="Normal 5 8 4 3" xfId="9100" xr:uid="{00000000-0005-0000-0000-0000D11B0000}"/>
    <cellStyle name="Normal 5 8 5" xfId="7083" xr:uid="{00000000-0005-0000-0000-0000D21B0000}"/>
    <cellStyle name="Normal 5 8 5 2" xfId="9838" xr:uid="{00000000-0005-0000-0000-0000D31B0000}"/>
    <cellStyle name="Normal 5 8 6" xfId="8476" xr:uid="{00000000-0005-0000-0000-0000D41B0000}"/>
    <cellStyle name="Normal 5 9" xfId="3916" xr:uid="{00000000-0005-0000-0000-0000D51B0000}"/>
    <cellStyle name="Normal 5 9 2" xfId="3917" xr:uid="{00000000-0005-0000-0000-0000D61B0000}"/>
    <cellStyle name="Normal 5 9 2 2" xfId="4543" xr:uid="{00000000-0005-0000-0000-0000D71B0000}"/>
    <cellStyle name="Normal 5 9 2 2 2" xfId="7711" xr:uid="{00000000-0005-0000-0000-0000D81B0000}"/>
    <cellStyle name="Normal 5 9 2 2 2 2" xfId="10466" xr:uid="{00000000-0005-0000-0000-0000D91B0000}"/>
    <cellStyle name="Normal 5 9 2 2 3" xfId="9104" xr:uid="{00000000-0005-0000-0000-0000DA1B0000}"/>
    <cellStyle name="Normal 5 9 2 3" xfId="7087" xr:uid="{00000000-0005-0000-0000-0000DB1B0000}"/>
    <cellStyle name="Normal 5 9 2 3 2" xfId="9842" xr:uid="{00000000-0005-0000-0000-0000DC1B0000}"/>
    <cellStyle name="Normal 5 9 2 4" xfId="8480" xr:uid="{00000000-0005-0000-0000-0000DD1B0000}"/>
    <cellStyle name="Normal 5 9 3" xfId="4542" xr:uid="{00000000-0005-0000-0000-0000DE1B0000}"/>
    <cellStyle name="Normal 5 9 3 2" xfId="7710" xr:uid="{00000000-0005-0000-0000-0000DF1B0000}"/>
    <cellStyle name="Normal 5 9 3 2 2" xfId="10465" xr:uid="{00000000-0005-0000-0000-0000E01B0000}"/>
    <cellStyle name="Normal 5 9 3 3" xfId="9103" xr:uid="{00000000-0005-0000-0000-0000E11B0000}"/>
    <cellStyle name="Normal 5 9 4" xfId="7086" xr:uid="{00000000-0005-0000-0000-0000E21B0000}"/>
    <cellStyle name="Normal 5 9 4 2" xfId="9841" xr:uid="{00000000-0005-0000-0000-0000E31B0000}"/>
    <cellStyle name="Normal 5 9 5" xfId="8479" xr:uid="{00000000-0005-0000-0000-0000E41B0000}"/>
    <cellStyle name="Normal 6" xfId="989" xr:uid="{00000000-0005-0000-0000-0000E51B0000}"/>
    <cellStyle name="Normal 6 10" xfId="3919" xr:uid="{00000000-0005-0000-0000-0000E61B0000}"/>
    <cellStyle name="Normal 6 10 2" xfId="4545" xr:uid="{00000000-0005-0000-0000-0000E71B0000}"/>
    <cellStyle name="Normal 6 10 2 2" xfId="7713" xr:uid="{00000000-0005-0000-0000-0000E81B0000}"/>
    <cellStyle name="Normal 6 10 2 2 2" xfId="10468" xr:uid="{00000000-0005-0000-0000-0000E91B0000}"/>
    <cellStyle name="Normal 6 10 2 3" xfId="9106" xr:uid="{00000000-0005-0000-0000-0000EA1B0000}"/>
    <cellStyle name="Normal 6 10 3" xfId="7089" xr:uid="{00000000-0005-0000-0000-0000EB1B0000}"/>
    <cellStyle name="Normal 6 10 3 2" xfId="9844" xr:uid="{00000000-0005-0000-0000-0000EC1B0000}"/>
    <cellStyle name="Normal 6 10 4" xfId="8482" xr:uid="{00000000-0005-0000-0000-0000ED1B0000}"/>
    <cellStyle name="Normal 6 11" xfId="3920" xr:uid="{00000000-0005-0000-0000-0000EE1B0000}"/>
    <cellStyle name="Normal 6 11 2" xfId="4546" xr:uid="{00000000-0005-0000-0000-0000EF1B0000}"/>
    <cellStyle name="Normal 6 11 2 2" xfId="7714" xr:uid="{00000000-0005-0000-0000-0000F01B0000}"/>
    <cellStyle name="Normal 6 11 2 2 2" xfId="10469" xr:uid="{00000000-0005-0000-0000-0000F11B0000}"/>
    <cellStyle name="Normal 6 11 2 3" xfId="9107" xr:uid="{00000000-0005-0000-0000-0000F21B0000}"/>
    <cellStyle name="Normal 6 11 3" xfId="7090" xr:uid="{00000000-0005-0000-0000-0000F31B0000}"/>
    <cellStyle name="Normal 6 11 3 2" xfId="9845" xr:uid="{00000000-0005-0000-0000-0000F41B0000}"/>
    <cellStyle name="Normal 6 11 4" xfId="8483" xr:uid="{00000000-0005-0000-0000-0000F51B0000}"/>
    <cellStyle name="Normal 6 12" xfId="3921" xr:uid="{00000000-0005-0000-0000-0000F61B0000}"/>
    <cellStyle name="Normal 6 12 2" xfId="4547" xr:uid="{00000000-0005-0000-0000-0000F71B0000}"/>
    <cellStyle name="Normal 6 12 2 2" xfId="7715" xr:uid="{00000000-0005-0000-0000-0000F81B0000}"/>
    <cellStyle name="Normal 6 12 2 2 2" xfId="10470" xr:uid="{00000000-0005-0000-0000-0000F91B0000}"/>
    <cellStyle name="Normal 6 12 2 3" xfId="9108" xr:uid="{00000000-0005-0000-0000-0000FA1B0000}"/>
    <cellStyle name="Normal 6 12 3" xfId="7091" xr:uid="{00000000-0005-0000-0000-0000FB1B0000}"/>
    <cellStyle name="Normal 6 12 3 2" xfId="9846" xr:uid="{00000000-0005-0000-0000-0000FC1B0000}"/>
    <cellStyle name="Normal 6 12 4" xfId="8484" xr:uid="{00000000-0005-0000-0000-0000FD1B0000}"/>
    <cellStyle name="Normal 6 13" xfId="3918" xr:uid="{00000000-0005-0000-0000-0000FE1B0000}"/>
    <cellStyle name="Normal 6 13 2" xfId="4544" xr:uid="{00000000-0005-0000-0000-0000FF1B0000}"/>
    <cellStyle name="Normal 6 13 2 2" xfId="7712" xr:uid="{00000000-0005-0000-0000-0000001C0000}"/>
    <cellStyle name="Normal 6 13 2 2 2" xfId="10467" xr:uid="{00000000-0005-0000-0000-0000011C0000}"/>
    <cellStyle name="Normal 6 13 2 3" xfId="9105" xr:uid="{00000000-0005-0000-0000-0000021C0000}"/>
    <cellStyle name="Normal 6 13 3" xfId="7088" xr:uid="{00000000-0005-0000-0000-0000031C0000}"/>
    <cellStyle name="Normal 6 13 3 2" xfId="9843" xr:uid="{00000000-0005-0000-0000-0000041C0000}"/>
    <cellStyle name="Normal 6 13 4" xfId="8481" xr:uid="{00000000-0005-0000-0000-0000051C0000}"/>
    <cellStyle name="Normal 6 14" xfId="4104" xr:uid="{00000000-0005-0000-0000-0000061C0000}"/>
    <cellStyle name="Normal 6 14 2" xfId="7272" xr:uid="{00000000-0005-0000-0000-0000071C0000}"/>
    <cellStyle name="Normal 6 14 2 2" xfId="10027" xr:uid="{00000000-0005-0000-0000-0000081C0000}"/>
    <cellStyle name="Normal 6 14 3" xfId="8665" xr:uid="{00000000-0005-0000-0000-0000091C0000}"/>
    <cellStyle name="Normal 6 15" xfId="3385" xr:uid="{00000000-0005-0000-0000-00000A1C0000}"/>
    <cellStyle name="Normal 6 15 2" xfId="6653" xr:uid="{00000000-0005-0000-0000-00000B1C0000}"/>
    <cellStyle name="Normal 6 15 2 2" xfId="9416" xr:uid="{00000000-0005-0000-0000-00000C1C0000}"/>
    <cellStyle name="Normal 6 15 3" xfId="8045" xr:uid="{00000000-0005-0000-0000-00000D1C0000}"/>
    <cellStyle name="Normal 6 16" xfId="6226" xr:uid="{00000000-0005-0000-0000-00000E1C0000}"/>
    <cellStyle name="Normal 6 16 2" xfId="9342" xr:uid="{00000000-0005-0000-0000-00000F1C0000}"/>
    <cellStyle name="Normal 6 17" xfId="7917" xr:uid="{00000000-0005-0000-0000-0000101C0000}"/>
    <cellStyle name="Normal 6 2" xfId="990" xr:uid="{00000000-0005-0000-0000-0000111C0000}"/>
    <cellStyle name="Normal 6 2 2" xfId="2620" xr:uid="{00000000-0005-0000-0000-0000121C0000}"/>
    <cellStyle name="Normal 6 2 2 2" xfId="3924" xr:uid="{00000000-0005-0000-0000-0000131C0000}"/>
    <cellStyle name="Normal 6 2 2 2 2" xfId="4550" xr:uid="{00000000-0005-0000-0000-0000141C0000}"/>
    <cellStyle name="Normal 6 2 2 2 2 2" xfId="7718" xr:uid="{00000000-0005-0000-0000-0000151C0000}"/>
    <cellStyle name="Normal 6 2 2 2 2 2 2" xfId="10473" xr:uid="{00000000-0005-0000-0000-0000161C0000}"/>
    <cellStyle name="Normal 6 2 2 2 2 3" xfId="9111" xr:uid="{00000000-0005-0000-0000-0000171C0000}"/>
    <cellStyle name="Normal 6 2 2 2 3" xfId="7094" xr:uid="{00000000-0005-0000-0000-0000181C0000}"/>
    <cellStyle name="Normal 6 2 2 2 3 2" xfId="9849" xr:uid="{00000000-0005-0000-0000-0000191C0000}"/>
    <cellStyle name="Normal 6 2 2 2 4" xfId="8487" xr:uid="{00000000-0005-0000-0000-00001A1C0000}"/>
    <cellStyle name="Normal 6 2 2 3" xfId="3925" xr:uid="{00000000-0005-0000-0000-00001B1C0000}"/>
    <cellStyle name="Normal 6 2 2 3 2" xfId="4551" xr:uid="{00000000-0005-0000-0000-00001C1C0000}"/>
    <cellStyle name="Normal 6 2 2 3 2 2" xfId="7719" xr:uid="{00000000-0005-0000-0000-00001D1C0000}"/>
    <cellStyle name="Normal 6 2 2 3 2 2 2" xfId="10474" xr:uid="{00000000-0005-0000-0000-00001E1C0000}"/>
    <cellStyle name="Normal 6 2 2 3 2 3" xfId="9112" xr:uid="{00000000-0005-0000-0000-00001F1C0000}"/>
    <cellStyle name="Normal 6 2 2 3 3" xfId="7095" xr:uid="{00000000-0005-0000-0000-0000201C0000}"/>
    <cellStyle name="Normal 6 2 2 3 3 2" xfId="9850" xr:uid="{00000000-0005-0000-0000-0000211C0000}"/>
    <cellStyle name="Normal 6 2 2 3 4" xfId="8488" xr:uid="{00000000-0005-0000-0000-0000221C0000}"/>
    <cellStyle name="Normal 6 2 2 4" xfId="3923" xr:uid="{00000000-0005-0000-0000-0000231C0000}"/>
    <cellStyle name="Normal 6 2 2 4 2" xfId="4549" xr:uid="{00000000-0005-0000-0000-0000241C0000}"/>
    <cellStyle name="Normal 6 2 2 4 2 2" xfId="7717" xr:uid="{00000000-0005-0000-0000-0000251C0000}"/>
    <cellStyle name="Normal 6 2 2 4 2 2 2" xfId="10472" xr:uid="{00000000-0005-0000-0000-0000261C0000}"/>
    <cellStyle name="Normal 6 2 2 4 2 3" xfId="9110" xr:uid="{00000000-0005-0000-0000-0000271C0000}"/>
    <cellStyle name="Normal 6 2 2 4 3" xfId="7093" xr:uid="{00000000-0005-0000-0000-0000281C0000}"/>
    <cellStyle name="Normal 6 2 2 4 3 2" xfId="9848" xr:uid="{00000000-0005-0000-0000-0000291C0000}"/>
    <cellStyle name="Normal 6 2 2 4 4" xfId="8486" xr:uid="{00000000-0005-0000-0000-00002A1C0000}"/>
    <cellStyle name="Normal 6 2 2 5" xfId="4128" xr:uid="{00000000-0005-0000-0000-00002B1C0000}"/>
    <cellStyle name="Normal 6 2 2 5 2" xfId="7296" xr:uid="{00000000-0005-0000-0000-00002C1C0000}"/>
    <cellStyle name="Normal 6 2 2 5 2 2" xfId="10051" xr:uid="{00000000-0005-0000-0000-00002D1C0000}"/>
    <cellStyle name="Normal 6 2 2 5 3" xfId="8689" xr:uid="{00000000-0005-0000-0000-00002E1C0000}"/>
    <cellStyle name="Normal 6 2 2 6" xfId="3477" xr:uid="{00000000-0005-0000-0000-00002F1C0000}"/>
    <cellStyle name="Normal 6 2 2 6 2" xfId="6685" xr:uid="{00000000-0005-0000-0000-0000301C0000}"/>
    <cellStyle name="Normal 6 2 2 6 2 2" xfId="9440" xr:uid="{00000000-0005-0000-0000-0000311C0000}"/>
    <cellStyle name="Normal 6 2 2 6 3" xfId="8073" xr:uid="{00000000-0005-0000-0000-0000321C0000}"/>
    <cellStyle name="Normal 6 2 3" xfId="3329" xr:uid="{00000000-0005-0000-0000-0000331C0000}"/>
    <cellStyle name="Normal 6 2 3 2" xfId="3926" xr:uid="{00000000-0005-0000-0000-0000341C0000}"/>
    <cellStyle name="Normal 6 2 3 2 2" xfId="4552" xr:uid="{00000000-0005-0000-0000-0000351C0000}"/>
    <cellStyle name="Normal 6 2 3 2 2 2" xfId="7720" xr:uid="{00000000-0005-0000-0000-0000361C0000}"/>
    <cellStyle name="Normal 6 2 3 2 2 2 2" xfId="10475" xr:uid="{00000000-0005-0000-0000-0000371C0000}"/>
    <cellStyle name="Normal 6 2 3 2 2 3" xfId="9113" xr:uid="{00000000-0005-0000-0000-0000381C0000}"/>
    <cellStyle name="Normal 6 2 3 2 3" xfId="7096" xr:uid="{00000000-0005-0000-0000-0000391C0000}"/>
    <cellStyle name="Normal 6 2 3 2 3 2" xfId="9851" xr:uid="{00000000-0005-0000-0000-00003A1C0000}"/>
    <cellStyle name="Normal 6 2 3 2 4" xfId="8489" xr:uid="{00000000-0005-0000-0000-00003B1C0000}"/>
    <cellStyle name="Normal 6 2 3 3" xfId="4144" xr:uid="{00000000-0005-0000-0000-00003C1C0000}"/>
    <cellStyle name="Normal 6 2 3 3 2" xfId="7312" xr:uid="{00000000-0005-0000-0000-00003D1C0000}"/>
    <cellStyle name="Normal 6 2 3 3 2 2" xfId="10067" xr:uid="{00000000-0005-0000-0000-00003E1C0000}"/>
    <cellStyle name="Normal 6 2 3 3 3" xfId="8705" xr:uid="{00000000-0005-0000-0000-00003F1C0000}"/>
    <cellStyle name="Normal 6 2 3 4" xfId="3493" xr:uid="{00000000-0005-0000-0000-0000401C0000}"/>
    <cellStyle name="Normal 6 2 3 4 2" xfId="6701" xr:uid="{00000000-0005-0000-0000-0000411C0000}"/>
    <cellStyle name="Normal 6 2 3 4 2 2" xfId="9456" xr:uid="{00000000-0005-0000-0000-0000421C0000}"/>
    <cellStyle name="Normal 6 2 3 4 3" xfId="8089" xr:uid="{00000000-0005-0000-0000-0000431C0000}"/>
    <cellStyle name="Normal 6 2 3 5" xfId="6633" xr:uid="{00000000-0005-0000-0000-0000441C0000}"/>
    <cellStyle name="Normal 6 2 3 5 2" xfId="9397" xr:uid="{00000000-0005-0000-0000-0000451C0000}"/>
    <cellStyle name="Normal 6 2 3 6" xfId="8026" xr:uid="{00000000-0005-0000-0000-0000461C0000}"/>
    <cellStyle name="Normal 6 2 4" xfId="3927" xr:uid="{00000000-0005-0000-0000-0000471C0000}"/>
    <cellStyle name="Normal 6 2 4 2" xfId="4553" xr:uid="{00000000-0005-0000-0000-0000481C0000}"/>
    <cellStyle name="Normal 6 2 4 2 2" xfId="7721" xr:uid="{00000000-0005-0000-0000-0000491C0000}"/>
    <cellStyle name="Normal 6 2 4 2 2 2" xfId="10476" xr:uid="{00000000-0005-0000-0000-00004A1C0000}"/>
    <cellStyle name="Normal 6 2 4 2 3" xfId="9114" xr:uid="{00000000-0005-0000-0000-00004B1C0000}"/>
    <cellStyle name="Normal 6 2 4 3" xfId="7097" xr:uid="{00000000-0005-0000-0000-00004C1C0000}"/>
    <cellStyle name="Normal 6 2 4 3 2" xfId="9852" xr:uid="{00000000-0005-0000-0000-00004D1C0000}"/>
    <cellStyle name="Normal 6 2 4 4" xfId="8490" xr:uid="{00000000-0005-0000-0000-00004E1C0000}"/>
    <cellStyle name="Normal 6 2 5" xfId="3928" xr:uid="{00000000-0005-0000-0000-00004F1C0000}"/>
    <cellStyle name="Normal 6 2 5 2" xfId="4554" xr:uid="{00000000-0005-0000-0000-0000501C0000}"/>
    <cellStyle name="Normal 6 2 5 2 2" xfId="7722" xr:uid="{00000000-0005-0000-0000-0000511C0000}"/>
    <cellStyle name="Normal 6 2 5 2 2 2" xfId="10477" xr:uid="{00000000-0005-0000-0000-0000521C0000}"/>
    <cellStyle name="Normal 6 2 5 2 3" xfId="9115" xr:uid="{00000000-0005-0000-0000-0000531C0000}"/>
    <cellStyle name="Normal 6 2 5 3" xfId="7098" xr:uid="{00000000-0005-0000-0000-0000541C0000}"/>
    <cellStyle name="Normal 6 2 5 3 2" xfId="9853" xr:uid="{00000000-0005-0000-0000-0000551C0000}"/>
    <cellStyle name="Normal 6 2 5 4" xfId="8491" xr:uid="{00000000-0005-0000-0000-0000561C0000}"/>
    <cellStyle name="Normal 6 2 6" xfId="3929" xr:uid="{00000000-0005-0000-0000-0000571C0000}"/>
    <cellStyle name="Normal 6 2 6 2" xfId="4555" xr:uid="{00000000-0005-0000-0000-0000581C0000}"/>
    <cellStyle name="Normal 6 2 6 2 2" xfId="7723" xr:uid="{00000000-0005-0000-0000-0000591C0000}"/>
    <cellStyle name="Normal 6 2 6 2 2 2" xfId="10478" xr:uid="{00000000-0005-0000-0000-00005A1C0000}"/>
    <cellStyle name="Normal 6 2 6 2 3" xfId="9116" xr:uid="{00000000-0005-0000-0000-00005B1C0000}"/>
    <cellStyle name="Normal 6 2 6 3" xfId="7099" xr:uid="{00000000-0005-0000-0000-00005C1C0000}"/>
    <cellStyle name="Normal 6 2 6 3 2" xfId="9854" xr:uid="{00000000-0005-0000-0000-00005D1C0000}"/>
    <cellStyle name="Normal 6 2 6 4" xfId="8492" xr:uid="{00000000-0005-0000-0000-00005E1C0000}"/>
    <cellStyle name="Normal 6 2 7" xfId="3922" xr:uid="{00000000-0005-0000-0000-00005F1C0000}"/>
    <cellStyle name="Normal 6 2 7 2" xfId="4548" xr:uid="{00000000-0005-0000-0000-0000601C0000}"/>
    <cellStyle name="Normal 6 2 7 2 2" xfId="7716" xr:uid="{00000000-0005-0000-0000-0000611C0000}"/>
    <cellStyle name="Normal 6 2 7 2 2 2" xfId="10471" xr:uid="{00000000-0005-0000-0000-0000621C0000}"/>
    <cellStyle name="Normal 6 2 7 2 3" xfId="9109" xr:uid="{00000000-0005-0000-0000-0000631C0000}"/>
    <cellStyle name="Normal 6 2 7 3" xfId="7092" xr:uid="{00000000-0005-0000-0000-0000641C0000}"/>
    <cellStyle name="Normal 6 2 7 3 2" xfId="9847" xr:uid="{00000000-0005-0000-0000-0000651C0000}"/>
    <cellStyle name="Normal 6 2 7 4" xfId="8485" xr:uid="{00000000-0005-0000-0000-0000661C0000}"/>
    <cellStyle name="Normal 6 2 8" xfId="4112" xr:uid="{00000000-0005-0000-0000-0000671C0000}"/>
    <cellStyle name="Normal 6 2 8 2" xfId="7280" xr:uid="{00000000-0005-0000-0000-0000681C0000}"/>
    <cellStyle name="Normal 6 2 8 2 2" xfId="10035" xr:uid="{00000000-0005-0000-0000-0000691C0000}"/>
    <cellStyle name="Normal 6 2 8 3" xfId="8673" xr:uid="{00000000-0005-0000-0000-00006A1C0000}"/>
    <cellStyle name="Normal 6 2 9" xfId="3461" xr:uid="{00000000-0005-0000-0000-00006B1C0000}"/>
    <cellStyle name="Normal 6 2 9 2" xfId="6669" xr:uid="{00000000-0005-0000-0000-00006C1C0000}"/>
    <cellStyle name="Normal 6 2 9 2 2" xfId="9424" xr:uid="{00000000-0005-0000-0000-00006D1C0000}"/>
    <cellStyle name="Normal 6 2 9 3" xfId="8057" xr:uid="{00000000-0005-0000-0000-00006E1C0000}"/>
    <cellStyle name="Normal 6 3" xfId="2619" xr:uid="{00000000-0005-0000-0000-00006F1C0000}"/>
    <cellStyle name="Normal 6 3 10" xfId="5673" xr:uid="{00000000-0005-0000-0000-0000701C0000}"/>
    <cellStyle name="Normal 6 3 10 2" xfId="9323" xr:uid="{00000000-0005-0000-0000-0000711C0000}"/>
    <cellStyle name="Normal 6 3 11" xfId="6595" xr:uid="{00000000-0005-0000-0000-0000721C0000}"/>
    <cellStyle name="Normal 6 3 11 2" xfId="9359" xr:uid="{00000000-0005-0000-0000-0000731C0000}"/>
    <cellStyle name="Normal 6 3 12" xfId="7971" xr:uid="{00000000-0005-0000-0000-0000741C0000}"/>
    <cellStyle name="Normal 6 3 2" xfId="3307" xr:uid="{00000000-0005-0000-0000-0000751C0000}"/>
    <cellStyle name="Normal 6 3 2 2" xfId="3932" xr:uid="{00000000-0005-0000-0000-0000761C0000}"/>
    <cellStyle name="Normal 6 3 2 2 2" xfId="4558" xr:uid="{00000000-0005-0000-0000-0000771C0000}"/>
    <cellStyle name="Normal 6 3 2 2 2 2" xfId="7726" xr:uid="{00000000-0005-0000-0000-0000781C0000}"/>
    <cellStyle name="Normal 6 3 2 2 2 2 2" xfId="10481" xr:uid="{00000000-0005-0000-0000-0000791C0000}"/>
    <cellStyle name="Normal 6 3 2 2 2 3" xfId="9119" xr:uid="{00000000-0005-0000-0000-00007A1C0000}"/>
    <cellStyle name="Normal 6 3 2 2 3" xfId="7102" xr:uid="{00000000-0005-0000-0000-00007B1C0000}"/>
    <cellStyle name="Normal 6 3 2 2 3 2" xfId="9857" xr:uid="{00000000-0005-0000-0000-00007C1C0000}"/>
    <cellStyle name="Normal 6 3 2 2 4" xfId="8495" xr:uid="{00000000-0005-0000-0000-00007D1C0000}"/>
    <cellStyle name="Normal 6 3 2 3" xfId="3933" xr:uid="{00000000-0005-0000-0000-00007E1C0000}"/>
    <cellStyle name="Normal 6 3 2 3 2" xfId="4559" xr:uid="{00000000-0005-0000-0000-00007F1C0000}"/>
    <cellStyle name="Normal 6 3 2 3 2 2" xfId="7727" xr:uid="{00000000-0005-0000-0000-0000801C0000}"/>
    <cellStyle name="Normal 6 3 2 3 2 2 2" xfId="10482" xr:uid="{00000000-0005-0000-0000-0000811C0000}"/>
    <cellStyle name="Normal 6 3 2 3 2 3" xfId="9120" xr:uid="{00000000-0005-0000-0000-0000821C0000}"/>
    <cellStyle name="Normal 6 3 2 3 3" xfId="7103" xr:uid="{00000000-0005-0000-0000-0000831C0000}"/>
    <cellStyle name="Normal 6 3 2 3 3 2" xfId="9858" xr:uid="{00000000-0005-0000-0000-0000841C0000}"/>
    <cellStyle name="Normal 6 3 2 3 4" xfId="8496" xr:uid="{00000000-0005-0000-0000-0000851C0000}"/>
    <cellStyle name="Normal 6 3 2 4" xfId="4557" xr:uid="{00000000-0005-0000-0000-0000861C0000}"/>
    <cellStyle name="Normal 6 3 2 4 2" xfId="7725" xr:uid="{00000000-0005-0000-0000-0000871C0000}"/>
    <cellStyle name="Normal 6 3 2 4 2 2" xfId="10480" xr:uid="{00000000-0005-0000-0000-0000881C0000}"/>
    <cellStyle name="Normal 6 3 2 4 3" xfId="9118" xr:uid="{00000000-0005-0000-0000-0000891C0000}"/>
    <cellStyle name="Normal 6 3 2 5" xfId="3931" xr:uid="{00000000-0005-0000-0000-00008A1C0000}"/>
    <cellStyle name="Normal 6 3 2 5 2" xfId="7101" xr:uid="{00000000-0005-0000-0000-00008B1C0000}"/>
    <cellStyle name="Normal 6 3 2 5 2 2" xfId="9856" xr:uid="{00000000-0005-0000-0000-00008C1C0000}"/>
    <cellStyle name="Normal 6 3 2 5 3" xfId="8494" xr:uid="{00000000-0005-0000-0000-00008D1C0000}"/>
    <cellStyle name="Normal 6 3 2 6" xfId="6616" xr:uid="{00000000-0005-0000-0000-00008E1C0000}"/>
    <cellStyle name="Normal 6 3 2 6 2" xfId="9380" xr:uid="{00000000-0005-0000-0000-00008F1C0000}"/>
    <cellStyle name="Normal 6 3 2 7" xfId="8009" xr:uid="{00000000-0005-0000-0000-0000901C0000}"/>
    <cellStyle name="Normal 6 3 3" xfId="3934" xr:uid="{00000000-0005-0000-0000-0000911C0000}"/>
    <cellStyle name="Normal 6 3 3 2" xfId="4560" xr:uid="{00000000-0005-0000-0000-0000921C0000}"/>
    <cellStyle name="Normal 6 3 3 2 2" xfId="7728" xr:uid="{00000000-0005-0000-0000-0000931C0000}"/>
    <cellStyle name="Normal 6 3 3 2 2 2" xfId="10483" xr:uid="{00000000-0005-0000-0000-0000941C0000}"/>
    <cellStyle name="Normal 6 3 3 2 3" xfId="9121" xr:uid="{00000000-0005-0000-0000-0000951C0000}"/>
    <cellStyle name="Normal 6 3 3 3" xfId="7104" xr:uid="{00000000-0005-0000-0000-0000961C0000}"/>
    <cellStyle name="Normal 6 3 3 3 2" xfId="9859" xr:uid="{00000000-0005-0000-0000-0000971C0000}"/>
    <cellStyle name="Normal 6 3 3 4" xfId="8497" xr:uid="{00000000-0005-0000-0000-0000981C0000}"/>
    <cellStyle name="Normal 6 3 4" xfId="3935" xr:uid="{00000000-0005-0000-0000-0000991C0000}"/>
    <cellStyle name="Normal 6 3 4 2" xfId="4561" xr:uid="{00000000-0005-0000-0000-00009A1C0000}"/>
    <cellStyle name="Normal 6 3 4 2 2" xfId="7729" xr:uid="{00000000-0005-0000-0000-00009B1C0000}"/>
    <cellStyle name="Normal 6 3 4 2 2 2" xfId="10484" xr:uid="{00000000-0005-0000-0000-00009C1C0000}"/>
    <cellStyle name="Normal 6 3 4 2 3" xfId="9122" xr:uid="{00000000-0005-0000-0000-00009D1C0000}"/>
    <cellStyle name="Normal 6 3 4 3" xfId="7105" xr:uid="{00000000-0005-0000-0000-00009E1C0000}"/>
    <cellStyle name="Normal 6 3 4 3 2" xfId="9860" xr:uid="{00000000-0005-0000-0000-00009F1C0000}"/>
    <cellStyle name="Normal 6 3 4 4" xfId="8498" xr:uid="{00000000-0005-0000-0000-0000A01C0000}"/>
    <cellStyle name="Normal 6 3 5" xfId="3936" xr:uid="{00000000-0005-0000-0000-0000A11C0000}"/>
    <cellStyle name="Normal 6 3 5 2" xfId="4562" xr:uid="{00000000-0005-0000-0000-0000A21C0000}"/>
    <cellStyle name="Normal 6 3 5 2 2" xfId="7730" xr:uid="{00000000-0005-0000-0000-0000A31C0000}"/>
    <cellStyle name="Normal 6 3 5 2 2 2" xfId="10485" xr:uid="{00000000-0005-0000-0000-0000A41C0000}"/>
    <cellStyle name="Normal 6 3 5 2 3" xfId="9123" xr:uid="{00000000-0005-0000-0000-0000A51C0000}"/>
    <cellStyle name="Normal 6 3 5 3" xfId="7106" xr:uid="{00000000-0005-0000-0000-0000A61C0000}"/>
    <cellStyle name="Normal 6 3 5 3 2" xfId="9861" xr:uid="{00000000-0005-0000-0000-0000A71C0000}"/>
    <cellStyle name="Normal 6 3 5 4" xfId="8499" xr:uid="{00000000-0005-0000-0000-0000A81C0000}"/>
    <cellStyle name="Normal 6 3 6" xfId="3937" xr:uid="{00000000-0005-0000-0000-0000A91C0000}"/>
    <cellStyle name="Normal 6 3 6 2" xfId="4563" xr:uid="{00000000-0005-0000-0000-0000AA1C0000}"/>
    <cellStyle name="Normal 6 3 6 2 2" xfId="7731" xr:uid="{00000000-0005-0000-0000-0000AB1C0000}"/>
    <cellStyle name="Normal 6 3 6 2 2 2" xfId="10486" xr:uid="{00000000-0005-0000-0000-0000AC1C0000}"/>
    <cellStyle name="Normal 6 3 6 2 3" xfId="9124" xr:uid="{00000000-0005-0000-0000-0000AD1C0000}"/>
    <cellStyle name="Normal 6 3 6 3" xfId="7107" xr:uid="{00000000-0005-0000-0000-0000AE1C0000}"/>
    <cellStyle name="Normal 6 3 6 3 2" xfId="9862" xr:uid="{00000000-0005-0000-0000-0000AF1C0000}"/>
    <cellStyle name="Normal 6 3 6 4" xfId="8500" xr:uid="{00000000-0005-0000-0000-0000B01C0000}"/>
    <cellStyle name="Normal 6 3 7" xfId="3930" xr:uid="{00000000-0005-0000-0000-0000B11C0000}"/>
    <cellStyle name="Normal 6 3 7 2" xfId="4556" xr:uid="{00000000-0005-0000-0000-0000B21C0000}"/>
    <cellStyle name="Normal 6 3 7 2 2" xfId="7724" xr:uid="{00000000-0005-0000-0000-0000B31C0000}"/>
    <cellStyle name="Normal 6 3 7 2 2 2" xfId="10479" xr:uid="{00000000-0005-0000-0000-0000B41C0000}"/>
    <cellStyle name="Normal 6 3 7 2 3" xfId="9117" xr:uid="{00000000-0005-0000-0000-0000B51C0000}"/>
    <cellStyle name="Normal 6 3 7 3" xfId="7100" xr:uid="{00000000-0005-0000-0000-0000B61C0000}"/>
    <cellStyle name="Normal 6 3 7 3 2" xfId="9855" xr:uid="{00000000-0005-0000-0000-0000B71C0000}"/>
    <cellStyle name="Normal 6 3 7 4" xfId="8493" xr:uid="{00000000-0005-0000-0000-0000B81C0000}"/>
    <cellStyle name="Normal 6 3 8" xfId="4120" xr:uid="{00000000-0005-0000-0000-0000B91C0000}"/>
    <cellStyle name="Normal 6 3 8 2" xfId="7288" xr:uid="{00000000-0005-0000-0000-0000BA1C0000}"/>
    <cellStyle name="Normal 6 3 8 2 2" xfId="10043" xr:uid="{00000000-0005-0000-0000-0000BB1C0000}"/>
    <cellStyle name="Normal 6 3 8 3" xfId="8681" xr:uid="{00000000-0005-0000-0000-0000BC1C0000}"/>
    <cellStyle name="Normal 6 3 9" xfId="3469" xr:uid="{00000000-0005-0000-0000-0000BD1C0000}"/>
    <cellStyle name="Normal 6 3 9 2" xfId="6677" xr:uid="{00000000-0005-0000-0000-0000BE1C0000}"/>
    <cellStyle name="Normal 6 3 9 2 2" xfId="9432" xr:uid="{00000000-0005-0000-0000-0000BF1C0000}"/>
    <cellStyle name="Normal 6 3 9 3" xfId="8065" xr:uid="{00000000-0005-0000-0000-0000C01C0000}"/>
    <cellStyle name="Normal 6 4" xfId="3322" xr:uid="{00000000-0005-0000-0000-0000C11C0000}"/>
    <cellStyle name="Normal 6 4 10" xfId="6629" xr:uid="{00000000-0005-0000-0000-0000C21C0000}"/>
    <cellStyle name="Normal 6 4 10 2" xfId="9393" xr:uid="{00000000-0005-0000-0000-0000C31C0000}"/>
    <cellStyle name="Normal 6 4 11" xfId="8022" xr:uid="{00000000-0005-0000-0000-0000C41C0000}"/>
    <cellStyle name="Normal 6 4 2" xfId="3939" xr:uid="{00000000-0005-0000-0000-0000C51C0000}"/>
    <cellStyle name="Normal 6 4 2 2" xfId="3940" xr:uid="{00000000-0005-0000-0000-0000C61C0000}"/>
    <cellStyle name="Normal 6 4 2 2 2" xfId="4566" xr:uid="{00000000-0005-0000-0000-0000C71C0000}"/>
    <cellStyle name="Normal 6 4 2 2 2 2" xfId="7734" xr:uid="{00000000-0005-0000-0000-0000C81C0000}"/>
    <cellStyle name="Normal 6 4 2 2 2 2 2" xfId="10489" xr:uid="{00000000-0005-0000-0000-0000C91C0000}"/>
    <cellStyle name="Normal 6 4 2 2 2 3" xfId="9127" xr:uid="{00000000-0005-0000-0000-0000CA1C0000}"/>
    <cellStyle name="Normal 6 4 2 2 3" xfId="7110" xr:uid="{00000000-0005-0000-0000-0000CB1C0000}"/>
    <cellStyle name="Normal 6 4 2 2 3 2" xfId="9865" xr:uid="{00000000-0005-0000-0000-0000CC1C0000}"/>
    <cellStyle name="Normal 6 4 2 2 4" xfId="8503" xr:uid="{00000000-0005-0000-0000-0000CD1C0000}"/>
    <cellStyle name="Normal 6 4 2 3" xfId="3941" xr:uid="{00000000-0005-0000-0000-0000CE1C0000}"/>
    <cellStyle name="Normal 6 4 2 3 2" xfId="4567" xr:uid="{00000000-0005-0000-0000-0000CF1C0000}"/>
    <cellStyle name="Normal 6 4 2 3 2 2" xfId="7735" xr:uid="{00000000-0005-0000-0000-0000D01C0000}"/>
    <cellStyle name="Normal 6 4 2 3 2 2 2" xfId="10490" xr:uid="{00000000-0005-0000-0000-0000D11C0000}"/>
    <cellStyle name="Normal 6 4 2 3 2 3" xfId="9128" xr:uid="{00000000-0005-0000-0000-0000D21C0000}"/>
    <cellStyle name="Normal 6 4 2 3 3" xfId="7111" xr:uid="{00000000-0005-0000-0000-0000D31C0000}"/>
    <cellStyle name="Normal 6 4 2 3 3 2" xfId="9866" xr:uid="{00000000-0005-0000-0000-0000D41C0000}"/>
    <cellStyle name="Normal 6 4 2 3 4" xfId="8504" xr:uid="{00000000-0005-0000-0000-0000D51C0000}"/>
    <cellStyle name="Normal 6 4 2 4" xfId="4565" xr:uid="{00000000-0005-0000-0000-0000D61C0000}"/>
    <cellStyle name="Normal 6 4 2 4 2" xfId="7733" xr:uid="{00000000-0005-0000-0000-0000D71C0000}"/>
    <cellStyle name="Normal 6 4 2 4 2 2" xfId="10488" xr:uid="{00000000-0005-0000-0000-0000D81C0000}"/>
    <cellStyle name="Normal 6 4 2 4 3" xfId="9126" xr:uid="{00000000-0005-0000-0000-0000D91C0000}"/>
    <cellStyle name="Normal 6 4 2 5" xfId="7109" xr:uid="{00000000-0005-0000-0000-0000DA1C0000}"/>
    <cellStyle name="Normal 6 4 2 5 2" xfId="9864" xr:uid="{00000000-0005-0000-0000-0000DB1C0000}"/>
    <cellStyle name="Normal 6 4 2 6" xfId="8502" xr:uid="{00000000-0005-0000-0000-0000DC1C0000}"/>
    <cellStyle name="Normal 6 4 3" xfId="3942" xr:uid="{00000000-0005-0000-0000-0000DD1C0000}"/>
    <cellStyle name="Normal 6 4 3 2" xfId="4568" xr:uid="{00000000-0005-0000-0000-0000DE1C0000}"/>
    <cellStyle name="Normal 6 4 3 2 2" xfId="7736" xr:uid="{00000000-0005-0000-0000-0000DF1C0000}"/>
    <cellStyle name="Normal 6 4 3 2 2 2" xfId="10491" xr:uid="{00000000-0005-0000-0000-0000E01C0000}"/>
    <cellStyle name="Normal 6 4 3 2 3" xfId="9129" xr:uid="{00000000-0005-0000-0000-0000E11C0000}"/>
    <cellStyle name="Normal 6 4 3 3" xfId="7112" xr:uid="{00000000-0005-0000-0000-0000E21C0000}"/>
    <cellStyle name="Normal 6 4 3 3 2" xfId="9867" xr:uid="{00000000-0005-0000-0000-0000E31C0000}"/>
    <cellStyle name="Normal 6 4 3 4" xfId="8505" xr:uid="{00000000-0005-0000-0000-0000E41C0000}"/>
    <cellStyle name="Normal 6 4 4" xfId="3943" xr:uid="{00000000-0005-0000-0000-0000E51C0000}"/>
    <cellStyle name="Normal 6 4 4 2" xfId="4569" xr:uid="{00000000-0005-0000-0000-0000E61C0000}"/>
    <cellStyle name="Normal 6 4 4 2 2" xfId="7737" xr:uid="{00000000-0005-0000-0000-0000E71C0000}"/>
    <cellStyle name="Normal 6 4 4 2 2 2" xfId="10492" xr:uid="{00000000-0005-0000-0000-0000E81C0000}"/>
    <cellStyle name="Normal 6 4 4 2 3" xfId="9130" xr:uid="{00000000-0005-0000-0000-0000E91C0000}"/>
    <cellStyle name="Normal 6 4 4 3" xfId="7113" xr:uid="{00000000-0005-0000-0000-0000EA1C0000}"/>
    <cellStyle name="Normal 6 4 4 3 2" xfId="9868" xr:uid="{00000000-0005-0000-0000-0000EB1C0000}"/>
    <cellStyle name="Normal 6 4 4 4" xfId="8506" xr:uid="{00000000-0005-0000-0000-0000EC1C0000}"/>
    <cellStyle name="Normal 6 4 5" xfId="3944" xr:uid="{00000000-0005-0000-0000-0000ED1C0000}"/>
    <cellStyle name="Normal 6 4 5 2" xfId="4570" xr:uid="{00000000-0005-0000-0000-0000EE1C0000}"/>
    <cellStyle name="Normal 6 4 5 2 2" xfId="7738" xr:uid="{00000000-0005-0000-0000-0000EF1C0000}"/>
    <cellStyle name="Normal 6 4 5 2 2 2" xfId="10493" xr:uid="{00000000-0005-0000-0000-0000F01C0000}"/>
    <cellStyle name="Normal 6 4 5 2 3" xfId="9131" xr:uid="{00000000-0005-0000-0000-0000F11C0000}"/>
    <cellStyle name="Normal 6 4 5 3" xfId="7114" xr:uid="{00000000-0005-0000-0000-0000F21C0000}"/>
    <cellStyle name="Normal 6 4 5 3 2" xfId="9869" xr:uid="{00000000-0005-0000-0000-0000F31C0000}"/>
    <cellStyle name="Normal 6 4 5 4" xfId="8507" xr:uid="{00000000-0005-0000-0000-0000F41C0000}"/>
    <cellStyle name="Normal 6 4 6" xfId="3938" xr:uid="{00000000-0005-0000-0000-0000F51C0000}"/>
    <cellStyle name="Normal 6 4 6 2" xfId="4564" xr:uid="{00000000-0005-0000-0000-0000F61C0000}"/>
    <cellStyle name="Normal 6 4 6 2 2" xfId="7732" xr:uid="{00000000-0005-0000-0000-0000F71C0000}"/>
    <cellStyle name="Normal 6 4 6 2 2 2" xfId="10487" xr:uid="{00000000-0005-0000-0000-0000F81C0000}"/>
    <cellStyle name="Normal 6 4 6 2 3" xfId="9125" xr:uid="{00000000-0005-0000-0000-0000F91C0000}"/>
    <cellStyle name="Normal 6 4 6 3" xfId="7108" xr:uid="{00000000-0005-0000-0000-0000FA1C0000}"/>
    <cellStyle name="Normal 6 4 6 3 2" xfId="9863" xr:uid="{00000000-0005-0000-0000-0000FB1C0000}"/>
    <cellStyle name="Normal 6 4 6 4" xfId="8501" xr:uid="{00000000-0005-0000-0000-0000FC1C0000}"/>
    <cellStyle name="Normal 6 4 7" xfId="4136" xr:uid="{00000000-0005-0000-0000-0000FD1C0000}"/>
    <cellStyle name="Normal 6 4 7 2" xfId="7304" xr:uid="{00000000-0005-0000-0000-0000FE1C0000}"/>
    <cellStyle name="Normal 6 4 7 2 2" xfId="10059" xr:uid="{00000000-0005-0000-0000-0000FF1C0000}"/>
    <cellStyle name="Normal 6 4 7 3" xfId="8697" xr:uid="{00000000-0005-0000-0000-0000001D0000}"/>
    <cellStyle name="Normal 6 4 8" xfId="3485" xr:uid="{00000000-0005-0000-0000-0000011D0000}"/>
    <cellStyle name="Normal 6 4 8 2" xfId="6693" xr:uid="{00000000-0005-0000-0000-0000021D0000}"/>
    <cellStyle name="Normal 6 4 8 2 2" xfId="9448" xr:uid="{00000000-0005-0000-0000-0000031D0000}"/>
    <cellStyle name="Normal 6 4 8 3" xfId="8081" xr:uid="{00000000-0005-0000-0000-0000041D0000}"/>
    <cellStyle name="Normal 6 4 9" xfId="5302" xr:uid="{00000000-0005-0000-0000-0000051D0000}"/>
    <cellStyle name="Normal 6 4 9 2" xfId="9309" xr:uid="{00000000-0005-0000-0000-0000061D0000}"/>
    <cellStyle name="Normal 6 5" xfId="3288" xr:uid="{00000000-0005-0000-0000-0000071D0000}"/>
    <cellStyle name="Normal 6 5 2" xfId="3946" xr:uid="{00000000-0005-0000-0000-0000081D0000}"/>
    <cellStyle name="Normal 6 5 2 2" xfId="3947" xr:uid="{00000000-0005-0000-0000-0000091D0000}"/>
    <cellStyle name="Normal 6 5 2 2 2" xfId="4573" xr:uid="{00000000-0005-0000-0000-00000A1D0000}"/>
    <cellStyle name="Normal 6 5 2 2 2 2" xfId="7741" xr:uid="{00000000-0005-0000-0000-00000B1D0000}"/>
    <cellStyle name="Normal 6 5 2 2 2 2 2" xfId="10496" xr:uid="{00000000-0005-0000-0000-00000C1D0000}"/>
    <cellStyle name="Normal 6 5 2 2 2 3" xfId="9134" xr:uid="{00000000-0005-0000-0000-00000D1D0000}"/>
    <cellStyle name="Normal 6 5 2 2 3" xfId="7117" xr:uid="{00000000-0005-0000-0000-00000E1D0000}"/>
    <cellStyle name="Normal 6 5 2 2 3 2" xfId="9872" xr:uid="{00000000-0005-0000-0000-00000F1D0000}"/>
    <cellStyle name="Normal 6 5 2 2 4" xfId="8510" xr:uid="{00000000-0005-0000-0000-0000101D0000}"/>
    <cellStyle name="Normal 6 5 2 3" xfId="3948" xr:uid="{00000000-0005-0000-0000-0000111D0000}"/>
    <cellStyle name="Normal 6 5 2 3 2" xfId="4574" xr:uid="{00000000-0005-0000-0000-0000121D0000}"/>
    <cellStyle name="Normal 6 5 2 3 2 2" xfId="7742" xr:uid="{00000000-0005-0000-0000-0000131D0000}"/>
    <cellStyle name="Normal 6 5 2 3 2 2 2" xfId="10497" xr:uid="{00000000-0005-0000-0000-0000141D0000}"/>
    <cellStyle name="Normal 6 5 2 3 2 3" xfId="9135" xr:uid="{00000000-0005-0000-0000-0000151D0000}"/>
    <cellStyle name="Normal 6 5 2 3 3" xfId="7118" xr:uid="{00000000-0005-0000-0000-0000161D0000}"/>
    <cellStyle name="Normal 6 5 2 3 3 2" xfId="9873" xr:uid="{00000000-0005-0000-0000-0000171D0000}"/>
    <cellStyle name="Normal 6 5 2 3 4" xfId="8511" xr:uid="{00000000-0005-0000-0000-0000181D0000}"/>
    <cellStyle name="Normal 6 5 2 4" xfId="4572" xr:uid="{00000000-0005-0000-0000-0000191D0000}"/>
    <cellStyle name="Normal 6 5 2 4 2" xfId="7740" xr:uid="{00000000-0005-0000-0000-00001A1D0000}"/>
    <cellStyle name="Normal 6 5 2 4 2 2" xfId="10495" xr:uid="{00000000-0005-0000-0000-00001B1D0000}"/>
    <cellStyle name="Normal 6 5 2 4 3" xfId="9133" xr:uid="{00000000-0005-0000-0000-00001C1D0000}"/>
    <cellStyle name="Normal 6 5 2 5" xfId="7116" xr:uid="{00000000-0005-0000-0000-00001D1D0000}"/>
    <cellStyle name="Normal 6 5 2 5 2" xfId="9871" xr:uid="{00000000-0005-0000-0000-00001E1D0000}"/>
    <cellStyle name="Normal 6 5 2 6" xfId="8509" xr:uid="{00000000-0005-0000-0000-00001F1D0000}"/>
    <cellStyle name="Normal 6 5 3" xfId="3949" xr:uid="{00000000-0005-0000-0000-0000201D0000}"/>
    <cellStyle name="Normal 6 5 3 2" xfId="4575" xr:uid="{00000000-0005-0000-0000-0000211D0000}"/>
    <cellStyle name="Normal 6 5 3 2 2" xfId="7743" xr:uid="{00000000-0005-0000-0000-0000221D0000}"/>
    <cellStyle name="Normal 6 5 3 2 2 2" xfId="10498" xr:uid="{00000000-0005-0000-0000-0000231D0000}"/>
    <cellStyle name="Normal 6 5 3 2 3" xfId="9136" xr:uid="{00000000-0005-0000-0000-0000241D0000}"/>
    <cellStyle name="Normal 6 5 3 3" xfId="7119" xr:uid="{00000000-0005-0000-0000-0000251D0000}"/>
    <cellStyle name="Normal 6 5 3 3 2" xfId="9874" xr:uid="{00000000-0005-0000-0000-0000261D0000}"/>
    <cellStyle name="Normal 6 5 3 4" xfId="8512" xr:uid="{00000000-0005-0000-0000-0000271D0000}"/>
    <cellStyle name="Normal 6 5 4" xfId="3950" xr:uid="{00000000-0005-0000-0000-0000281D0000}"/>
    <cellStyle name="Normal 6 5 4 2" xfId="4576" xr:uid="{00000000-0005-0000-0000-0000291D0000}"/>
    <cellStyle name="Normal 6 5 4 2 2" xfId="7744" xr:uid="{00000000-0005-0000-0000-00002A1D0000}"/>
    <cellStyle name="Normal 6 5 4 2 2 2" xfId="10499" xr:uid="{00000000-0005-0000-0000-00002B1D0000}"/>
    <cellStyle name="Normal 6 5 4 2 3" xfId="9137" xr:uid="{00000000-0005-0000-0000-00002C1D0000}"/>
    <cellStyle name="Normal 6 5 4 3" xfId="7120" xr:uid="{00000000-0005-0000-0000-00002D1D0000}"/>
    <cellStyle name="Normal 6 5 4 3 2" xfId="9875" xr:uid="{00000000-0005-0000-0000-00002E1D0000}"/>
    <cellStyle name="Normal 6 5 4 4" xfId="8513" xr:uid="{00000000-0005-0000-0000-00002F1D0000}"/>
    <cellStyle name="Normal 6 5 5" xfId="3951" xr:uid="{00000000-0005-0000-0000-0000301D0000}"/>
    <cellStyle name="Normal 6 5 5 2" xfId="4577" xr:uid="{00000000-0005-0000-0000-0000311D0000}"/>
    <cellStyle name="Normal 6 5 5 2 2" xfId="7745" xr:uid="{00000000-0005-0000-0000-0000321D0000}"/>
    <cellStyle name="Normal 6 5 5 2 2 2" xfId="10500" xr:uid="{00000000-0005-0000-0000-0000331D0000}"/>
    <cellStyle name="Normal 6 5 5 2 3" xfId="9138" xr:uid="{00000000-0005-0000-0000-0000341D0000}"/>
    <cellStyle name="Normal 6 5 5 3" xfId="7121" xr:uid="{00000000-0005-0000-0000-0000351D0000}"/>
    <cellStyle name="Normal 6 5 5 3 2" xfId="9876" xr:uid="{00000000-0005-0000-0000-0000361D0000}"/>
    <cellStyle name="Normal 6 5 5 4" xfId="8514" xr:uid="{00000000-0005-0000-0000-0000371D0000}"/>
    <cellStyle name="Normal 6 5 6" xfId="4571" xr:uid="{00000000-0005-0000-0000-0000381D0000}"/>
    <cellStyle name="Normal 6 5 6 2" xfId="7739" xr:uid="{00000000-0005-0000-0000-0000391D0000}"/>
    <cellStyle name="Normal 6 5 6 2 2" xfId="10494" xr:uid="{00000000-0005-0000-0000-00003A1D0000}"/>
    <cellStyle name="Normal 6 5 6 3" xfId="9132" xr:uid="{00000000-0005-0000-0000-00003B1D0000}"/>
    <cellStyle name="Normal 6 5 7" xfId="3945" xr:uid="{00000000-0005-0000-0000-00003C1D0000}"/>
    <cellStyle name="Normal 6 5 7 2" xfId="7115" xr:uid="{00000000-0005-0000-0000-00003D1D0000}"/>
    <cellStyle name="Normal 6 5 7 2 2" xfId="9870" xr:uid="{00000000-0005-0000-0000-00003E1D0000}"/>
    <cellStyle name="Normal 6 5 7 3" xfId="8508" xr:uid="{00000000-0005-0000-0000-00003F1D0000}"/>
    <cellStyle name="Normal 6 5 8" xfId="6606" xr:uid="{00000000-0005-0000-0000-0000401D0000}"/>
    <cellStyle name="Normal 6 5 8 2" xfId="9370" xr:uid="{00000000-0005-0000-0000-0000411D0000}"/>
    <cellStyle name="Normal 6 5 9" xfId="7999" xr:uid="{00000000-0005-0000-0000-0000421D0000}"/>
    <cellStyle name="Normal 6 6" xfId="3952" xr:uid="{00000000-0005-0000-0000-0000431D0000}"/>
    <cellStyle name="Normal 6 6 2" xfId="3953" xr:uid="{00000000-0005-0000-0000-0000441D0000}"/>
    <cellStyle name="Normal 6 6 2 2" xfId="3954" xr:uid="{00000000-0005-0000-0000-0000451D0000}"/>
    <cellStyle name="Normal 6 6 2 2 2" xfId="4580" xr:uid="{00000000-0005-0000-0000-0000461D0000}"/>
    <cellStyle name="Normal 6 6 2 2 2 2" xfId="7748" xr:uid="{00000000-0005-0000-0000-0000471D0000}"/>
    <cellStyle name="Normal 6 6 2 2 2 2 2" xfId="10503" xr:uid="{00000000-0005-0000-0000-0000481D0000}"/>
    <cellStyle name="Normal 6 6 2 2 2 3" xfId="9141" xr:uid="{00000000-0005-0000-0000-0000491D0000}"/>
    <cellStyle name="Normal 6 6 2 2 3" xfId="7124" xr:uid="{00000000-0005-0000-0000-00004A1D0000}"/>
    <cellStyle name="Normal 6 6 2 2 3 2" xfId="9879" xr:uid="{00000000-0005-0000-0000-00004B1D0000}"/>
    <cellStyle name="Normal 6 6 2 2 4" xfId="8517" xr:uid="{00000000-0005-0000-0000-00004C1D0000}"/>
    <cellStyle name="Normal 6 6 2 3" xfId="3955" xr:uid="{00000000-0005-0000-0000-00004D1D0000}"/>
    <cellStyle name="Normal 6 6 2 3 2" xfId="4581" xr:uid="{00000000-0005-0000-0000-00004E1D0000}"/>
    <cellStyle name="Normal 6 6 2 3 2 2" xfId="7749" xr:uid="{00000000-0005-0000-0000-00004F1D0000}"/>
    <cellStyle name="Normal 6 6 2 3 2 2 2" xfId="10504" xr:uid="{00000000-0005-0000-0000-0000501D0000}"/>
    <cellStyle name="Normal 6 6 2 3 2 3" xfId="9142" xr:uid="{00000000-0005-0000-0000-0000511D0000}"/>
    <cellStyle name="Normal 6 6 2 3 3" xfId="7125" xr:uid="{00000000-0005-0000-0000-0000521D0000}"/>
    <cellStyle name="Normal 6 6 2 3 3 2" xfId="9880" xr:uid="{00000000-0005-0000-0000-0000531D0000}"/>
    <cellStyle name="Normal 6 6 2 3 4" xfId="8518" xr:uid="{00000000-0005-0000-0000-0000541D0000}"/>
    <cellStyle name="Normal 6 6 2 4" xfId="4579" xr:uid="{00000000-0005-0000-0000-0000551D0000}"/>
    <cellStyle name="Normal 6 6 2 4 2" xfId="7747" xr:uid="{00000000-0005-0000-0000-0000561D0000}"/>
    <cellStyle name="Normal 6 6 2 4 2 2" xfId="10502" xr:uid="{00000000-0005-0000-0000-0000571D0000}"/>
    <cellStyle name="Normal 6 6 2 4 3" xfId="9140" xr:uid="{00000000-0005-0000-0000-0000581D0000}"/>
    <cellStyle name="Normal 6 6 2 5" xfId="7123" xr:uid="{00000000-0005-0000-0000-0000591D0000}"/>
    <cellStyle name="Normal 6 6 2 5 2" xfId="9878" xr:uid="{00000000-0005-0000-0000-00005A1D0000}"/>
    <cellStyle name="Normal 6 6 2 6" xfId="8516" xr:uid="{00000000-0005-0000-0000-00005B1D0000}"/>
    <cellStyle name="Normal 6 6 3" xfId="3956" xr:uid="{00000000-0005-0000-0000-00005C1D0000}"/>
    <cellStyle name="Normal 6 6 3 2" xfId="4582" xr:uid="{00000000-0005-0000-0000-00005D1D0000}"/>
    <cellStyle name="Normal 6 6 3 2 2" xfId="7750" xr:uid="{00000000-0005-0000-0000-00005E1D0000}"/>
    <cellStyle name="Normal 6 6 3 2 2 2" xfId="10505" xr:uid="{00000000-0005-0000-0000-00005F1D0000}"/>
    <cellStyle name="Normal 6 6 3 2 3" xfId="9143" xr:uid="{00000000-0005-0000-0000-0000601D0000}"/>
    <cellStyle name="Normal 6 6 3 3" xfId="7126" xr:uid="{00000000-0005-0000-0000-0000611D0000}"/>
    <cellStyle name="Normal 6 6 3 3 2" xfId="9881" xr:uid="{00000000-0005-0000-0000-0000621D0000}"/>
    <cellStyle name="Normal 6 6 3 4" xfId="8519" xr:uid="{00000000-0005-0000-0000-0000631D0000}"/>
    <cellStyle name="Normal 6 6 4" xfId="3957" xr:uid="{00000000-0005-0000-0000-0000641D0000}"/>
    <cellStyle name="Normal 6 6 4 2" xfId="4583" xr:uid="{00000000-0005-0000-0000-0000651D0000}"/>
    <cellStyle name="Normal 6 6 4 2 2" xfId="7751" xr:uid="{00000000-0005-0000-0000-0000661D0000}"/>
    <cellStyle name="Normal 6 6 4 2 2 2" xfId="10506" xr:uid="{00000000-0005-0000-0000-0000671D0000}"/>
    <cellStyle name="Normal 6 6 4 2 3" xfId="9144" xr:uid="{00000000-0005-0000-0000-0000681D0000}"/>
    <cellStyle name="Normal 6 6 4 3" xfId="7127" xr:uid="{00000000-0005-0000-0000-0000691D0000}"/>
    <cellStyle name="Normal 6 6 4 3 2" xfId="9882" xr:uid="{00000000-0005-0000-0000-00006A1D0000}"/>
    <cellStyle name="Normal 6 6 4 4" xfId="8520" xr:uid="{00000000-0005-0000-0000-00006B1D0000}"/>
    <cellStyle name="Normal 6 6 5" xfId="3958" xr:uid="{00000000-0005-0000-0000-00006C1D0000}"/>
    <cellStyle name="Normal 6 6 5 2" xfId="4584" xr:uid="{00000000-0005-0000-0000-00006D1D0000}"/>
    <cellStyle name="Normal 6 6 5 2 2" xfId="7752" xr:uid="{00000000-0005-0000-0000-00006E1D0000}"/>
    <cellStyle name="Normal 6 6 5 2 2 2" xfId="10507" xr:uid="{00000000-0005-0000-0000-00006F1D0000}"/>
    <cellStyle name="Normal 6 6 5 2 3" xfId="9145" xr:uid="{00000000-0005-0000-0000-0000701D0000}"/>
    <cellStyle name="Normal 6 6 5 3" xfId="7128" xr:uid="{00000000-0005-0000-0000-0000711D0000}"/>
    <cellStyle name="Normal 6 6 5 3 2" xfId="9883" xr:uid="{00000000-0005-0000-0000-0000721D0000}"/>
    <cellStyle name="Normal 6 6 5 4" xfId="8521" xr:uid="{00000000-0005-0000-0000-0000731D0000}"/>
    <cellStyle name="Normal 6 6 6" xfId="4578" xr:uid="{00000000-0005-0000-0000-0000741D0000}"/>
    <cellStyle name="Normal 6 6 6 2" xfId="7746" xr:uid="{00000000-0005-0000-0000-0000751D0000}"/>
    <cellStyle name="Normal 6 6 6 2 2" xfId="10501" xr:uid="{00000000-0005-0000-0000-0000761D0000}"/>
    <cellStyle name="Normal 6 6 6 3" xfId="9139" xr:uid="{00000000-0005-0000-0000-0000771D0000}"/>
    <cellStyle name="Normal 6 6 7" xfId="7122" xr:uid="{00000000-0005-0000-0000-0000781D0000}"/>
    <cellStyle name="Normal 6 6 7 2" xfId="9877" xr:uid="{00000000-0005-0000-0000-0000791D0000}"/>
    <cellStyle name="Normal 6 6 8" xfId="8515" xr:uid="{00000000-0005-0000-0000-00007A1D0000}"/>
    <cellStyle name="Normal 6 7" xfId="3959" xr:uid="{00000000-0005-0000-0000-00007B1D0000}"/>
    <cellStyle name="Normal 6 7 2" xfId="3960" xr:uid="{00000000-0005-0000-0000-00007C1D0000}"/>
    <cellStyle name="Normal 6 7 2 2" xfId="3961" xr:uid="{00000000-0005-0000-0000-00007D1D0000}"/>
    <cellStyle name="Normal 6 7 2 2 2" xfId="4587" xr:uid="{00000000-0005-0000-0000-00007E1D0000}"/>
    <cellStyle name="Normal 6 7 2 2 2 2" xfId="7755" xr:uid="{00000000-0005-0000-0000-00007F1D0000}"/>
    <cellStyle name="Normal 6 7 2 2 2 2 2" xfId="10510" xr:uid="{00000000-0005-0000-0000-0000801D0000}"/>
    <cellStyle name="Normal 6 7 2 2 2 3" xfId="9148" xr:uid="{00000000-0005-0000-0000-0000811D0000}"/>
    <cellStyle name="Normal 6 7 2 2 3" xfId="7131" xr:uid="{00000000-0005-0000-0000-0000821D0000}"/>
    <cellStyle name="Normal 6 7 2 2 3 2" xfId="9886" xr:uid="{00000000-0005-0000-0000-0000831D0000}"/>
    <cellStyle name="Normal 6 7 2 2 4" xfId="8524" xr:uid="{00000000-0005-0000-0000-0000841D0000}"/>
    <cellStyle name="Normal 6 7 2 3" xfId="3962" xr:uid="{00000000-0005-0000-0000-0000851D0000}"/>
    <cellStyle name="Normal 6 7 2 3 2" xfId="4588" xr:uid="{00000000-0005-0000-0000-0000861D0000}"/>
    <cellStyle name="Normal 6 7 2 3 2 2" xfId="7756" xr:uid="{00000000-0005-0000-0000-0000871D0000}"/>
    <cellStyle name="Normal 6 7 2 3 2 2 2" xfId="10511" xr:uid="{00000000-0005-0000-0000-0000881D0000}"/>
    <cellStyle name="Normal 6 7 2 3 2 3" xfId="9149" xr:uid="{00000000-0005-0000-0000-0000891D0000}"/>
    <cellStyle name="Normal 6 7 2 3 3" xfId="7132" xr:uid="{00000000-0005-0000-0000-00008A1D0000}"/>
    <cellStyle name="Normal 6 7 2 3 3 2" xfId="9887" xr:uid="{00000000-0005-0000-0000-00008B1D0000}"/>
    <cellStyle name="Normal 6 7 2 3 4" xfId="8525" xr:uid="{00000000-0005-0000-0000-00008C1D0000}"/>
    <cellStyle name="Normal 6 7 2 4" xfId="4586" xr:uid="{00000000-0005-0000-0000-00008D1D0000}"/>
    <cellStyle name="Normal 6 7 2 4 2" xfId="7754" xr:uid="{00000000-0005-0000-0000-00008E1D0000}"/>
    <cellStyle name="Normal 6 7 2 4 2 2" xfId="10509" xr:uid="{00000000-0005-0000-0000-00008F1D0000}"/>
    <cellStyle name="Normal 6 7 2 4 3" xfId="9147" xr:uid="{00000000-0005-0000-0000-0000901D0000}"/>
    <cellStyle name="Normal 6 7 2 5" xfId="7130" xr:uid="{00000000-0005-0000-0000-0000911D0000}"/>
    <cellStyle name="Normal 6 7 2 5 2" xfId="9885" xr:uid="{00000000-0005-0000-0000-0000921D0000}"/>
    <cellStyle name="Normal 6 7 2 6" xfId="8523" xr:uid="{00000000-0005-0000-0000-0000931D0000}"/>
    <cellStyle name="Normal 6 7 3" xfId="3963" xr:uid="{00000000-0005-0000-0000-0000941D0000}"/>
    <cellStyle name="Normal 6 7 3 2" xfId="4589" xr:uid="{00000000-0005-0000-0000-0000951D0000}"/>
    <cellStyle name="Normal 6 7 3 2 2" xfId="7757" xr:uid="{00000000-0005-0000-0000-0000961D0000}"/>
    <cellStyle name="Normal 6 7 3 2 2 2" xfId="10512" xr:uid="{00000000-0005-0000-0000-0000971D0000}"/>
    <cellStyle name="Normal 6 7 3 2 3" xfId="9150" xr:uid="{00000000-0005-0000-0000-0000981D0000}"/>
    <cellStyle name="Normal 6 7 3 3" xfId="7133" xr:uid="{00000000-0005-0000-0000-0000991D0000}"/>
    <cellStyle name="Normal 6 7 3 3 2" xfId="9888" xr:uid="{00000000-0005-0000-0000-00009A1D0000}"/>
    <cellStyle name="Normal 6 7 3 4" xfId="8526" xr:uid="{00000000-0005-0000-0000-00009B1D0000}"/>
    <cellStyle name="Normal 6 7 4" xfId="3964" xr:uid="{00000000-0005-0000-0000-00009C1D0000}"/>
    <cellStyle name="Normal 6 7 4 2" xfId="4590" xr:uid="{00000000-0005-0000-0000-00009D1D0000}"/>
    <cellStyle name="Normal 6 7 4 2 2" xfId="7758" xr:uid="{00000000-0005-0000-0000-00009E1D0000}"/>
    <cellStyle name="Normal 6 7 4 2 2 2" xfId="10513" xr:uid="{00000000-0005-0000-0000-00009F1D0000}"/>
    <cellStyle name="Normal 6 7 4 2 3" xfId="9151" xr:uid="{00000000-0005-0000-0000-0000A01D0000}"/>
    <cellStyle name="Normal 6 7 4 3" xfId="7134" xr:uid="{00000000-0005-0000-0000-0000A11D0000}"/>
    <cellStyle name="Normal 6 7 4 3 2" xfId="9889" xr:uid="{00000000-0005-0000-0000-0000A21D0000}"/>
    <cellStyle name="Normal 6 7 4 4" xfId="8527" xr:uid="{00000000-0005-0000-0000-0000A31D0000}"/>
    <cellStyle name="Normal 6 7 5" xfId="3965" xr:uid="{00000000-0005-0000-0000-0000A41D0000}"/>
    <cellStyle name="Normal 6 7 5 2" xfId="4591" xr:uid="{00000000-0005-0000-0000-0000A51D0000}"/>
    <cellStyle name="Normal 6 7 5 2 2" xfId="7759" xr:uid="{00000000-0005-0000-0000-0000A61D0000}"/>
    <cellStyle name="Normal 6 7 5 2 2 2" xfId="10514" xr:uid="{00000000-0005-0000-0000-0000A71D0000}"/>
    <cellStyle name="Normal 6 7 5 2 3" xfId="9152" xr:uid="{00000000-0005-0000-0000-0000A81D0000}"/>
    <cellStyle name="Normal 6 7 5 3" xfId="7135" xr:uid="{00000000-0005-0000-0000-0000A91D0000}"/>
    <cellStyle name="Normal 6 7 5 3 2" xfId="9890" xr:uid="{00000000-0005-0000-0000-0000AA1D0000}"/>
    <cellStyle name="Normal 6 7 5 4" xfId="8528" xr:uid="{00000000-0005-0000-0000-0000AB1D0000}"/>
    <cellStyle name="Normal 6 7 6" xfId="4585" xr:uid="{00000000-0005-0000-0000-0000AC1D0000}"/>
    <cellStyle name="Normal 6 7 6 2" xfId="7753" xr:uid="{00000000-0005-0000-0000-0000AD1D0000}"/>
    <cellStyle name="Normal 6 7 6 2 2" xfId="10508" xr:uid="{00000000-0005-0000-0000-0000AE1D0000}"/>
    <cellStyle name="Normal 6 7 6 3" xfId="9146" xr:uid="{00000000-0005-0000-0000-0000AF1D0000}"/>
    <cellStyle name="Normal 6 7 7" xfId="7129" xr:uid="{00000000-0005-0000-0000-0000B01D0000}"/>
    <cellStyle name="Normal 6 7 7 2" xfId="9884" xr:uid="{00000000-0005-0000-0000-0000B11D0000}"/>
    <cellStyle name="Normal 6 7 8" xfId="8522" xr:uid="{00000000-0005-0000-0000-0000B21D0000}"/>
    <cellStyle name="Normal 6 8" xfId="3966" xr:uid="{00000000-0005-0000-0000-0000B31D0000}"/>
    <cellStyle name="Normal 6 8 2" xfId="3967" xr:uid="{00000000-0005-0000-0000-0000B41D0000}"/>
    <cellStyle name="Normal 6 8 2 2" xfId="4593" xr:uid="{00000000-0005-0000-0000-0000B51D0000}"/>
    <cellStyle name="Normal 6 8 2 2 2" xfId="7761" xr:uid="{00000000-0005-0000-0000-0000B61D0000}"/>
    <cellStyle name="Normal 6 8 2 2 2 2" xfId="10516" xr:uid="{00000000-0005-0000-0000-0000B71D0000}"/>
    <cellStyle name="Normal 6 8 2 2 3" xfId="9154" xr:uid="{00000000-0005-0000-0000-0000B81D0000}"/>
    <cellStyle name="Normal 6 8 2 3" xfId="7137" xr:uid="{00000000-0005-0000-0000-0000B91D0000}"/>
    <cellStyle name="Normal 6 8 2 3 2" xfId="9892" xr:uid="{00000000-0005-0000-0000-0000BA1D0000}"/>
    <cellStyle name="Normal 6 8 2 4" xfId="8530" xr:uid="{00000000-0005-0000-0000-0000BB1D0000}"/>
    <cellStyle name="Normal 6 8 3" xfId="3968" xr:uid="{00000000-0005-0000-0000-0000BC1D0000}"/>
    <cellStyle name="Normal 6 8 3 2" xfId="4594" xr:uid="{00000000-0005-0000-0000-0000BD1D0000}"/>
    <cellStyle name="Normal 6 8 3 2 2" xfId="7762" xr:uid="{00000000-0005-0000-0000-0000BE1D0000}"/>
    <cellStyle name="Normal 6 8 3 2 2 2" xfId="10517" xr:uid="{00000000-0005-0000-0000-0000BF1D0000}"/>
    <cellStyle name="Normal 6 8 3 2 3" xfId="9155" xr:uid="{00000000-0005-0000-0000-0000C01D0000}"/>
    <cellStyle name="Normal 6 8 3 3" xfId="7138" xr:uid="{00000000-0005-0000-0000-0000C11D0000}"/>
    <cellStyle name="Normal 6 8 3 3 2" xfId="9893" xr:uid="{00000000-0005-0000-0000-0000C21D0000}"/>
    <cellStyle name="Normal 6 8 3 4" xfId="8531" xr:uid="{00000000-0005-0000-0000-0000C31D0000}"/>
    <cellStyle name="Normal 6 8 4" xfId="4592" xr:uid="{00000000-0005-0000-0000-0000C41D0000}"/>
    <cellStyle name="Normal 6 8 4 2" xfId="7760" xr:uid="{00000000-0005-0000-0000-0000C51D0000}"/>
    <cellStyle name="Normal 6 8 4 2 2" xfId="10515" xr:uid="{00000000-0005-0000-0000-0000C61D0000}"/>
    <cellStyle name="Normal 6 8 4 3" xfId="9153" xr:uid="{00000000-0005-0000-0000-0000C71D0000}"/>
    <cellStyle name="Normal 6 8 5" xfId="7136" xr:uid="{00000000-0005-0000-0000-0000C81D0000}"/>
    <cellStyle name="Normal 6 8 5 2" xfId="9891" xr:uid="{00000000-0005-0000-0000-0000C91D0000}"/>
    <cellStyle name="Normal 6 8 6" xfId="8529" xr:uid="{00000000-0005-0000-0000-0000CA1D0000}"/>
    <cellStyle name="Normal 6 9" xfId="3969" xr:uid="{00000000-0005-0000-0000-0000CB1D0000}"/>
    <cellStyle name="Normal 6 9 2" xfId="3970" xr:uid="{00000000-0005-0000-0000-0000CC1D0000}"/>
    <cellStyle name="Normal 6 9 2 2" xfId="4596" xr:uid="{00000000-0005-0000-0000-0000CD1D0000}"/>
    <cellStyle name="Normal 6 9 2 2 2" xfId="7764" xr:uid="{00000000-0005-0000-0000-0000CE1D0000}"/>
    <cellStyle name="Normal 6 9 2 2 2 2" xfId="10519" xr:uid="{00000000-0005-0000-0000-0000CF1D0000}"/>
    <cellStyle name="Normal 6 9 2 2 3" xfId="9157" xr:uid="{00000000-0005-0000-0000-0000D01D0000}"/>
    <cellStyle name="Normal 6 9 2 3" xfId="7140" xr:uid="{00000000-0005-0000-0000-0000D11D0000}"/>
    <cellStyle name="Normal 6 9 2 3 2" xfId="9895" xr:uid="{00000000-0005-0000-0000-0000D21D0000}"/>
    <cellStyle name="Normal 6 9 2 4" xfId="8533" xr:uid="{00000000-0005-0000-0000-0000D31D0000}"/>
    <cellStyle name="Normal 6 9 3" xfId="4595" xr:uid="{00000000-0005-0000-0000-0000D41D0000}"/>
    <cellStyle name="Normal 6 9 3 2" xfId="7763" xr:uid="{00000000-0005-0000-0000-0000D51D0000}"/>
    <cellStyle name="Normal 6 9 3 2 2" xfId="10518" xr:uid="{00000000-0005-0000-0000-0000D61D0000}"/>
    <cellStyle name="Normal 6 9 3 3" xfId="9156" xr:uid="{00000000-0005-0000-0000-0000D71D0000}"/>
    <cellStyle name="Normal 6 9 4" xfId="7139" xr:uid="{00000000-0005-0000-0000-0000D81D0000}"/>
    <cellStyle name="Normal 6 9 4 2" xfId="9894" xr:uid="{00000000-0005-0000-0000-0000D91D0000}"/>
    <cellStyle name="Normal 6 9 5" xfId="8532" xr:uid="{00000000-0005-0000-0000-0000DA1D0000}"/>
    <cellStyle name="Normal 7" xfId="991" xr:uid="{00000000-0005-0000-0000-0000DB1D0000}"/>
    <cellStyle name="Normal 7 10" xfId="3459" xr:uid="{00000000-0005-0000-0000-0000DC1D0000}"/>
    <cellStyle name="Normal 7 10 2" xfId="6667" xr:uid="{00000000-0005-0000-0000-0000DD1D0000}"/>
    <cellStyle name="Normal 7 10 2 2" xfId="9422" xr:uid="{00000000-0005-0000-0000-0000DE1D0000}"/>
    <cellStyle name="Normal 7 10 3" xfId="8055" xr:uid="{00000000-0005-0000-0000-0000DF1D0000}"/>
    <cellStyle name="Normal 7 2" xfId="992" xr:uid="{00000000-0005-0000-0000-0000E01D0000}"/>
    <cellStyle name="Normal 7 2 2" xfId="3323" xr:uid="{00000000-0005-0000-0000-0000E11D0000}"/>
    <cellStyle name="Normal 7 2 2 2" xfId="3973" xr:uid="{00000000-0005-0000-0000-0000E21D0000}"/>
    <cellStyle name="Normal 7 2 2 3" xfId="4134" xr:uid="{00000000-0005-0000-0000-0000E31D0000}"/>
    <cellStyle name="Normal 7 2 2 3 2" xfId="7302" xr:uid="{00000000-0005-0000-0000-0000E41D0000}"/>
    <cellStyle name="Normal 7 2 2 3 2 2" xfId="10057" xr:uid="{00000000-0005-0000-0000-0000E51D0000}"/>
    <cellStyle name="Normal 7 2 2 3 3" xfId="8695" xr:uid="{00000000-0005-0000-0000-0000E61D0000}"/>
    <cellStyle name="Normal 7 2 2 4" xfId="3483" xr:uid="{00000000-0005-0000-0000-0000E71D0000}"/>
    <cellStyle name="Normal 7 2 2 4 2" xfId="6691" xr:uid="{00000000-0005-0000-0000-0000E81D0000}"/>
    <cellStyle name="Normal 7 2 2 4 2 2" xfId="9446" xr:uid="{00000000-0005-0000-0000-0000E91D0000}"/>
    <cellStyle name="Normal 7 2 2 4 3" xfId="8079" xr:uid="{00000000-0005-0000-0000-0000EA1D0000}"/>
    <cellStyle name="Normal 7 2 3" xfId="3499" xr:uid="{00000000-0005-0000-0000-0000EB1D0000}"/>
    <cellStyle name="Normal 7 2 3 2" xfId="3974" xr:uid="{00000000-0005-0000-0000-0000EC1D0000}"/>
    <cellStyle name="Normal 7 2 3 2 2" xfId="4598" xr:uid="{00000000-0005-0000-0000-0000ED1D0000}"/>
    <cellStyle name="Normal 7 2 3 2 2 2" xfId="7766" xr:uid="{00000000-0005-0000-0000-0000EE1D0000}"/>
    <cellStyle name="Normal 7 2 3 2 2 2 2" xfId="10521" xr:uid="{00000000-0005-0000-0000-0000EF1D0000}"/>
    <cellStyle name="Normal 7 2 3 2 2 3" xfId="9159" xr:uid="{00000000-0005-0000-0000-0000F01D0000}"/>
    <cellStyle name="Normal 7 2 3 2 3" xfId="7142" xr:uid="{00000000-0005-0000-0000-0000F11D0000}"/>
    <cellStyle name="Normal 7 2 3 2 3 2" xfId="9897" xr:uid="{00000000-0005-0000-0000-0000F21D0000}"/>
    <cellStyle name="Normal 7 2 3 2 4" xfId="8535" xr:uid="{00000000-0005-0000-0000-0000F31D0000}"/>
    <cellStyle name="Normal 7 2 3 3" xfId="4150" xr:uid="{00000000-0005-0000-0000-0000F41D0000}"/>
    <cellStyle name="Normal 7 2 3 3 2" xfId="7318" xr:uid="{00000000-0005-0000-0000-0000F51D0000}"/>
    <cellStyle name="Normal 7 2 3 3 2 2" xfId="10073" xr:uid="{00000000-0005-0000-0000-0000F61D0000}"/>
    <cellStyle name="Normal 7 2 3 3 3" xfId="8711" xr:uid="{00000000-0005-0000-0000-0000F71D0000}"/>
    <cellStyle name="Normal 7 2 3 4" xfId="6707" xr:uid="{00000000-0005-0000-0000-0000F81D0000}"/>
    <cellStyle name="Normal 7 2 3 4 2" xfId="9462" xr:uid="{00000000-0005-0000-0000-0000F91D0000}"/>
    <cellStyle name="Normal 7 2 3 5" xfId="8095" xr:uid="{00000000-0005-0000-0000-0000FA1D0000}"/>
    <cellStyle name="Normal 7 2 4" xfId="3972" xr:uid="{00000000-0005-0000-0000-0000FB1D0000}"/>
    <cellStyle name="Normal 7 2 5" xfId="4118" xr:uid="{00000000-0005-0000-0000-0000FC1D0000}"/>
    <cellStyle name="Normal 7 2 5 2" xfId="7286" xr:uid="{00000000-0005-0000-0000-0000FD1D0000}"/>
    <cellStyle name="Normal 7 2 5 2 2" xfId="10041" xr:uid="{00000000-0005-0000-0000-0000FE1D0000}"/>
    <cellStyle name="Normal 7 2 5 3" xfId="8679" xr:uid="{00000000-0005-0000-0000-0000FF1D0000}"/>
    <cellStyle name="Normal 7 2 6" xfId="3467" xr:uid="{00000000-0005-0000-0000-0000001E0000}"/>
    <cellStyle name="Normal 7 2 6 2" xfId="6675" xr:uid="{00000000-0005-0000-0000-0000011E0000}"/>
    <cellStyle name="Normal 7 2 6 2 2" xfId="9430" xr:uid="{00000000-0005-0000-0000-0000021E0000}"/>
    <cellStyle name="Normal 7 2 6 3" xfId="8063" xr:uid="{00000000-0005-0000-0000-0000031E0000}"/>
    <cellStyle name="Normal 7 3" xfId="3475" xr:uid="{00000000-0005-0000-0000-0000041E0000}"/>
    <cellStyle name="Normal 7 3 2" xfId="3976" xr:uid="{00000000-0005-0000-0000-0000051E0000}"/>
    <cellStyle name="Normal 7 3 2 2" xfId="4600" xr:uid="{00000000-0005-0000-0000-0000061E0000}"/>
    <cellStyle name="Normal 7 3 2 2 2" xfId="7768" xr:uid="{00000000-0005-0000-0000-0000071E0000}"/>
    <cellStyle name="Normal 7 3 2 2 2 2" xfId="10523" xr:uid="{00000000-0005-0000-0000-0000081E0000}"/>
    <cellStyle name="Normal 7 3 2 2 3" xfId="9161" xr:uid="{00000000-0005-0000-0000-0000091E0000}"/>
    <cellStyle name="Normal 7 3 2 3" xfId="7144" xr:uid="{00000000-0005-0000-0000-00000A1E0000}"/>
    <cellStyle name="Normal 7 3 2 3 2" xfId="9899" xr:uid="{00000000-0005-0000-0000-00000B1E0000}"/>
    <cellStyle name="Normal 7 3 2 4" xfId="8537" xr:uid="{00000000-0005-0000-0000-00000C1E0000}"/>
    <cellStyle name="Normal 7 3 3" xfId="3977" xr:uid="{00000000-0005-0000-0000-00000D1E0000}"/>
    <cellStyle name="Normal 7 3 3 2" xfId="4601" xr:uid="{00000000-0005-0000-0000-00000E1E0000}"/>
    <cellStyle name="Normal 7 3 3 2 2" xfId="7769" xr:uid="{00000000-0005-0000-0000-00000F1E0000}"/>
    <cellStyle name="Normal 7 3 3 2 2 2" xfId="10524" xr:uid="{00000000-0005-0000-0000-0000101E0000}"/>
    <cellStyle name="Normal 7 3 3 2 3" xfId="9162" xr:uid="{00000000-0005-0000-0000-0000111E0000}"/>
    <cellStyle name="Normal 7 3 3 3" xfId="7145" xr:uid="{00000000-0005-0000-0000-0000121E0000}"/>
    <cellStyle name="Normal 7 3 3 3 2" xfId="9900" xr:uid="{00000000-0005-0000-0000-0000131E0000}"/>
    <cellStyle name="Normal 7 3 3 4" xfId="8538" xr:uid="{00000000-0005-0000-0000-0000141E0000}"/>
    <cellStyle name="Normal 7 3 4" xfId="3975" xr:uid="{00000000-0005-0000-0000-0000151E0000}"/>
    <cellStyle name="Normal 7 3 4 2" xfId="4599" xr:uid="{00000000-0005-0000-0000-0000161E0000}"/>
    <cellStyle name="Normal 7 3 4 2 2" xfId="7767" xr:uid="{00000000-0005-0000-0000-0000171E0000}"/>
    <cellStyle name="Normal 7 3 4 2 2 2" xfId="10522" xr:uid="{00000000-0005-0000-0000-0000181E0000}"/>
    <cellStyle name="Normal 7 3 4 2 3" xfId="9160" xr:uid="{00000000-0005-0000-0000-0000191E0000}"/>
    <cellStyle name="Normal 7 3 4 3" xfId="7143" xr:uid="{00000000-0005-0000-0000-00001A1E0000}"/>
    <cellStyle name="Normal 7 3 4 3 2" xfId="9898" xr:uid="{00000000-0005-0000-0000-00001B1E0000}"/>
    <cellStyle name="Normal 7 3 4 4" xfId="8536" xr:uid="{00000000-0005-0000-0000-00001C1E0000}"/>
    <cellStyle name="Normal 7 3 5" xfId="4126" xr:uid="{00000000-0005-0000-0000-00001D1E0000}"/>
    <cellStyle name="Normal 7 3 5 2" xfId="7294" xr:uid="{00000000-0005-0000-0000-00001E1E0000}"/>
    <cellStyle name="Normal 7 3 5 2 2" xfId="10049" xr:uid="{00000000-0005-0000-0000-00001F1E0000}"/>
    <cellStyle name="Normal 7 3 5 3" xfId="8687" xr:uid="{00000000-0005-0000-0000-0000201E0000}"/>
    <cellStyle name="Normal 7 3 6" xfId="6683" xr:uid="{00000000-0005-0000-0000-0000211E0000}"/>
    <cellStyle name="Normal 7 3 6 2" xfId="9438" xr:uid="{00000000-0005-0000-0000-0000221E0000}"/>
    <cellStyle name="Normal 7 3 7" xfId="8071" xr:uid="{00000000-0005-0000-0000-0000231E0000}"/>
    <cellStyle name="Normal 7 4" xfId="3491" xr:uid="{00000000-0005-0000-0000-0000241E0000}"/>
    <cellStyle name="Normal 7 4 2" xfId="3979" xr:uid="{00000000-0005-0000-0000-0000251E0000}"/>
    <cellStyle name="Normal 7 4 2 2" xfId="4603" xr:uid="{00000000-0005-0000-0000-0000261E0000}"/>
    <cellStyle name="Normal 7 4 2 2 2" xfId="7771" xr:uid="{00000000-0005-0000-0000-0000271E0000}"/>
    <cellStyle name="Normal 7 4 2 2 2 2" xfId="10526" xr:uid="{00000000-0005-0000-0000-0000281E0000}"/>
    <cellStyle name="Normal 7 4 2 2 3" xfId="9164" xr:uid="{00000000-0005-0000-0000-0000291E0000}"/>
    <cellStyle name="Normal 7 4 2 3" xfId="7147" xr:uid="{00000000-0005-0000-0000-00002A1E0000}"/>
    <cellStyle name="Normal 7 4 2 3 2" xfId="9902" xr:uid="{00000000-0005-0000-0000-00002B1E0000}"/>
    <cellStyle name="Normal 7 4 2 4" xfId="8540" xr:uid="{00000000-0005-0000-0000-00002C1E0000}"/>
    <cellStyle name="Normal 7 4 3" xfId="3978" xr:uid="{00000000-0005-0000-0000-00002D1E0000}"/>
    <cellStyle name="Normal 7 4 3 2" xfId="4602" xr:uid="{00000000-0005-0000-0000-00002E1E0000}"/>
    <cellStyle name="Normal 7 4 3 2 2" xfId="7770" xr:uid="{00000000-0005-0000-0000-00002F1E0000}"/>
    <cellStyle name="Normal 7 4 3 2 2 2" xfId="10525" xr:uid="{00000000-0005-0000-0000-0000301E0000}"/>
    <cellStyle name="Normal 7 4 3 2 3" xfId="9163" xr:uid="{00000000-0005-0000-0000-0000311E0000}"/>
    <cellStyle name="Normal 7 4 3 3" xfId="7146" xr:uid="{00000000-0005-0000-0000-0000321E0000}"/>
    <cellStyle name="Normal 7 4 3 3 2" xfId="9901" xr:uid="{00000000-0005-0000-0000-0000331E0000}"/>
    <cellStyle name="Normal 7 4 3 4" xfId="8539" xr:uid="{00000000-0005-0000-0000-0000341E0000}"/>
    <cellStyle name="Normal 7 4 4" xfId="4142" xr:uid="{00000000-0005-0000-0000-0000351E0000}"/>
    <cellStyle name="Normal 7 4 4 2" xfId="7310" xr:uid="{00000000-0005-0000-0000-0000361E0000}"/>
    <cellStyle name="Normal 7 4 4 2 2" xfId="10065" xr:uid="{00000000-0005-0000-0000-0000371E0000}"/>
    <cellStyle name="Normal 7 4 4 3" xfId="8703" xr:uid="{00000000-0005-0000-0000-0000381E0000}"/>
    <cellStyle name="Normal 7 4 5" xfId="6699" xr:uid="{00000000-0005-0000-0000-0000391E0000}"/>
    <cellStyle name="Normal 7 4 5 2" xfId="9454" xr:uid="{00000000-0005-0000-0000-00003A1E0000}"/>
    <cellStyle name="Normal 7 4 6" xfId="8087" xr:uid="{00000000-0005-0000-0000-00003B1E0000}"/>
    <cellStyle name="Normal 7 5" xfId="3980" xr:uid="{00000000-0005-0000-0000-00003C1E0000}"/>
    <cellStyle name="Normal 7 5 2" xfId="4604" xr:uid="{00000000-0005-0000-0000-00003D1E0000}"/>
    <cellStyle name="Normal 7 5 2 2" xfId="7772" xr:uid="{00000000-0005-0000-0000-00003E1E0000}"/>
    <cellStyle name="Normal 7 5 2 2 2" xfId="10527" xr:uid="{00000000-0005-0000-0000-00003F1E0000}"/>
    <cellStyle name="Normal 7 5 2 3" xfId="9165" xr:uid="{00000000-0005-0000-0000-0000401E0000}"/>
    <cellStyle name="Normal 7 5 3" xfId="7148" xr:uid="{00000000-0005-0000-0000-0000411E0000}"/>
    <cellStyle name="Normal 7 5 3 2" xfId="9903" xr:uid="{00000000-0005-0000-0000-0000421E0000}"/>
    <cellStyle name="Normal 7 5 4" xfId="8541" xr:uid="{00000000-0005-0000-0000-0000431E0000}"/>
    <cellStyle name="Normal 7 6" xfId="3981" xr:uid="{00000000-0005-0000-0000-0000441E0000}"/>
    <cellStyle name="Normal 7 6 2" xfId="4605" xr:uid="{00000000-0005-0000-0000-0000451E0000}"/>
    <cellStyle name="Normal 7 6 2 2" xfId="7773" xr:uid="{00000000-0005-0000-0000-0000461E0000}"/>
    <cellStyle name="Normal 7 6 2 2 2" xfId="10528" xr:uid="{00000000-0005-0000-0000-0000471E0000}"/>
    <cellStyle name="Normal 7 6 2 3" xfId="9166" xr:uid="{00000000-0005-0000-0000-0000481E0000}"/>
    <cellStyle name="Normal 7 6 3" xfId="7149" xr:uid="{00000000-0005-0000-0000-0000491E0000}"/>
    <cellStyle name="Normal 7 6 3 2" xfId="9904" xr:uid="{00000000-0005-0000-0000-00004A1E0000}"/>
    <cellStyle name="Normal 7 6 4" xfId="8542" xr:uid="{00000000-0005-0000-0000-00004B1E0000}"/>
    <cellStyle name="Normal 7 7" xfId="3982" xr:uid="{00000000-0005-0000-0000-00004C1E0000}"/>
    <cellStyle name="Normal 7 7 2" xfId="4606" xr:uid="{00000000-0005-0000-0000-00004D1E0000}"/>
    <cellStyle name="Normal 7 7 2 2" xfId="7774" xr:uid="{00000000-0005-0000-0000-00004E1E0000}"/>
    <cellStyle name="Normal 7 7 2 2 2" xfId="10529" xr:uid="{00000000-0005-0000-0000-00004F1E0000}"/>
    <cellStyle name="Normal 7 7 2 3" xfId="9167" xr:uid="{00000000-0005-0000-0000-0000501E0000}"/>
    <cellStyle name="Normal 7 7 3" xfId="7150" xr:uid="{00000000-0005-0000-0000-0000511E0000}"/>
    <cellStyle name="Normal 7 7 3 2" xfId="9905" xr:uid="{00000000-0005-0000-0000-0000521E0000}"/>
    <cellStyle name="Normal 7 7 4" xfId="8543" xr:uid="{00000000-0005-0000-0000-0000531E0000}"/>
    <cellStyle name="Normal 7 8" xfId="3971" xr:uid="{00000000-0005-0000-0000-0000541E0000}"/>
    <cellStyle name="Normal 7 8 2" xfId="4597" xr:uid="{00000000-0005-0000-0000-0000551E0000}"/>
    <cellStyle name="Normal 7 8 2 2" xfId="7765" xr:uid="{00000000-0005-0000-0000-0000561E0000}"/>
    <cellStyle name="Normal 7 8 2 2 2" xfId="10520" xr:uid="{00000000-0005-0000-0000-0000571E0000}"/>
    <cellStyle name="Normal 7 8 2 3" xfId="9158" xr:uid="{00000000-0005-0000-0000-0000581E0000}"/>
    <cellStyle name="Normal 7 8 3" xfId="7141" xr:uid="{00000000-0005-0000-0000-0000591E0000}"/>
    <cellStyle name="Normal 7 8 3 2" xfId="9896" xr:uid="{00000000-0005-0000-0000-00005A1E0000}"/>
    <cellStyle name="Normal 7 8 4" xfId="8534" xr:uid="{00000000-0005-0000-0000-00005B1E0000}"/>
    <cellStyle name="Normal 7 9" xfId="4110" xr:uid="{00000000-0005-0000-0000-00005C1E0000}"/>
    <cellStyle name="Normal 7 9 2" xfId="7278" xr:uid="{00000000-0005-0000-0000-00005D1E0000}"/>
    <cellStyle name="Normal 7 9 2 2" xfId="10033" xr:uid="{00000000-0005-0000-0000-00005E1E0000}"/>
    <cellStyle name="Normal 7 9 3" xfId="8671" xr:uid="{00000000-0005-0000-0000-00005F1E0000}"/>
    <cellStyle name="Normal 8" xfId="993" xr:uid="{00000000-0005-0000-0000-0000601E0000}"/>
    <cellStyle name="Normal 8 2" xfId="994" xr:uid="{00000000-0005-0000-0000-0000611E0000}"/>
    <cellStyle name="Normal 8 2 2" xfId="2621" xr:uid="{00000000-0005-0000-0000-0000621E0000}"/>
    <cellStyle name="Normal 8 2 2 2" xfId="3308" xr:uid="{00000000-0005-0000-0000-0000631E0000}"/>
    <cellStyle name="Normal 8 2 2 2 2" xfId="4609" xr:uid="{00000000-0005-0000-0000-0000641E0000}"/>
    <cellStyle name="Normal 8 2 2 2 2 2" xfId="7777" xr:uid="{00000000-0005-0000-0000-0000651E0000}"/>
    <cellStyle name="Normal 8 2 2 2 2 2 2" xfId="10532" xr:uid="{00000000-0005-0000-0000-0000661E0000}"/>
    <cellStyle name="Normal 8 2 2 2 2 3" xfId="9170" xr:uid="{00000000-0005-0000-0000-0000671E0000}"/>
    <cellStyle name="Normal 8 2 2 2 3" xfId="6617" xr:uid="{00000000-0005-0000-0000-0000681E0000}"/>
    <cellStyle name="Normal 8 2 2 2 3 2" xfId="9381" xr:uid="{00000000-0005-0000-0000-0000691E0000}"/>
    <cellStyle name="Normal 8 2 2 2 4" xfId="8010" xr:uid="{00000000-0005-0000-0000-00006A1E0000}"/>
    <cellStyle name="Normal 8 2 2 3" xfId="3985" xr:uid="{00000000-0005-0000-0000-00006B1E0000}"/>
    <cellStyle name="Normal 8 2 2 3 2" xfId="7153" xr:uid="{00000000-0005-0000-0000-00006C1E0000}"/>
    <cellStyle name="Normal 8 2 2 3 2 2" xfId="9908" xr:uid="{00000000-0005-0000-0000-00006D1E0000}"/>
    <cellStyle name="Normal 8 2 2 3 3" xfId="8546" xr:uid="{00000000-0005-0000-0000-00006E1E0000}"/>
    <cellStyle name="Normal 8 2 2 4" xfId="5674" xr:uid="{00000000-0005-0000-0000-00006F1E0000}"/>
    <cellStyle name="Normal 8 2 2 4 2" xfId="9324" xr:uid="{00000000-0005-0000-0000-0000701E0000}"/>
    <cellStyle name="Normal 8 2 2 5" xfId="6596" xr:uid="{00000000-0005-0000-0000-0000711E0000}"/>
    <cellStyle name="Normal 8 2 2 5 2" xfId="9360" xr:uid="{00000000-0005-0000-0000-0000721E0000}"/>
    <cellStyle name="Normal 8 2 2 6" xfId="7972" xr:uid="{00000000-0005-0000-0000-0000731E0000}"/>
    <cellStyle name="Normal 8 2 3" xfId="3289" xr:uid="{00000000-0005-0000-0000-0000741E0000}"/>
    <cellStyle name="Normal 8 2 3 2" xfId="4610" xr:uid="{00000000-0005-0000-0000-0000751E0000}"/>
    <cellStyle name="Normal 8 2 3 2 2" xfId="7778" xr:uid="{00000000-0005-0000-0000-0000761E0000}"/>
    <cellStyle name="Normal 8 2 3 2 2 2" xfId="10533" xr:uid="{00000000-0005-0000-0000-0000771E0000}"/>
    <cellStyle name="Normal 8 2 3 2 3" xfId="9171" xr:uid="{00000000-0005-0000-0000-0000781E0000}"/>
    <cellStyle name="Normal 8 2 3 3" xfId="3986" xr:uid="{00000000-0005-0000-0000-0000791E0000}"/>
    <cellStyle name="Normal 8 2 3 3 2" xfId="7154" xr:uid="{00000000-0005-0000-0000-00007A1E0000}"/>
    <cellStyle name="Normal 8 2 3 3 2 2" xfId="9909" xr:uid="{00000000-0005-0000-0000-00007B1E0000}"/>
    <cellStyle name="Normal 8 2 3 3 3" xfId="8547" xr:uid="{00000000-0005-0000-0000-00007C1E0000}"/>
    <cellStyle name="Normal 8 2 3 4" xfId="6607" xr:uid="{00000000-0005-0000-0000-00007D1E0000}"/>
    <cellStyle name="Normal 8 2 3 4 2" xfId="9371" xr:uid="{00000000-0005-0000-0000-00007E1E0000}"/>
    <cellStyle name="Normal 8 2 3 5" xfId="8000" xr:uid="{00000000-0005-0000-0000-00007F1E0000}"/>
    <cellStyle name="Normal 8 2 4" xfId="3987" xr:uid="{00000000-0005-0000-0000-0000801E0000}"/>
    <cellStyle name="Normal 8 2 4 2" xfId="4611" xr:uid="{00000000-0005-0000-0000-0000811E0000}"/>
    <cellStyle name="Normal 8 2 4 2 2" xfId="7779" xr:uid="{00000000-0005-0000-0000-0000821E0000}"/>
    <cellStyle name="Normal 8 2 4 2 2 2" xfId="10534" xr:uid="{00000000-0005-0000-0000-0000831E0000}"/>
    <cellStyle name="Normal 8 2 4 2 3" xfId="9172" xr:uid="{00000000-0005-0000-0000-0000841E0000}"/>
    <cellStyle name="Normal 8 2 4 3" xfId="7155" xr:uid="{00000000-0005-0000-0000-0000851E0000}"/>
    <cellStyle name="Normal 8 2 4 3 2" xfId="9910" xr:uid="{00000000-0005-0000-0000-0000861E0000}"/>
    <cellStyle name="Normal 8 2 4 4" xfId="8548" xr:uid="{00000000-0005-0000-0000-0000871E0000}"/>
    <cellStyle name="Normal 8 2 5" xfId="4608" xr:uid="{00000000-0005-0000-0000-0000881E0000}"/>
    <cellStyle name="Normal 8 2 5 2" xfId="7776" xr:uid="{00000000-0005-0000-0000-0000891E0000}"/>
    <cellStyle name="Normal 8 2 5 2 2" xfId="10531" xr:uid="{00000000-0005-0000-0000-00008A1E0000}"/>
    <cellStyle name="Normal 8 2 5 3" xfId="9169" xr:uid="{00000000-0005-0000-0000-00008B1E0000}"/>
    <cellStyle name="Normal 8 2 6" xfId="3984" xr:uid="{00000000-0005-0000-0000-00008C1E0000}"/>
    <cellStyle name="Normal 8 2 6 2" xfId="7152" xr:uid="{00000000-0005-0000-0000-00008D1E0000}"/>
    <cellStyle name="Normal 8 2 6 2 2" xfId="9907" xr:uid="{00000000-0005-0000-0000-00008E1E0000}"/>
    <cellStyle name="Normal 8 2 6 3" xfId="8545" xr:uid="{00000000-0005-0000-0000-00008F1E0000}"/>
    <cellStyle name="Normal 8 2 7" xfId="5303" xr:uid="{00000000-0005-0000-0000-0000901E0000}"/>
    <cellStyle name="Normal 8 2 7 2" xfId="9310" xr:uid="{00000000-0005-0000-0000-0000911E0000}"/>
    <cellStyle name="Normal 8 2 8" xfId="6227" xr:uid="{00000000-0005-0000-0000-0000921E0000}"/>
    <cellStyle name="Normal 8 2 8 2" xfId="9343" xr:uid="{00000000-0005-0000-0000-0000931E0000}"/>
    <cellStyle name="Normal 8 2 9" xfId="7918" xr:uid="{00000000-0005-0000-0000-0000941E0000}"/>
    <cellStyle name="Normal 8 3" xfId="3324" xr:uid="{00000000-0005-0000-0000-0000951E0000}"/>
    <cellStyle name="Normal 8 3 2" xfId="3989" xr:uid="{00000000-0005-0000-0000-0000961E0000}"/>
    <cellStyle name="Normal 8 3 2 2" xfId="4613" xr:uid="{00000000-0005-0000-0000-0000971E0000}"/>
    <cellStyle name="Normal 8 3 2 2 2" xfId="7781" xr:uid="{00000000-0005-0000-0000-0000981E0000}"/>
    <cellStyle name="Normal 8 3 2 2 2 2" xfId="10536" xr:uid="{00000000-0005-0000-0000-0000991E0000}"/>
    <cellStyle name="Normal 8 3 2 2 3" xfId="9174" xr:uid="{00000000-0005-0000-0000-00009A1E0000}"/>
    <cellStyle name="Normal 8 3 2 3" xfId="7157" xr:uid="{00000000-0005-0000-0000-00009B1E0000}"/>
    <cellStyle name="Normal 8 3 2 3 2" xfId="9912" xr:uid="{00000000-0005-0000-0000-00009C1E0000}"/>
    <cellStyle name="Normal 8 3 2 4" xfId="8550" xr:uid="{00000000-0005-0000-0000-00009D1E0000}"/>
    <cellStyle name="Normal 8 3 3" xfId="3990" xr:uid="{00000000-0005-0000-0000-00009E1E0000}"/>
    <cellStyle name="Normal 8 3 3 2" xfId="4614" xr:uid="{00000000-0005-0000-0000-00009F1E0000}"/>
    <cellStyle name="Normal 8 3 3 2 2" xfId="7782" xr:uid="{00000000-0005-0000-0000-0000A01E0000}"/>
    <cellStyle name="Normal 8 3 3 2 2 2" xfId="10537" xr:uid="{00000000-0005-0000-0000-0000A11E0000}"/>
    <cellStyle name="Normal 8 3 3 2 3" xfId="9175" xr:uid="{00000000-0005-0000-0000-0000A21E0000}"/>
    <cellStyle name="Normal 8 3 3 3" xfId="7158" xr:uid="{00000000-0005-0000-0000-0000A31E0000}"/>
    <cellStyle name="Normal 8 3 3 3 2" xfId="9913" xr:uid="{00000000-0005-0000-0000-0000A41E0000}"/>
    <cellStyle name="Normal 8 3 3 4" xfId="8551" xr:uid="{00000000-0005-0000-0000-0000A51E0000}"/>
    <cellStyle name="Normal 8 3 4" xfId="4612" xr:uid="{00000000-0005-0000-0000-0000A61E0000}"/>
    <cellStyle name="Normal 8 3 4 2" xfId="7780" xr:uid="{00000000-0005-0000-0000-0000A71E0000}"/>
    <cellStyle name="Normal 8 3 4 2 2" xfId="10535" xr:uid="{00000000-0005-0000-0000-0000A81E0000}"/>
    <cellStyle name="Normal 8 3 4 3" xfId="9173" xr:uid="{00000000-0005-0000-0000-0000A91E0000}"/>
    <cellStyle name="Normal 8 3 5" xfId="3988" xr:uid="{00000000-0005-0000-0000-0000AA1E0000}"/>
    <cellStyle name="Normal 8 3 5 2" xfId="7156" xr:uid="{00000000-0005-0000-0000-0000AB1E0000}"/>
    <cellStyle name="Normal 8 3 5 2 2" xfId="9911" xr:uid="{00000000-0005-0000-0000-0000AC1E0000}"/>
    <cellStyle name="Normal 8 3 5 3" xfId="8549" xr:uid="{00000000-0005-0000-0000-0000AD1E0000}"/>
    <cellStyle name="Normal 8 4" xfId="3991" xr:uid="{00000000-0005-0000-0000-0000AE1E0000}"/>
    <cellStyle name="Normal 8 4 2" xfId="4615" xr:uid="{00000000-0005-0000-0000-0000AF1E0000}"/>
    <cellStyle name="Normal 8 4 2 2" xfId="7783" xr:uid="{00000000-0005-0000-0000-0000B01E0000}"/>
    <cellStyle name="Normal 8 4 2 2 2" xfId="10538" xr:uid="{00000000-0005-0000-0000-0000B11E0000}"/>
    <cellStyle name="Normal 8 4 2 3" xfId="9176" xr:uid="{00000000-0005-0000-0000-0000B21E0000}"/>
    <cellStyle name="Normal 8 4 3" xfId="7159" xr:uid="{00000000-0005-0000-0000-0000B31E0000}"/>
    <cellStyle name="Normal 8 4 3 2" xfId="9914" xr:uid="{00000000-0005-0000-0000-0000B41E0000}"/>
    <cellStyle name="Normal 8 4 4" xfId="8552" xr:uid="{00000000-0005-0000-0000-0000B51E0000}"/>
    <cellStyle name="Normal 8 5" xfId="3992" xr:uid="{00000000-0005-0000-0000-0000B61E0000}"/>
    <cellStyle name="Normal 8 5 2" xfId="4616" xr:uid="{00000000-0005-0000-0000-0000B71E0000}"/>
    <cellStyle name="Normal 8 5 2 2" xfId="7784" xr:uid="{00000000-0005-0000-0000-0000B81E0000}"/>
    <cellStyle name="Normal 8 5 2 2 2" xfId="10539" xr:uid="{00000000-0005-0000-0000-0000B91E0000}"/>
    <cellStyle name="Normal 8 5 2 3" xfId="9177" xr:uid="{00000000-0005-0000-0000-0000BA1E0000}"/>
    <cellStyle name="Normal 8 5 3" xfId="7160" xr:uid="{00000000-0005-0000-0000-0000BB1E0000}"/>
    <cellStyle name="Normal 8 5 3 2" xfId="9915" xr:uid="{00000000-0005-0000-0000-0000BC1E0000}"/>
    <cellStyle name="Normal 8 5 4" xfId="8553" xr:uid="{00000000-0005-0000-0000-0000BD1E0000}"/>
    <cellStyle name="Normal 8 6" xfId="3993" xr:uid="{00000000-0005-0000-0000-0000BE1E0000}"/>
    <cellStyle name="Normal 8 6 2" xfId="4617" xr:uid="{00000000-0005-0000-0000-0000BF1E0000}"/>
    <cellStyle name="Normal 8 6 2 2" xfId="7785" xr:uid="{00000000-0005-0000-0000-0000C01E0000}"/>
    <cellStyle name="Normal 8 6 2 2 2" xfId="10540" xr:uid="{00000000-0005-0000-0000-0000C11E0000}"/>
    <cellStyle name="Normal 8 6 2 3" xfId="9178" xr:uid="{00000000-0005-0000-0000-0000C21E0000}"/>
    <cellStyle name="Normal 8 6 3" xfId="7161" xr:uid="{00000000-0005-0000-0000-0000C31E0000}"/>
    <cellStyle name="Normal 8 6 3 2" xfId="9916" xr:uid="{00000000-0005-0000-0000-0000C41E0000}"/>
    <cellStyle name="Normal 8 6 4" xfId="8554" xr:uid="{00000000-0005-0000-0000-0000C51E0000}"/>
    <cellStyle name="Normal 8 7" xfId="3983" xr:uid="{00000000-0005-0000-0000-0000C61E0000}"/>
    <cellStyle name="Normal 8 7 2" xfId="4607" xr:uid="{00000000-0005-0000-0000-0000C71E0000}"/>
    <cellStyle name="Normal 8 7 2 2" xfId="7775" xr:uid="{00000000-0005-0000-0000-0000C81E0000}"/>
    <cellStyle name="Normal 8 7 2 2 2" xfId="10530" xr:uid="{00000000-0005-0000-0000-0000C91E0000}"/>
    <cellStyle name="Normal 8 7 2 3" xfId="9168" xr:uid="{00000000-0005-0000-0000-0000CA1E0000}"/>
    <cellStyle name="Normal 8 7 3" xfId="7151" xr:uid="{00000000-0005-0000-0000-0000CB1E0000}"/>
    <cellStyle name="Normal 8 7 3 2" xfId="9906" xr:uid="{00000000-0005-0000-0000-0000CC1E0000}"/>
    <cellStyle name="Normal 8 7 4" xfId="8544" xr:uid="{00000000-0005-0000-0000-0000CD1E0000}"/>
    <cellStyle name="Normal 8 8" xfId="3500" xr:uid="{00000000-0005-0000-0000-0000CE1E0000}"/>
    <cellStyle name="Normal 9" xfId="995" xr:uid="{00000000-0005-0000-0000-0000CF1E0000}"/>
    <cellStyle name="Normal 9 2" xfId="3325" xr:uid="{00000000-0005-0000-0000-0000D01E0000}"/>
    <cellStyle name="Normal 9 2 2" xfId="3996" xr:uid="{00000000-0005-0000-0000-0000D11E0000}"/>
    <cellStyle name="Normal 9 2 2 2" xfId="4620" xr:uid="{00000000-0005-0000-0000-0000D21E0000}"/>
    <cellStyle name="Normal 9 2 2 2 2" xfId="7788" xr:uid="{00000000-0005-0000-0000-0000D31E0000}"/>
    <cellStyle name="Normal 9 2 2 2 2 2" xfId="10543" xr:uid="{00000000-0005-0000-0000-0000D41E0000}"/>
    <cellStyle name="Normal 9 2 2 2 3" xfId="9181" xr:uid="{00000000-0005-0000-0000-0000D51E0000}"/>
    <cellStyle name="Normal 9 2 2 3" xfId="7164" xr:uid="{00000000-0005-0000-0000-0000D61E0000}"/>
    <cellStyle name="Normal 9 2 2 3 2" xfId="9919" xr:uid="{00000000-0005-0000-0000-0000D71E0000}"/>
    <cellStyle name="Normal 9 2 2 4" xfId="8557" xr:uid="{00000000-0005-0000-0000-0000D81E0000}"/>
    <cellStyle name="Normal 9 2 3" xfId="3997" xr:uid="{00000000-0005-0000-0000-0000D91E0000}"/>
    <cellStyle name="Normal 9 2 3 2" xfId="4621" xr:uid="{00000000-0005-0000-0000-0000DA1E0000}"/>
    <cellStyle name="Normal 9 2 3 2 2" xfId="7789" xr:uid="{00000000-0005-0000-0000-0000DB1E0000}"/>
    <cellStyle name="Normal 9 2 3 2 2 2" xfId="10544" xr:uid="{00000000-0005-0000-0000-0000DC1E0000}"/>
    <cellStyle name="Normal 9 2 3 2 3" xfId="9182" xr:uid="{00000000-0005-0000-0000-0000DD1E0000}"/>
    <cellStyle name="Normal 9 2 3 3" xfId="7165" xr:uid="{00000000-0005-0000-0000-0000DE1E0000}"/>
    <cellStyle name="Normal 9 2 3 3 2" xfId="9920" xr:uid="{00000000-0005-0000-0000-0000DF1E0000}"/>
    <cellStyle name="Normal 9 2 3 4" xfId="8558" xr:uid="{00000000-0005-0000-0000-0000E01E0000}"/>
    <cellStyle name="Normal 9 2 4" xfId="4619" xr:uid="{00000000-0005-0000-0000-0000E11E0000}"/>
    <cellStyle name="Normal 9 2 4 2" xfId="7787" xr:uid="{00000000-0005-0000-0000-0000E21E0000}"/>
    <cellStyle name="Normal 9 2 4 2 2" xfId="10542" xr:uid="{00000000-0005-0000-0000-0000E31E0000}"/>
    <cellStyle name="Normal 9 2 4 3" xfId="9180" xr:uid="{00000000-0005-0000-0000-0000E41E0000}"/>
    <cellStyle name="Normal 9 2 5" xfId="3995" xr:uid="{00000000-0005-0000-0000-0000E51E0000}"/>
    <cellStyle name="Normal 9 2 5 2" xfId="7163" xr:uid="{00000000-0005-0000-0000-0000E61E0000}"/>
    <cellStyle name="Normal 9 2 5 2 2" xfId="9918" xr:uid="{00000000-0005-0000-0000-0000E71E0000}"/>
    <cellStyle name="Normal 9 2 5 3" xfId="8556" xr:uid="{00000000-0005-0000-0000-0000E81E0000}"/>
    <cellStyle name="Normal 9 3" xfId="3998" xr:uid="{00000000-0005-0000-0000-0000E91E0000}"/>
    <cellStyle name="Normal 9 3 2" xfId="4622" xr:uid="{00000000-0005-0000-0000-0000EA1E0000}"/>
    <cellStyle name="Normal 9 3 2 2" xfId="7790" xr:uid="{00000000-0005-0000-0000-0000EB1E0000}"/>
    <cellStyle name="Normal 9 3 2 2 2" xfId="10545" xr:uid="{00000000-0005-0000-0000-0000EC1E0000}"/>
    <cellStyle name="Normal 9 3 2 3" xfId="9183" xr:uid="{00000000-0005-0000-0000-0000ED1E0000}"/>
    <cellStyle name="Normal 9 3 3" xfId="7166" xr:uid="{00000000-0005-0000-0000-0000EE1E0000}"/>
    <cellStyle name="Normal 9 3 3 2" xfId="9921" xr:uid="{00000000-0005-0000-0000-0000EF1E0000}"/>
    <cellStyle name="Normal 9 3 4" xfId="8559" xr:uid="{00000000-0005-0000-0000-0000F01E0000}"/>
    <cellStyle name="Normal 9 4" xfId="3999" xr:uid="{00000000-0005-0000-0000-0000F11E0000}"/>
    <cellStyle name="Normal 9 4 2" xfId="4623" xr:uid="{00000000-0005-0000-0000-0000F21E0000}"/>
    <cellStyle name="Normal 9 4 2 2" xfId="7791" xr:uid="{00000000-0005-0000-0000-0000F31E0000}"/>
    <cellStyle name="Normal 9 4 2 2 2" xfId="10546" xr:uid="{00000000-0005-0000-0000-0000F41E0000}"/>
    <cellStyle name="Normal 9 4 2 3" xfId="9184" xr:uid="{00000000-0005-0000-0000-0000F51E0000}"/>
    <cellStyle name="Normal 9 4 3" xfId="7167" xr:uid="{00000000-0005-0000-0000-0000F61E0000}"/>
    <cellStyle name="Normal 9 4 3 2" xfId="9922" xr:uid="{00000000-0005-0000-0000-0000F71E0000}"/>
    <cellStyle name="Normal 9 4 4" xfId="8560" xr:uid="{00000000-0005-0000-0000-0000F81E0000}"/>
    <cellStyle name="Normal 9 5" xfId="4000" xr:uid="{00000000-0005-0000-0000-0000F91E0000}"/>
    <cellStyle name="Normal 9 5 2" xfId="4624" xr:uid="{00000000-0005-0000-0000-0000FA1E0000}"/>
    <cellStyle name="Normal 9 5 2 2" xfId="7792" xr:uid="{00000000-0005-0000-0000-0000FB1E0000}"/>
    <cellStyle name="Normal 9 5 2 2 2" xfId="10547" xr:uid="{00000000-0005-0000-0000-0000FC1E0000}"/>
    <cellStyle name="Normal 9 5 2 3" xfId="9185" xr:uid="{00000000-0005-0000-0000-0000FD1E0000}"/>
    <cellStyle name="Normal 9 5 3" xfId="7168" xr:uid="{00000000-0005-0000-0000-0000FE1E0000}"/>
    <cellStyle name="Normal 9 5 3 2" xfId="9923" xr:uid="{00000000-0005-0000-0000-0000FF1E0000}"/>
    <cellStyle name="Normal 9 5 4" xfId="8561" xr:uid="{00000000-0005-0000-0000-0000001F0000}"/>
    <cellStyle name="Normal 9 6" xfId="4618" xr:uid="{00000000-0005-0000-0000-0000011F0000}"/>
    <cellStyle name="Normal 9 6 2" xfId="7786" xr:uid="{00000000-0005-0000-0000-0000021F0000}"/>
    <cellStyle name="Normal 9 6 2 2" xfId="10541" xr:uid="{00000000-0005-0000-0000-0000031F0000}"/>
    <cellStyle name="Normal 9 6 3" xfId="9179" xr:uid="{00000000-0005-0000-0000-0000041F0000}"/>
    <cellStyle name="Normal 9 7" xfId="3994" xr:uid="{00000000-0005-0000-0000-0000051F0000}"/>
    <cellStyle name="Normal 9 7 2" xfId="7162" xr:uid="{00000000-0005-0000-0000-0000061F0000}"/>
    <cellStyle name="Normal 9 7 2 2" xfId="9917" xr:uid="{00000000-0005-0000-0000-0000071F0000}"/>
    <cellStyle name="Normal 9 7 3" xfId="8555" xr:uid="{00000000-0005-0000-0000-0000081F0000}"/>
    <cellStyle name="Normal GHG Numbers (0.00)" xfId="996" xr:uid="{00000000-0005-0000-0000-0000091F0000}"/>
    <cellStyle name="Normal GHG Numbers (0.00) 2" xfId="7919" xr:uid="{00000000-0005-0000-0000-00000A1F0000}"/>
    <cellStyle name="Normal GHG Numbers (0.00) 3" xfId="7941" xr:uid="{00000000-0005-0000-0000-00000B1F0000}"/>
    <cellStyle name="Normal GHG Numbers (0.00) 4" xfId="9289" xr:uid="{00000000-0005-0000-0000-00000C1F0000}"/>
    <cellStyle name="Normal GHG Numbers (0.00) 5" xfId="9336" xr:uid="{00000000-0005-0000-0000-00000D1F0000}"/>
    <cellStyle name="Normal GHG Numbers (0.00) 6" xfId="10683" xr:uid="{00000000-0005-0000-0000-00000E1F0000}"/>
    <cellStyle name="Normal GHG Textfiels Bold" xfId="997" xr:uid="{00000000-0005-0000-0000-00000F1F0000}"/>
    <cellStyle name="Normal GHG-Shade" xfId="998" xr:uid="{00000000-0005-0000-0000-0000101F0000}"/>
    <cellStyle name="Normal GHG-Shade 2" xfId="2622" xr:uid="{00000000-0005-0000-0000-0000111F0000}"/>
    <cellStyle name="Normale 10" xfId="999" xr:uid="{00000000-0005-0000-0000-0000121F0000}"/>
    <cellStyle name="Normale 10 2" xfId="1000" xr:uid="{00000000-0005-0000-0000-0000131F0000}"/>
    <cellStyle name="Normale 10 2 2" xfId="2624" xr:uid="{00000000-0005-0000-0000-0000141F0000}"/>
    <cellStyle name="Normale 10 3" xfId="1001" xr:uid="{00000000-0005-0000-0000-0000151F0000}"/>
    <cellStyle name="Normale 10 3 2" xfId="2625" xr:uid="{00000000-0005-0000-0000-0000161F0000}"/>
    <cellStyle name="Normale 10 4" xfId="2623" xr:uid="{00000000-0005-0000-0000-0000171F0000}"/>
    <cellStyle name="Normale 10_EDEN industria 2008 rev" xfId="1002" xr:uid="{00000000-0005-0000-0000-0000181F0000}"/>
    <cellStyle name="Normale 11" xfId="1003" xr:uid="{00000000-0005-0000-0000-0000191F0000}"/>
    <cellStyle name="Normale 11 2" xfId="1004" xr:uid="{00000000-0005-0000-0000-00001A1F0000}"/>
    <cellStyle name="Normale 11 2 2" xfId="2627" xr:uid="{00000000-0005-0000-0000-00001B1F0000}"/>
    <cellStyle name="Normale 11 3" xfId="1005" xr:uid="{00000000-0005-0000-0000-00001C1F0000}"/>
    <cellStyle name="Normale 11 3 2" xfId="2628" xr:uid="{00000000-0005-0000-0000-00001D1F0000}"/>
    <cellStyle name="Normale 11 4" xfId="2626" xr:uid="{00000000-0005-0000-0000-00001E1F0000}"/>
    <cellStyle name="Normale 11_EDEN industria 2008 rev" xfId="1006" xr:uid="{00000000-0005-0000-0000-00001F1F0000}"/>
    <cellStyle name="Normale 12" xfId="1007" xr:uid="{00000000-0005-0000-0000-0000201F0000}"/>
    <cellStyle name="Normale 12 2" xfId="1008" xr:uid="{00000000-0005-0000-0000-0000211F0000}"/>
    <cellStyle name="Normale 12 2 2" xfId="2630" xr:uid="{00000000-0005-0000-0000-0000221F0000}"/>
    <cellStyle name="Normale 12 3" xfId="1009" xr:uid="{00000000-0005-0000-0000-0000231F0000}"/>
    <cellStyle name="Normale 12 3 2" xfId="2631" xr:uid="{00000000-0005-0000-0000-0000241F0000}"/>
    <cellStyle name="Normale 12 4" xfId="2629" xr:uid="{00000000-0005-0000-0000-0000251F0000}"/>
    <cellStyle name="Normale 12_EDEN industria 2008 rev" xfId="1010" xr:uid="{00000000-0005-0000-0000-0000261F0000}"/>
    <cellStyle name="Normale 13" xfId="1011" xr:uid="{00000000-0005-0000-0000-0000271F0000}"/>
    <cellStyle name="Normale 13 2" xfId="1012" xr:uid="{00000000-0005-0000-0000-0000281F0000}"/>
    <cellStyle name="Normale 13 2 2" xfId="2633" xr:uid="{00000000-0005-0000-0000-0000291F0000}"/>
    <cellStyle name="Normale 13 3" xfId="1013" xr:uid="{00000000-0005-0000-0000-00002A1F0000}"/>
    <cellStyle name="Normale 13 3 2" xfId="2634" xr:uid="{00000000-0005-0000-0000-00002B1F0000}"/>
    <cellStyle name="Normale 13 4" xfId="2632" xr:uid="{00000000-0005-0000-0000-00002C1F0000}"/>
    <cellStyle name="Normale 13_EDEN industria 2008 rev" xfId="1014" xr:uid="{00000000-0005-0000-0000-00002D1F0000}"/>
    <cellStyle name="Normale 14" xfId="1015" xr:uid="{00000000-0005-0000-0000-00002E1F0000}"/>
    <cellStyle name="Normale 14 2" xfId="1016" xr:uid="{00000000-0005-0000-0000-00002F1F0000}"/>
    <cellStyle name="Normale 14 2 2" xfId="2636" xr:uid="{00000000-0005-0000-0000-0000301F0000}"/>
    <cellStyle name="Normale 14 3" xfId="1017" xr:uid="{00000000-0005-0000-0000-0000311F0000}"/>
    <cellStyle name="Normale 14 3 2" xfId="2637" xr:uid="{00000000-0005-0000-0000-0000321F0000}"/>
    <cellStyle name="Normale 14 4" xfId="2635" xr:uid="{00000000-0005-0000-0000-0000331F0000}"/>
    <cellStyle name="Normale 14_EDEN industria 2008 rev" xfId="1018" xr:uid="{00000000-0005-0000-0000-0000341F0000}"/>
    <cellStyle name="Normale 15" xfId="1019" xr:uid="{00000000-0005-0000-0000-0000351F0000}"/>
    <cellStyle name="Normale 15 2" xfId="1020" xr:uid="{00000000-0005-0000-0000-0000361F0000}"/>
    <cellStyle name="Normale 15 2 2" xfId="2639" xr:uid="{00000000-0005-0000-0000-0000371F0000}"/>
    <cellStyle name="Normale 15 3" xfId="1021" xr:uid="{00000000-0005-0000-0000-0000381F0000}"/>
    <cellStyle name="Normale 15 3 2" xfId="2640" xr:uid="{00000000-0005-0000-0000-0000391F0000}"/>
    <cellStyle name="Normale 15 4" xfId="2638" xr:uid="{00000000-0005-0000-0000-00003A1F0000}"/>
    <cellStyle name="Normale 15_EDEN industria 2008 rev" xfId="1022" xr:uid="{00000000-0005-0000-0000-00003B1F0000}"/>
    <cellStyle name="Normale 16" xfId="1023" xr:uid="{00000000-0005-0000-0000-00003C1F0000}"/>
    <cellStyle name="Normale 16 2" xfId="2641" xr:uid="{00000000-0005-0000-0000-00003D1F0000}"/>
    <cellStyle name="Normale 17" xfId="1024" xr:uid="{00000000-0005-0000-0000-00003E1F0000}"/>
    <cellStyle name="Normale 17 2" xfId="2642" xr:uid="{00000000-0005-0000-0000-00003F1F0000}"/>
    <cellStyle name="Normale 18" xfId="1025" xr:uid="{00000000-0005-0000-0000-0000401F0000}"/>
    <cellStyle name="Normale 19" xfId="1026" xr:uid="{00000000-0005-0000-0000-0000411F0000}"/>
    <cellStyle name="Normale 2" xfId="1027" xr:uid="{00000000-0005-0000-0000-0000421F0000}"/>
    <cellStyle name="Normale 2 2" xfId="1028" xr:uid="{00000000-0005-0000-0000-0000431F0000}"/>
    <cellStyle name="Normale 2 2 2" xfId="2644" xr:uid="{00000000-0005-0000-0000-0000441F0000}"/>
    <cellStyle name="Normale 2 3" xfId="2643" xr:uid="{00000000-0005-0000-0000-0000451F0000}"/>
    <cellStyle name="Normale 2_EDEN industria 2008 rev" xfId="1029" xr:uid="{00000000-0005-0000-0000-0000461F0000}"/>
    <cellStyle name="Normale 20" xfId="1030" xr:uid="{00000000-0005-0000-0000-0000471F0000}"/>
    <cellStyle name="Normale 20 2" xfId="2645" xr:uid="{00000000-0005-0000-0000-0000481F0000}"/>
    <cellStyle name="Normale 21" xfId="1031" xr:uid="{00000000-0005-0000-0000-0000491F0000}"/>
    <cellStyle name="Normale 21 2" xfId="2646" xr:uid="{00000000-0005-0000-0000-00004A1F0000}"/>
    <cellStyle name="Normale 22" xfId="1032" xr:uid="{00000000-0005-0000-0000-00004B1F0000}"/>
    <cellStyle name="Normale 22 2" xfId="2647" xr:uid="{00000000-0005-0000-0000-00004C1F0000}"/>
    <cellStyle name="Normale 23" xfId="1033" xr:uid="{00000000-0005-0000-0000-00004D1F0000}"/>
    <cellStyle name="Normale 23 2" xfId="2648" xr:uid="{00000000-0005-0000-0000-00004E1F0000}"/>
    <cellStyle name="Normale 24" xfId="1034" xr:uid="{00000000-0005-0000-0000-00004F1F0000}"/>
    <cellStyle name="Normale 24 2" xfId="2649" xr:uid="{00000000-0005-0000-0000-0000501F0000}"/>
    <cellStyle name="Normale 25" xfId="1035" xr:uid="{00000000-0005-0000-0000-0000511F0000}"/>
    <cellStyle name="Normale 25 2" xfId="2650" xr:uid="{00000000-0005-0000-0000-0000521F0000}"/>
    <cellStyle name="Normale 26" xfId="1036" xr:uid="{00000000-0005-0000-0000-0000531F0000}"/>
    <cellStyle name="Normale 26 2" xfId="2651" xr:uid="{00000000-0005-0000-0000-0000541F0000}"/>
    <cellStyle name="Normale 27" xfId="1037" xr:uid="{00000000-0005-0000-0000-0000551F0000}"/>
    <cellStyle name="Normale 27 2" xfId="2652" xr:uid="{00000000-0005-0000-0000-0000561F0000}"/>
    <cellStyle name="Normale 28" xfId="1038" xr:uid="{00000000-0005-0000-0000-0000571F0000}"/>
    <cellStyle name="Normale 28 2" xfId="2653" xr:uid="{00000000-0005-0000-0000-0000581F0000}"/>
    <cellStyle name="Normale 29" xfId="1039" xr:uid="{00000000-0005-0000-0000-0000591F0000}"/>
    <cellStyle name="Normale 29 2" xfId="2654" xr:uid="{00000000-0005-0000-0000-00005A1F0000}"/>
    <cellStyle name="Normale 3" xfId="1040" xr:uid="{00000000-0005-0000-0000-00005B1F0000}"/>
    <cellStyle name="Normale 3 2" xfId="1041" xr:uid="{00000000-0005-0000-0000-00005C1F0000}"/>
    <cellStyle name="Normale 3 2 2" xfId="2656" xr:uid="{00000000-0005-0000-0000-00005D1F0000}"/>
    <cellStyle name="Normale 3 3" xfId="1042" xr:uid="{00000000-0005-0000-0000-00005E1F0000}"/>
    <cellStyle name="Normale 3 3 2" xfId="2657" xr:uid="{00000000-0005-0000-0000-00005F1F0000}"/>
    <cellStyle name="Normale 3 4" xfId="2655" xr:uid="{00000000-0005-0000-0000-0000601F0000}"/>
    <cellStyle name="Normale 3_EDEN industria 2008 rev" xfId="1043" xr:uid="{00000000-0005-0000-0000-0000611F0000}"/>
    <cellStyle name="Normale 30" xfId="1044" xr:uid="{00000000-0005-0000-0000-0000621F0000}"/>
    <cellStyle name="Normale 30 2" xfId="2658" xr:uid="{00000000-0005-0000-0000-0000631F0000}"/>
    <cellStyle name="Normale 31" xfId="1045" xr:uid="{00000000-0005-0000-0000-0000641F0000}"/>
    <cellStyle name="Normale 31 2" xfId="2659" xr:uid="{00000000-0005-0000-0000-0000651F0000}"/>
    <cellStyle name="Normale 32" xfId="1046" xr:uid="{00000000-0005-0000-0000-0000661F0000}"/>
    <cellStyle name="Normale 32 2" xfId="2660" xr:uid="{00000000-0005-0000-0000-0000671F0000}"/>
    <cellStyle name="Normale 33" xfId="1047" xr:uid="{00000000-0005-0000-0000-0000681F0000}"/>
    <cellStyle name="Normale 33 2" xfId="2661" xr:uid="{00000000-0005-0000-0000-0000691F0000}"/>
    <cellStyle name="Normale 34" xfId="1048" xr:uid="{00000000-0005-0000-0000-00006A1F0000}"/>
    <cellStyle name="Normale 34 2" xfId="2662" xr:uid="{00000000-0005-0000-0000-00006B1F0000}"/>
    <cellStyle name="Normale 35" xfId="1049" xr:uid="{00000000-0005-0000-0000-00006C1F0000}"/>
    <cellStyle name="Normale 35 2" xfId="2663" xr:uid="{00000000-0005-0000-0000-00006D1F0000}"/>
    <cellStyle name="Normale 36" xfId="1050" xr:uid="{00000000-0005-0000-0000-00006E1F0000}"/>
    <cellStyle name="Normale 36 2" xfId="2664" xr:uid="{00000000-0005-0000-0000-00006F1F0000}"/>
    <cellStyle name="Normale 37" xfId="1051" xr:uid="{00000000-0005-0000-0000-0000701F0000}"/>
    <cellStyle name="Normale 37 2" xfId="2665" xr:uid="{00000000-0005-0000-0000-0000711F0000}"/>
    <cellStyle name="Normale 38" xfId="1052" xr:uid="{00000000-0005-0000-0000-0000721F0000}"/>
    <cellStyle name="Normale 38 2" xfId="2666" xr:uid="{00000000-0005-0000-0000-0000731F0000}"/>
    <cellStyle name="Normale 39" xfId="1053" xr:uid="{00000000-0005-0000-0000-0000741F0000}"/>
    <cellStyle name="Normale 39 2" xfId="2667" xr:uid="{00000000-0005-0000-0000-0000751F0000}"/>
    <cellStyle name="Normale 4" xfId="1054" xr:uid="{00000000-0005-0000-0000-0000761F0000}"/>
    <cellStyle name="Normale 4 2" xfId="1055" xr:uid="{00000000-0005-0000-0000-0000771F0000}"/>
    <cellStyle name="Normale 4 2 2" xfId="2669" xr:uid="{00000000-0005-0000-0000-0000781F0000}"/>
    <cellStyle name="Normale 4 3" xfId="1056" xr:uid="{00000000-0005-0000-0000-0000791F0000}"/>
    <cellStyle name="Normale 4 3 2" xfId="2670" xr:uid="{00000000-0005-0000-0000-00007A1F0000}"/>
    <cellStyle name="Normale 4 4" xfId="2668" xr:uid="{00000000-0005-0000-0000-00007B1F0000}"/>
    <cellStyle name="Normale 4_EDEN industria 2008 rev" xfId="1057" xr:uid="{00000000-0005-0000-0000-00007C1F0000}"/>
    <cellStyle name="Normale 40" xfId="1058" xr:uid="{00000000-0005-0000-0000-00007D1F0000}"/>
    <cellStyle name="Normale 40 2" xfId="2671" xr:uid="{00000000-0005-0000-0000-00007E1F0000}"/>
    <cellStyle name="Normale 41" xfId="1059" xr:uid="{00000000-0005-0000-0000-00007F1F0000}"/>
    <cellStyle name="Normale 41 2" xfId="2672" xr:uid="{00000000-0005-0000-0000-0000801F0000}"/>
    <cellStyle name="Normale 42" xfId="1060" xr:uid="{00000000-0005-0000-0000-0000811F0000}"/>
    <cellStyle name="Normale 42 2" xfId="2673" xr:uid="{00000000-0005-0000-0000-0000821F0000}"/>
    <cellStyle name="Normale 43" xfId="1061" xr:uid="{00000000-0005-0000-0000-0000831F0000}"/>
    <cellStyle name="Normale 43 2" xfId="2674" xr:uid="{00000000-0005-0000-0000-0000841F0000}"/>
    <cellStyle name="Normale 44" xfId="1062" xr:uid="{00000000-0005-0000-0000-0000851F0000}"/>
    <cellStyle name="Normale 44 2" xfId="2675" xr:uid="{00000000-0005-0000-0000-0000861F0000}"/>
    <cellStyle name="Normale 45" xfId="1063" xr:uid="{00000000-0005-0000-0000-0000871F0000}"/>
    <cellStyle name="Normale 45 2" xfId="2676" xr:uid="{00000000-0005-0000-0000-0000881F0000}"/>
    <cellStyle name="Normale 46" xfId="1064" xr:uid="{00000000-0005-0000-0000-0000891F0000}"/>
    <cellStyle name="Normale 46 2" xfId="2677" xr:uid="{00000000-0005-0000-0000-00008A1F0000}"/>
    <cellStyle name="Normale 47" xfId="1065" xr:uid="{00000000-0005-0000-0000-00008B1F0000}"/>
    <cellStyle name="Normale 47 2" xfId="2678" xr:uid="{00000000-0005-0000-0000-00008C1F0000}"/>
    <cellStyle name="Normale 48" xfId="1066" xr:uid="{00000000-0005-0000-0000-00008D1F0000}"/>
    <cellStyle name="Normale 48 2" xfId="2679" xr:uid="{00000000-0005-0000-0000-00008E1F0000}"/>
    <cellStyle name="Normale 49" xfId="1067" xr:uid="{00000000-0005-0000-0000-00008F1F0000}"/>
    <cellStyle name="Normale 49 2" xfId="2680" xr:uid="{00000000-0005-0000-0000-0000901F0000}"/>
    <cellStyle name="Normale 5" xfId="1068" xr:uid="{00000000-0005-0000-0000-0000911F0000}"/>
    <cellStyle name="Normale 5 2" xfId="1069" xr:uid="{00000000-0005-0000-0000-0000921F0000}"/>
    <cellStyle name="Normale 5 2 2" xfId="2682" xr:uid="{00000000-0005-0000-0000-0000931F0000}"/>
    <cellStyle name="Normale 5 3" xfId="1070" xr:uid="{00000000-0005-0000-0000-0000941F0000}"/>
    <cellStyle name="Normale 5 3 2" xfId="2683" xr:uid="{00000000-0005-0000-0000-0000951F0000}"/>
    <cellStyle name="Normale 5 4" xfId="2681" xr:uid="{00000000-0005-0000-0000-0000961F0000}"/>
    <cellStyle name="Normale 5_EDEN industria 2008 rev" xfId="1071" xr:uid="{00000000-0005-0000-0000-0000971F0000}"/>
    <cellStyle name="Normale 50" xfId="1072" xr:uid="{00000000-0005-0000-0000-0000981F0000}"/>
    <cellStyle name="Normale 50 2" xfId="2684" xr:uid="{00000000-0005-0000-0000-0000991F0000}"/>
    <cellStyle name="Normale 51" xfId="1073" xr:uid="{00000000-0005-0000-0000-00009A1F0000}"/>
    <cellStyle name="Normale 51 2" xfId="2685" xr:uid="{00000000-0005-0000-0000-00009B1F0000}"/>
    <cellStyle name="Normale 52" xfId="1074" xr:uid="{00000000-0005-0000-0000-00009C1F0000}"/>
    <cellStyle name="Normale 52 2" xfId="2686" xr:uid="{00000000-0005-0000-0000-00009D1F0000}"/>
    <cellStyle name="Normale 53" xfId="1075" xr:uid="{00000000-0005-0000-0000-00009E1F0000}"/>
    <cellStyle name="Normale 53 2" xfId="2687" xr:uid="{00000000-0005-0000-0000-00009F1F0000}"/>
    <cellStyle name="Normale 54" xfId="1076" xr:uid="{00000000-0005-0000-0000-0000A01F0000}"/>
    <cellStyle name="Normale 54 2" xfId="2688" xr:uid="{00000000-0005-0000-0000-0000A11F0000}"/>
    <cellStyle name="Normale 55" xfId="1077" xr:uid="{00000000-0005-0000-0000-0000A21F0000}"/>
    <cellStyle name="Normale 55 2" xfId="2689" xr:uid="{00000000-0005-0000-0000-0000A31F0000}"/>
    <cellStyle name="Normale 56" xfId="1078" xr:uid="{00000000-0005-0000-0000-0000A41F0000}"/>
    <cellStyle name="Normale 56 2" xfId="2690" xr:uid="{00000000-0005-0000-0000-0000A51F0000}"/>
    <cellStyle name="Normale 57" xfId="1079" xr:uid="{00000000-0005-0000-0000-0000A61F0000}"/>
    <cellStyle name="Normale 57 2" xfId="2691" xr:uid="{00000000-0005-0000-0000-0000A71F0000}"/>
    <cellStyle name="Normale 58" xfId="1080" xr:uid="{00000000-0005-0000-0000-0000A81F0000}"/>
    <cellStyle name="Normale 58 2" xfId="2692" xr:uid="{00000000-0005-0000-0000-0000A91F0000}"/>
    <cellStyle name="Normale 59" xfId="1081" xr:uid="{00000000-0005-0000-0000-0000AA1F0000}"/>
    <cellStyle name="Normale 59 2" xfId="2693" xr:uid="{00000000-0005-0000-0000-0000AB1F0000}"/>
    <cellStyle name="Normale 6" xfId="1082" xr:uid="{00000000-0005-0000-0000-0000AC1F0000}"/>
    <cellStyle name="Normale 6 2" xfId="1083" xr:uid="{00000000-0005-0000-0000-0000AD1F0000}"/>
    <cellStyle name="Normale 6 2 2" xfId="2695" xr:uid="{00000000-0005-0000-0000-0000AE1F0000}"/>
    <cellStyle name="Normale 6 3" xfId="1084" xr:uid="{00000000-0005-0000-0000-0000AF1F0000}"/>
    <cellStyle name="Normale 6 3 2" xfId="2696" xr:uid="{00000000-0005-0000-0000-0000B01F0000}"/>
    <cellStyle name="Normale 6 4" xfId="2694" xr:uid="{00000000-0005-0000-0000-0000B11F0000}"/>
    <cellStyle name="Normale 6_EDEN industria 2008 rev" xfId="1085" xr:uid="{00000000-0005-0000-0000-0000B21F0000}"/>
    <cellStyle name="Normale 60" xfId="1086" xr:uid="{00000000-0005-0000-0000-0000B31F0000}"/>
    <cellStyle name="Normale 60 2" xfId="2697" xr:uid="{00000000-0005-0000-0000-0000B41F0000}"/>
    <cellStyle name="Normale 61" xfId="1087" xr:uid="{00000000-0005-0000-0000-0000B51F0000}"/>
    <cellStyle name="Normale 61 2" xfId="2698" xr:uid="{00000000-0005-0000-0000-0000B61F0000}"/>
    <cellStyle name="Normale 62" xfId="1088" xr:uid="{00000000-0005-0000-0000-0000B71F0000}"/>
    <cellStyle name="Normale 62 2" xfId="2699" xr:uid="{00000000-0005-0000-0000-0000B81F0000}"/>
    <cellStyle name="Normale 63" xfId="1089" xr:uid="{00000000-0005-0000-0000-0000B91F0000}"/>
    <cellStyle name="Normale 63 2" xfId="2700" xr:uid="{00000000-0005-0000-0000-0000BA1F0000}"/>
    <cellStyle name="Normale 64" xfId="1090" xr:uid="{00000000-0005-0000-0000-0000BB1F0000}"/>
    <cellStyle name="Normale 64 2" xfId="2701" xr:uid="{00000000-0005-0000-0000-0000BC1F0000}"/>
    <cellStyle name="Normale 65" xfId="1091" xr:uid="{00000000-0005-0000-0000-0000BD1F0000}"/>
    <cellStyle name="Normale 65 2" xfId="2702" xr:uid="{00000000-0005-0000-0000-0000BE1F0000}"/>
    <cellStyle name="Normale 7" xfId="1092" xr:uid="{00000000-0005-0000-0000-0000BF1F0000}"/>
    <cellStyle name="Normale 7 2" xfId="1093" xr:uid="{00000000-0005-0000-0000-0000C01F0000}"/>
    <cellStyle name="Normale 7 2 2" xfId="2704" xr:uid="{00000000-0005-0000-0000-0000C11F0000}"/>
    <cellStyle name="Normale 7 3" xfId="1094" xr:uid="{00000000-0005-0000-0000-0000C21F0000}"/>
    <cellStyle name="Normale 7 3 2" xfId="2705" xr:uid="{00000000-0005-0000-0000-0000C31F0000}"/>
    <cellStyle name="Normale 7 4" xfId="2703" xr:uid="{00000000-0005-0000-0000-0000C41F0000}"/>
    <cellStyle name="Normale 7_EDEN industria 2008 rev" xfId="1095" xr:uid="{00000000-0005-0000-0000-0000C51F0000}"/>
    <cellStyle name="Normale 8" xfId="1096" xr:uid="{00000000-0005-0000-0000-0000C61F0000}"/>
    <cellStyle name="Normale 8 2" xfId="1097" xr:uid="{00000000-0005-0000-0000-0000C71F0000}"/>
    <cellStyle name="Normale 8 2 2" xfId="2707" xr:uid="{00000000-0005-0000-0000-0000C81F0000}"/>
    <cellStyle name="Normale 8 3" xfId="1098" xr:uid="{00000000-0005-0000-0000-0000C91F0000}"/>
    <cellStyle name="Normale 8 3 2" xfId="2708" xr:uid="{00000000-0005-0000-0000-0000CA1F0000}"/>
    <cellStyle name="Normale 8 4" xfId="2706" xr:uid="{00000000-0005-0000-0000-0000CB1F0000}"/>
    <cellStyle name="Normale 8_EDEN industria 2008 rev" xfId="1099" xr:uid="{00000000-0005-0000-0000-0000CC1F0000}"/>
    <cellStyle name="Normale 9" xfId="1100" xr:uid="{00000000-0005-0000-0000-0000CD1F0000}"/>
    <cellStyle name="Normale 9 2" xfId="1101" xr:uid="{00000000-0005-0000-0000-0000CE1F0000}"/>
    <cellStyle name="Normale 9 2 2" xfId="2710" xr:uid="{00000000-0005-0000-0000-0000CF1F0000}"/>
    <cellStyle name="Normale 9 3" xfId="1102" xr:uid="{00000000-0005-0000-0000-0000D01F0000}"/>
    <cellStyle name="Normale 9 3 2" xfId="2711" xr:uid="{00000000-0005-0000-0000-0000D11F0000}"/>
    <cellStyle name="Normale 9 4" xfId="2709" xr:uid="{00000000-0005-0000-0000-0000D21F0000}"/>
    <cellStyle name="Normale 9_EDEN industria 2008 rev" xfId="1103" xr:uid="{00000000-0005-0000-0000-0000D31F0000}"/>
    <cellStyle name="Normale_B2020" xfId="1104" xr:uid="{00000000-0005-0000-0000-0000D41F0000}"/>
    <cellStyle name="Nota" xfId="1105" xr:uid="{00000000-0005-0000-0000-0000D51F0000}"/>
    <cellStyle name="Nota 10" xfId="9338" xr:uid="{00000000-0005-0000-0000-0000D61F0000}"/>
    <cellStyle name="Nota 2" xfId="1106" xr:uid="{00000000-0005-0000-0000-0000D71F0000}"/>
    <cellStyle name="Nota 2 2" xfId="2712" xr:uid="{00000000-0005-0000-0000-0000D81F0000}"/>
    <cellStyle name="Nota 2 2 2" xfId="7978" xr:uid="{00000000-0005-0000-0000-0000D91F0000}"/>
    <cellStyle name="Nota 2 2 3" xfId="9304" xr:uid="{00000000-0005-0000-0000-0000DA1F0000}"/>
    <cellStyle name="Nota 2 2 4" xfId="10674" xr:uid="{00000000-0005-0000-0000-0000DB1F0000}"/>
    <cellStyle name="Nota 2 2 5" xfId="7949" xr:uid="{00000000-0005-0000-0000-0000DC1F0000}"/>
    <cellStyle name="Nota 2 2 6" xfId="7960" xr:uid="{00000000-0005-0000-0000-0000DD1F0000}"/>
    <cellStyle name="Nota 2 3" xfId="7926" xr:uid="{00000000-0005-0000-0000-0000DE1F0000}"/>
    <cellStyle name="Nota 2 4" xfId="7938" xr:uid="{00000000-0005-0000-0000-0000DF1F0000}"/>
    <cellStyle name="Nota 2 5" xfId="7966" xr:uid="{00000000-0005-0000-0000-0000E01F0000}"/>
    <cellStyle name="Nota 2 6" xfId="7965" xr:uid="{00000000-0005-0000-0000-0000E11F0000}"/>
    <cellStyle name="Nota 2 7" xfId="7910" xr:uid="{00000000-0005-0000-0000-0000E21F0000}"/>
    <cellStyle name="Nota 3" xfId="1107" xr:uid="{00000000-0005-0000-0000-0000E31F0000}"/>
    <cellStyle name="Nota 3 2" xfId="1108" xr:uid="{00000000-0005-0000-0000-0000E41F0000}"/>
    <cellStyle name="Nota 3 2 2" xfId="7928" xr:uid="{00000000-0005-0000-0000-0000E51F0000}"/>
    <cellStyle name="Nota 3 2 3" xfId="7937" xr:uid="{00000000-0005-0000-0000-0000E61F0000}"/>
    <cellStyle name="Nota 3 2 4" xfId="7974" xr:uid="{00000000-0005-0000-0000-0000E71F0000}"/>
    <cellStyle name="Nota 3 2 5" xfId="7984" xr:uid="{00000000-0005-0000-0000-0000E81F0000}"/>
    <cellStyle name="Nota 3 2 6" xfId="7975" xr:uid="{00000000-0005-0000-0000-0000E91F0000}"/>
    <cellStyle name="Nota 3 3" xfId="1109" xr:uid="{00000000-0005-0000-0000-0000EA1F0000}"/>
    <cellStyle name="Nota 3 3 2" xfId="2714" xr:uid="{00000000-0005-0000-0000-0000EB1F0000}"/>
    <cellStyle name="Nota 3 3 2 2" xfId="7980" xr:uid="{00000000-0005-0000-0000-0000EC1F0000}"/>
    <cellStyle name="Nota 3 3 2 3" xfId="9320" xr:uid="{00000000-0005-0000-0000-0000ED1F0000}"/>
    <cellStyle name="Nota 3 3 2 4" xfId="7902" xr:uid="{00000000-0005-0000-0000-0000EE1F0000}"/>
    <cellStyle name="Nota 3 3 2 5" xfId="7944" xr:uid="{00000000-0005-0000-0000-0000EF1F0000}"/>
    <cellStyle name="Nota 3 3 2 6" xfId="9306" xr:uid="{00000000-0005-0000-0000-0000F01F0000}"/>
    <cellStyle name="Nota 3 3 3" xfId="7929" xr:uid="{00000000-0005-0000-0000-0000F11F0000}"/>
    <cellStyle name="Nota 3 3 4" xfId="7936" xr:uid="{00000000-0005-0000-0000-0000F21F0000}"/>
    <cellStyle name="Nota 3 3 5" xfId="9302" xr:uid="{00000000-0005-0000-0000-0000F31F0000}"/>
    <cellStyle name="Nota 3 3 6" xfId="10667" xr:uid="{00000000-0005-0000-0000-0000F41F0000}"/>
    <cellStyle name="Nota 3 3 7" xfId="7948" xr:uid="{00000000-0005-0000-0000-0000F51F0000}"/>
    <cellStyle name="Nota 3 4" xfId="2713" xr:uid="{00000000-0005-0000-0000-0000F61F0000}"/>
    <cellStyle name="Nota 3 4 2" xfId="7979" xr:uid="{00000000-0005-0000-0000-0000F71F0000}"/>
    <cellStyle name="Nota 3 4 3" xfId="9354" xr:uid="{00000000-0005-0000-0000-0000F81F0000}"/>
    <cellStyle name="Nota 3 4 4" xfId="10684" xr:uid="{00000000-0005-0000-0000-0000F91F0000}"/>
    <cellStyle name="Nota 3 4 5" xfId="10668" xr:uid="{00000000-0005-0000-0000-0000FA1F0000}"/>
    <cellStyle name="Nota 3 4 6" xfId="9355" xr:uid="{00000000-0005-0000-0000-0000FB1F0000}"/>
    <cellStyle name="Nota 3 5" xfId="7927" xr:uid="{00000000-0005-0000-0000-0000FC1F0000}"/>
    <cellStyle name="Nota 3 6" xfId="7987" xr:uid="{00000000-0005-0000-0000-0000FD1F0000}"/>
    <cellStyle name="Nota 3 7" xfId="7921" xr:uid="{00000000-0005-0000-0000-0000FE1F0000}"/>
    <cellStyle name="Nota 3 8" xfId="7983" xr:uid="{00000000-0005-0000-0000-0000FF1F0000}"/>
    <cellStyle name="Nota 3 9" xfId="7923" xr:uid="{00000000-0005-0000-0000-000000200000}"/>
    <cellStyle name="Nota 4" xfId="1110" xr:uid="{00000000-0005-0000-0000-000001200000}"/>
    <cellStyle name="Nota 4 2" xfId="1111" xr:uid="{00000000-0005-0000-0000-000002200000}"/>
    <cellStyle name="Nota 4 2 2" xfId="2716" xr:uid="{00000000-0005-0000-0000-000003200000}"/>
    <cellStyle name="Nota 4 2 2 2" xfId="7982" xr:uid="{00000000-0005-0000-0000-000004200000}"/>
    <cellStyle name="Nota 4 2 2 3" xfId="9337" xr:uid="{00000000-0005-0000-0000-000005200000}"/>
    <cellStyle name="Nota 4 2 2 4" xfId="10673" xr:uid="{00000000-0005-0000-0000-000006200000}"/>
    <cellStyle name="Nota 4 2 2 5" xfId="9339" xr:uid="{00000000-0005-0000-0000-000007200000}"/>
    <cellStyle name="Nota 4 2 2 6" xfId="7901" xr:uid="{00000000-0005-0000-0000-000008200000}"/>
    <cellStyle name="Nota 4 2 3" xfId="7931" xr:uid="{00000000-0005-0000-0000-000009200000}"/>
    <cellStyle name="Nota 4 2 4" xfId="7985" xr:uid="{00000000-0005-0000-0000-00000A200000}"/>
    <cellStyle name="Nota 4 2 5" xfId="7973" xr:uid="{00000000-0005-0000-0000-00000B200000}"/>
    <cellStyle name="Nota 4 2 6" xfId="7967" xr:uid="{00000000-0005-0000-0000-00000C200000}"/>
    <cellStyle name="Nota 4 2 7" xfId="7903" xr:uid="{00000000-0005-0000-0000-00000D200000}"/>
    <cellStyle name="Nota 4 3" xfId="2715" xr:uid="{00000000-0005-0000-0000-00000E200000}"/>
    <cellStyle name="Nota 4 3 2" xfId="7981" xr:uid="{00000000-0005-0000-0000-00000F200000}"/>
    <cellStyle name="Nota 4 3 3" xfId="7968" xr:uid="{00000000-0005-0000-0000-000010200000}"/>
    <cellStyle name="Nota 4 3 4" xfId="9332" xr:uid="{00000000-0005-0000-0000-000011200000}"/>
    <cellStyle name="Nota 4 3 5" xfId="10658" xr:uid="{00000000-0005-0000-0000-000012200000}"/>
    <cellStyle name="Nota 4 3 6" xfId="10659" xr:uid="{00000000-0005-0000-0000-000013200000}"/>
    <cellStyle name="Nota 4 4" xfId="7930" xr:uid="{00000000-0005-0000-0000-000014200000}"/>
    <cellStyle name="Nota 4 5" xfId="7935" xr:uid="{00000000-0005-0000-0000-000015200000}"/>
    <cellStyle name="Nota 4 6" xfId="9352" xr:uid="{00000000-0005-0000-0000-000016200000}"/>
    <cellStyle name="Nota 4 7" xfId="10681" xr:uid="{00000000-0005-0000-0000-000017200000}"/>
    <cellStyle name="Nota 4 8" xfId="10669" xr:uid="{00000000-0005-0000-0000-000018200000}"/>
    <cellStyle name="Nota 5" xfId="1112" xr:uid="{00000000-0005-0000-0000-000019200000}"/>
    <cellStyle name="Nota 5 2" xfId="7932" xr:uid="{00000000-0005-0000-0000-00001A200000}"/>
    <cellStyle name="Nota 5 3" xfId="7986" xr:uid="{00000000-0005-0000-0000-00001B200000}"/>
    <cellStyle name="Nota 5 4" xfId="7922" xr:uid="{00000000-0005-0000-0000-00001C200000}"/>
    <cellStyle name="Nota 5 5" xfId="7933" xr:uid="{00000000-0005-0000-0000-00001D200000}"/>
    <cellStyle name="Nota 5 6" xfId="7924" xr:uid="{00000000-0005-0000-0000-00001E200000}"/>
    <cellStyle name="Nota 6" xfId="7925" xr:uid="{00000000-0005-0000-0000-00001F200000}"/>
    <cellStyle name="Nota 7" xfId="7939" xr:uid="{00000000-0005-0000-0000-000020200000}"/>
    <cellStyle name="Nota 8" xfId="9319" xr:uid="{00000000-0005-0000-0000-000021200000}"/>
    <cellStyle name="Nota 9" xfId="9299" xr:uid="{00000000-0005-0000-0000-000022200000}"/>
    <cellStyle name="Note 2" xfId="3450" xr:uid="{00000000-0005-0000-0000-000023200000}"/>
    <cellStyle name="Note 2 2" xfId="3522" xr:uid="{00000000-0005-0000-0000-000024200000}"/>
    <cellStyle name="Note 2 2 2" xfId="8106" xr:uid="{00000000-0005-0000-0000-000025200000}"/>
    <cellStyle name="Note 2 2 3" xfId="7964" xr:uid="{00000000-0005-0000-0000-000026200000}"/>
    <cellStyle name="Note 2 2 4" xfId="10672" xr:uid="{00000000-0005-0000-0000-000027200000}"/>
    <cellStyle name="Note 2 2 5" xfId="7989" xr:uid="{00000000-0005-0000-0000-000028200000}"/>
    <cellStyle name="Note 2 2 6" xfId="10685" xr:uid="{00000000-0005-0000-0000-000029200000}"/>
    <cellStyle name="Note 2 3" xfId="8052" xr:uid="{00000000-0005-0000-0000-00002A200000}"/>
    <cellStyle name="Note 2 4" xfId="7911" xr:uid="{00000000-0005-0000-0000-00002B200000}"/>
    <cellStyle name="Note 2 5" xfId="7963" xr:uid="{00000000-0005-0000-0000-00002C200000}"/>
    <cellStyle name="Note 2 6" xfId="7900" xr:uid="{00000000-0005-0000-0000-00002D200000}"/>
    <cellStyle name="Note 2 7" xfId="9364" xr:uid="{00000000-0005-0000-0000-00002E200000}"/>
    <cellStyle name="Nuovo" xfId="1113" xr:uid="{00000000-0005-0000-0000-00002F200000}"/>
    <cellStyle name="Nuovo 10" xfId="1114" xr:uid="{00000000-0005-0000-0000-000030200000}"/>
    <cellStyle name="Nuovo 10 2" xfId="1115" xr:uid="{00000000-0005-0000-0000-000031200000}"/>
    <cellStyle name="Nuovo 10 2 2" xfId="2717" xr:uid="{00000000-0005-0000-0000-000032200000}"/>
    <cellStyle name="Nuovo 10 3" xfId="1116" xr:uid="{00000000-0005-0000-0000-000033200000}"/>
    <cellStyle name="Nuovo 10 3 2" xfId="1117" xr:uid="{00000000-0005-0000-0000-000034200000}"/>
    <cellStyle name="Nuovo 10 3 3" xfId="1118" xr:uid="{00000000-0005-0000-0000-000035200000}"/>
    <cellStyle name="Nuovo 10 3 3 2" xfId="2719" xr:uid="{00000000-0005-0000-0000-000036200000}"/>
    <cellStyle name="Nuovo 10 3 4" xfId="2718" xr:uid="{00000000-0005-0000-0000-000037200000}"/>
    <cellStyle name="Nuovo 10 4" xfId="1119" xr:uid="{00000000-0005-0000-0000-000038200000}"/>
    <cellStyle name="Nuovo 10 4 2" xfId="1120" xr:uid="{00000000-0005-0000-0000-000039200000}"/>
    <cellStyle name="Nuovo 10 4 2 2" xfId="2721" xr:uid="{00000000-0005-0000-0000-00003A200000}"/>
    <cellStyle name="Nuovo 10 4 3" xfId="2720" xr:uid="{00000000-0005-0000-0000-00003B200000}"/>
    <cellStyle name="Nuovo 10 5" xfId="1121" xr:uid="{00000000-0005-0000-0000-00003C200000}"/>
    <cellStyle name="Nuovo 11" xfId="1122" xr:uid="{00000000-0005-0000-0000-00003D200000}"/>
    <cellStyle name="Nuovo 11 2" xfId="1123" xr:uid="{00000000-0005-0000-0000-00003E200000}"/>
    <cellStyle name="Nuovo 11 2 2" xfId="2722" xr:uid="{00000000-0005-0000-0000-00003F200000}"/>
    <cellStyle name="Nuovo 11 3" xfId="1124" xr:uid="{00000000-0005-0000-0000-000040200000}"/>
    <cellStyle name="Nuovo 11 3 2" xfId="1125" xr:uid="{00000000-0005-0000-0000-000041200000}"/>
    <cellStyle name="Nuovo 11 3 3" xfId="1126" xr:uid="{00000000-0005-0000-0000-000042200000}"/>
    <cellStyle name="Nuovo 11 3 3 2" xfId="2724" xr:uid="{00000000-0005-0000-0000-000043200000}"/>
    <cellStyle name="Nuovo 11 3 4" xfId="2723" xr:uid="{00000000-0005-0000-0000-000044200000}"/>
    <cellStyle name="Nuovo 11 4" xfId="1127" xr:uid="{00000000-0005-0000-0000-000045200000}"/>
    <cellStyle name="Nuovo 11 4 2" xfId="1128" xr:uid="{00000000-0005-0000-0000-000046200000}"/>
    <cellStyle name="Nuovo 11 4 2 2" xfId="2726" xr:uid="{00000000-0005-0000-0000-000047200000}"/>
    <cellStyle name="Nuovo 11 4 3" xfId="2725" xr:uid="{00000000-0005-0000-0000-000048200000}"/>
    <cellStyle name="Nuovo 11 5" xfId="1129" xr:uid="{00000000-0005-0000-0000-000049200000}"/>
    <cellStyle name="Nuovo 12" xfId="1130" xr:uid="{00000000-0005-0000-0000-00004A200000}"/>
    <cellStyle name="Nuovo 12 2" xfId="1131" xr:uid="{00000000-0005-0000-0000-00004B200000}"/>
    <cellStyle name="Nuovo 12 2 2" xfId="2727" xr:uid="{00000000-0005-0000-0000-00004C200000}"/>
    <cellStyle name="Nuovo 12 3" xfId="1132" xr:uid="{00000000-0005-0000-0000-00004D200000}"/>
    <cellStyle name="Nuovo 12 3 2" xfId="1133" xr:uid="{00000000-0005-0000-0000-00004E200000}"/>
    <cellStyle name="Nuovo 12 3 3" xfId="1134" xr:uid="{00000000-0005-0000-0000-00004F200000}"/>
    <cellStyle name="Nuovo 12 3 3 2" xfId="2729" xr:uid="{00000000-0005-0000-0000-000050200000}"/>
    <cellStyle name="Nuovo 12 3 4" xfId="2728" xr:uid="{00000000-0005-0000-0000-000051200000}"/>
    <cellStyle name="Nuovo 12 4" xfId="1135" xr:uid="{00000000-0005-0000-0000-000052200000}"/>
    <cellStyle name="Nuovo 12 4 2" xfId="1136" xr:uid="{00000000-0005-0000-0000-000053200000}"/>
    <cellStyle name="Nuovo 12 4 2 2" xfId="2731" xr:uid="{00000000-0005-0000-0000-000054200000}"/>
    <cellStyle name="Nuovo 12 4 3" xfId="2730" xr:uid="{00000000-0005-0000-0000-000055200000}"/>
    <cellStyle name="Nuovo 12 5" xfId="1137" xr:uid="{00000000-0005-0000-0000-000056200000}"/>
    <cellStyle name="Nuovo 13" xfId="1138" xr:uid="{00000000-0005-0000-0000-000057200000}"/>
    <cellStyle name="Nuovo 13 2" xfId="1139" xr:uid="{00000000-0005-0000-0000-000058200000}"/>
    <cellStyle name="Nuovo 13 2 2" xfId="2732" xr:uid="{00000000-0005-0000-0000-000059200000}"/>
    <cellStyle name="Nuovo 13 3" xfId="1140" xr:uid="{00000000-0005-0000-0000-00005A200000}"/>
    <cellStyle name="Nuovo 13 3 2" xfId="1141" xr:uid="{00000000-0005-0000-0000-00005B200000}"/>
    <cellStyle name="Nuovo 13 3 3" xfId="1142" xr:uid="{00000000-0005-0000-0000-00005C200000}"/>
    <cellStyle name="Nuovo 13 3 3 2" xfId="2734" xr:uid="{00000000-0005-0000-0000-00005D200000}"/>
    <cellStyle name="Nuovo 13 3 4" xfId="2733" xr:uid="{00000000-0005-0000-0000-00005E200000}"/>
    <cellStyle name="Nuovo 13 4" xfId="1143" xr:uid="{00000000-0005-0000-0000-00005F200000}"/>
    <cellStyle name="Nuovo 13 4 2" xfId="1144" xr:uid="{00000000-0005-0000-0000-000060200000}"/>
    <cellStyle name="Nuovo 13 4 2 2" xfId="2736" xr:uid="{00000000-0005-0000-0000-000061200000}"/>
    <cellStyle name="Nuovo 13 4 3" xfId="2735" xr:uid="{00000000-0005-0000-0000-000062200000}"/>
    <cellStyle name="Nuovo 13 5" xfId="1145" xr:uid="{00000000-0005-0000-0000-000063200000}"/>
    <cellStyle name="Nuovo 14" xfId="1146" xr:uid="{00000000-0005-0000-0000-000064200000}"/>
    <cellStyle name="Nuovo 14 2" xfId="1147" xr:uid="{00000000-0005-0000-0000-000065200000}"/>
    <cellStyle name="Nuovo 14 2 2" xfId="2737" xr:uid="{00000000-0005-0000-0000-000066200000}"/>
    <cellStyle name="Nuovo 14 3" xfId="1148" xr:uid="{00000000-0005-0000-0000-000067200000}"/>
    <cellStyle name="Nuovo 14 3 2" xfId="1149" xr:uid="{00000000-0005-0000-0000-000068200000}"/>
    <cellStyle name="Nuovo 14 3 3" xfId="1150" xr:uid="{00000000-0005-0000-0000-000069200000}"/>
    <cellStyle name="Nuovo 14 3 3 2" xfId="2739" xr:uid="{00000000-0005-0000-0000-00006A200000}"/>
    <cellStyle name="Nuovo 14 3 4" xfId="2738" xr:uid="{00000000-0005-0000-0000-00006B200000}"/>
    <cellStyle name="Nuovo 14 4" xfId="1151" xr:uid="{00000000-0005-0000-0000-00006C200000}"/>
    <cellStyle name="Nuovo 14 4 2" xfId="1152" xr:uid="{00000000-0005-0000-0000-00006D200000}"/>
    <cellStyle name="Nuovo 14 4 2 2" xfId="2741" xr:uid="{00000000-0005-0000-0000-00006E200000}"/>
    <cellStyle name="Nuovo 14 4 3" xfId="2740" xr:uid="{00000000-0005-0000-0000-00006F200000}"/>
    <cellStyle name="Nuovo 14 5" xfId="1153" xr:uid="{00000000-0005-0000-0000-000070200000}"/>
    <cellStyle name="Nuovo 15" xfId="1154" xr:uid="{00000000-0005-0000-0000-000071200000}"/>
    <cellStyle name="Nuovo 15 2" xfId="1155" xr:uid="{00000000-0005-0000-0000-000072200000}"/>
    <cellStyle name="Nuovo 15 2 2" xfId="2742" xr:uid="{00000000-0005-0000-0000-000073200000}"/>
    <cellStyle name="Nuovo 15 3" xfId="1156" xr:uid="{00000000-0005-0000-0000-000074200000}"/>
    <cellStyle name="Nuovo 15 3 2" xfId="1157" xr:uid="{00000000-0005-0000-0000-000075200000}"/>
    <cellStyle name="Nuovo 15 3 3" xfId="1158" xr:uid="{00000000-0005-0000-0000-000076200000}"/>
    <cellStyle name="Nuovo 15 3 3 2" xfId="2744" xr:uid="{00000000-0005-0000-0000-000077200000}"/>
    <cellStyle name="Nuovo 15 3 4" xfId="2743" xr:uid="{00000000-0005-0000-0000-000078200000}"/>
    <cellStyle name="Nuovo 15 4" xfId="1159" xr:uid="{00000000-0005-0000-0000-000079200000}"/>
    <cellStyle name="Nuovo 15 4 2" xfId="1160" xr:uid="{00000000-0005-0000-0000-00007A200000}"/>
    <cellStyle name="Nuovo 15 4 2 2" xfId="2746" xr:uid="{00000000-0005-0000-0000-00007B200000}"/>
    <cellStyle name="Nuovo 15 4 3" xfId="2745" xr:uid="{00000000-0005-0000-0000-00007C200000}"/>
    <cellStyle name="Nuovo 15 5" xfId="1161" xr:uid="{00000000-0005-0000-0000-00007D200000}"/>
    <cellStyle name="Nuovo 16" xfId="1162" xr:uid="{00000000-0005-0000-0000-00007E200000}"/>
    <cellStyle name="Nuovo 16 2" xfId="1163" xr:uid="{00000000-0005-0000-0000-00007F200000}"/>
    <cellStyle name="Nuovo 16 2 2" xfId="2747" xr:uid="{00000000-0005-0000-0000-000080200000}"/>
    <cellStyle name="Nuovo 16 3" xfId="1164" xr:uid="{00000000-0005-0000-0000-000081200000}"/>
    <cellStyle name="Nuovo 16 3 2" xfId="1165" xr:uid="{00000000-0005-0000-0000-000082200000}"/>
    <cellStyle name="Nuovo 16 3 3" xfId="1166" xr:uid="{00000000-0005-0000-0000-000083200000}"/>
    <cellStyle name="Nuovo 16 3 3 2" xfId="2749" xr:uid="{00000000-0005-0000-0000-000084200000}"/>
    <cellStyle name="Nuovo 16 3 4" xfId="2748" xr:uid="{00000000-0005-0000-0000-000085200000}"/>
    <cellStyle name="Nuovo 16 4" xfId="1167" xr:uid="{00000000-0005-0000-0000-000086200000}"/>
    <cellStyle name="Nuovo 16 4 2" xfId="1168" xr:uid="{00000000-0005-0000-0000-000087200000}"/>
    <cellStyle name="Nuovo 16 4 2 2" xfId="2751" xr:uid="{00000000-0005-0000-0000-000088200000}"/>
    <cellStyle name="Nuovo 16 4 3" xfId="2750" xr:uid="{00000000-0005-0000-0000-000089200000}"/>
    <cellStyle name="Nuovo 16 5" xfId="1169" xr:uid="{00000000-0005-0000-0000-00008A200000}"/>
    <cellStyle name="Nuovo 17" xfId="1170" xr:uid="{00000000-0005-0000-0000-00008B200000}"/>
    <cellStyle name="Nuovo 17 2" xfId="1171" xr:uid="{00000000-0005-0000-0000-00008C200000}"/>
    <cellStyle name="Nuovo 17 2 2" xfId="2752" xr:uid="{00000000-0005-0000-0000-00008D200000}"/>
    <cellStyle name="Nuovo 17 3" xfId="1172" xr:uid="{00000000-0005-0000-0000-00008E200000}"/>
    <cellStyle name="Nuovo 17 3 2" xfId="1173" xr:uid="{00000000-0005-0000-0000-00008F200000}"/>
    <cellStyle name="Nuovo 17 3 3" xfId="1174" xr:uid="{00000000-0005-0000-0000-000090200000}"/>
    <cellStyle name="Nuovo 17 3 3 2" xfId="2754" xr:uid="{00000000-0005-0000-0000-000091200000}"/>
    <cellStyle name="Nuovo 17 3 4" xfId="2753" xr:uid="{00000000-0005-0000-0000-000092200000}"/>
    <cellStyle name="Nuovo 17 4" xfId="1175" xr:uid="{00000000-0005-0000-0000-000093200000}"/>
    <cellStyle name="Nuovo 17 4 2" xfId="1176" xr:uid="{00000000-0005-0000-0000-000094200000}"/>
    <cellStyle name="Nuovo 17 4 2 2" xfId="2756" xr:uid="{00000000-0005-0000-0000-000095200000}"/>
    <cellStyle name="Nuovo 17 4 3" xfId="2755" xr:uid="{00000000-0005-0000-0000-000096200000}"/>
    <cellStyle name="Nuovo 17 5" xfId="1177" xr:uid="{00000000-0005-0000-0000-000097200000}"/>
    <cellStyle name="Nuovo 18" xfId="1178" xr:uid="{00000000-0005-0000-0000-000098200000}"/>
    <cellStyle name="Nuovo 18 2" xfId="1179" xr:uid="{00000000-0005-0000-0000-000099200000}"/>
    <cellStyle name="Nuovo 18 2 2" xfId="2757" xr:uid="{00000000-0005-0000-0000-00009A200000}"/>
    <cellStyle name="Nuovo 18 3" xfId="1180" xr:uid="{00000000-0005-0000-0000-00009B200000}"/>
    <cellStyle name="Nuovo 18 3 2" xfId="1181" xr:uid="{00000000-0005-0000-0000-00009C200000}"/>
    <cellStyle name="Nuovo 18 3 3" xfId="1182" xr:uid="{00000000-0005-0000-0000-00009D200000}"/>
    <cellStyle name="Nuovo 18 3 3 2" xfId="2759" xr:uid="{00000000-0005-0000-0000-00009E200000}"/>
    <cellStyle name="Nuovo 18 3 4" xfId="2758" xr:uid="{00000000-0005-0000-0000-00009F200000}"/>
    <cellStyle name="Nuovo 18 4" xfId="1183" xr:uid="{00000000-0005-0000-0000-0000A0200000}"/>
    <cellStyle name="Nuovo 18 4 2" xfId="1184" xr:uid="{00000000-0005-0000-0000-0000A1200000}"/>
    <cellStyle name="Nuovo 18 4 2 2" xfId="2761" xr:uid="{00000000-0005-0000-0000-0000A2200000}"/>
    <cellStyle name="Nuovo 18 4 3" xfId="2760" xr:uid="{00000000-0005-0000-0000-0000A3200000}"/>
    <cellStyle name="Nuovo 18 5" xfId="1185" xr:uid="{00000000-0005-0000-0000-0000A4200000}"/>
    <cellStyle name="Nuovo 19" xfId="1186" xr:uid="{00000000-0005-0000-0000-0000A5200000}"/>
    <cellStyle name="Nuovo 19 2" xfId="1187" xr:uid="{00000000-0005-0000-0000-0000A6200000}"/>
    <cellStyle name="Nuovo 19 2 2" xfId="2762" xr:uid="{00000000-0005-0000-0000-0000A7200000}"/>
    <cellStyle name="Nuovo 19 3" xfId="1188" xr:uid="{00000000-0005-0000-0000-0000A8200000}"/>
    <cellStyle name="Nuovo 19 3 2" xfId="1189" xr:uid="{00000000-0005-0000-0000-0000A9200000}"/>
    <cellStyle name="Nuovo 19 3 3" xfId="1190" xr:uid="{00000000-0005-0000-0000-0000AA200000}"/>
    <cellStyle name="Nuovo 19 3 3 2" xfId="2764" xr:uid="{00000000-0005-0000-0000-0000AB200000}"/>
    <cellStyle name="Nuovo 19 3 4" xfId="2763" xr:uid="{00000000-0005-0000-0000-0000AC200000}"/>
    <cellStyle name="Nuovo 19 4" xfId="1191" xr:uid="{00000000-0005-0000-0000-0000AD200000}"/>
    <cellStyle name="Nuovo 19 4 2" xfId="1192" xr:uid="{00000000-0005-0000-0000-0000AE200000}"/>
    <cellStyle name="Nuovo 19 4 2 2" xfId="2766" xr:uid="{00000000-0005-0000-0000-0000AF200000}"/>
    <cellStyle name="Nuovo 19 4 3" xfId="2765" xr:uid="{00000000-0005-0000-0000-0000B0200000}"/>
    <cellStyle name="Nuovo 19 5" xfId="1193" xr:uid="{00000000-0005-0000-0000-0000B1200000}"/>
    <cellStyle name="Nuovo 2" xfId="1194" xr:uid="{00000000-0005-0000-0000-0000B2200000}"/>
    <cellStyle name="Nuovo 2 2" xfId="1195" xr:uid="{00000000-0005-0000-0000-0000B3200000}"/>
    <cellStyle name="Nuovo 2 2 2" xfId="2767" xr:uid="{00000000-0005-0000-0000-0000B4200000}"/>
    <cellStyle name="Nuovo 2 3" xfId="1196" xr:uid="{00000000-0005-0000-0000-0000B5200000}"/>
    <cellStyle name="Nuovo 2 3 2" xfId="1197" xr:uid="{00000000-0005-0000-0000-0000B6200000}"/>
    <cellStyle name="Nuovo 2 3 3" xfId="1198" xr:uid="{00000000-0005-0000-0000-0000B7200000}"/>
    <cellStyle name="Nuovo 2 3 3 2" xfId="2769" xr:uid="{00000000-0005-0000-0000-0000B8200000}"/>
    <cellStyle name="Nuovo 2 3 4" xfId="2768" xr:uid="{00000000-0005-0000-0000-0000B9200000}"/>
    <cellStyle name="Nuovo 2 4" xfId="1199" xr:uid="{00000000-0005-0000-0000-0000BA200000}"/>
    <cellStyle name="Nuovo 2 4 2" xfId="1200" xr:uid="{00000000-0005-0000-0000-0000BB200000}"/>
    <cellStyle name="Nuovo 2 4 2 2" xfId="2771" xr:uid="{00000000-0005-0000-0000-0000BC200000}"/>
    <cellStyle name="Nuovo 2 4 3" xfId="2770" xr:uid="{00000000-0005-0000-0000-0000BD200000}"/>
    <cellStyle name="Nuovo 2 5" xfId="1201" xr:uid="{00000000-0005-0000-0000-0000BE200000}"/>
    <cellStyle name="Nuovo 20" xfId="1202" xr:uid="{00000000-0005-0000-0000-0000BF200000}"/>
    <cellStyle name="Nuovo 20 2" xfId="1203" xr:uid="{00000000-0005-0000-0000-0000C0200000}"/>
    <cellStyle name="Nuovo 20 2 2" xfId="2772" xr:uid="{00000000-0005-0000-0000-0000C1200000}"/>
    <cellStyle name="Nuovo 20 3" xfId="1204" xr:uid="{00000000-0005-0000-0000-0000C2200000}"/>
    <cellStyle name="Nuovo 20 3 2" xfId="1205" xr:uid="{00000000-0005-0000-0000-0000C3200000}"/>
    <cellStyle name="Nuovo 20 3 3" xfId="1206" xr:uid="{00000000-0005-0000-0000-0000C4200000}"/>
    <cellStyle name="Nuovo 20 3 3 2" xfId="2774" xr:uid="{00000000-0005-0000-0000-0000C5200000}"/>
    <cellStyle name="Nuovo 20 3 4" xfId="2773" xr:uid="{00000000-0005-0000-0000-0000C6200000}"/>
    <cellStyle name="Nuovo 20 4" xfId="1207" xr:uid="{00000000-0005-0000-0000-0000C7200000}"/>
    <cellStyle name="Nuovo 20 4 2" xfId="1208" xr:uid="{00000000-0005-0000-0000-0000C8200000}"/>
    <cellStyle name="Nuovo 20 4 2 2" xfId="2776" xr:uid="{00000000-0005-0000-0000-0000C9200000}"/>
    <cellStyle name="Nuovo 20 4 3" xfId="2775" xr:uid="{00000000-0005-0000-0000-0000CA200000}"/>
    <cellStyle name="Nuovo 20 5" xfId="1209" xr:uid="{00000000-0005-0000-0000-0000CB200000}"/>
    <cellStyle name="Nuovo 21" xfId="1210" xr:uid="{00000000-0005-0000-0000-0000CC200000}"/>
    <cellStyle name="Nuovo 21 2" xfId="1211" xr:uid="{00000000-0005-0000-0000-0000CD200000}"/>
    <cellStyle name="Nuovo 21 2 2" xfId="2777" xr:uid="{00000000-0005-0000-0000-0000CE200000}"/>
    <cellStyle name="Nuovo 21 3" xfId="1212" xr:uid="{00000000-0005-0000-0000-0000CF200000}"/>
    <cellStyle name="Nuovo 21 3 2" xfId="1213" xr:uid="{00000000-0005-0000-0000-0000D0200000}"/>
    <cellStyle name="Nuovo 21 3 3" xfId="1214" xr:uid="{00000000-0005-0000-0000-0000D1200000}"/>
    <cellStyle name="Nuovo 21 3 3 2" xfId="2779" xr:uid="{00000000-0005-0000-0000-0000D2200000}"/>
    <cellStyle name="Nuovo 21 3 4" xfId="2778" xr:uid="{00000000-0005-0000-0000-0000D3200000}"/>
    <cellStyle name="Nuovo 21 4" xfId="1215" xr:uid="{00000000-0005-0000-0000-0000D4200000}"/>
    <cellStyle name="Nuovo 21 4 2" xfId="1216" xr:uid="{00000000-0005-0000-0000-0000D5200000}"/>
    <cellStyle name="Nuovo 21 4 2 2" xfId="2781" xr:uid="{00000000-0005-0000-0000-0000D6200000}"/>
    <cellStyle name="Nuovo 21 4 3" xfId="2780" xr:uid="{00000000-0005-0000-0000-0000D7200000}"/>
    <cellStyle name="Nuovo 21 5" xfId="1217" xr:uid="{00000000-0005-0000-0000-0000D8200000}"/>
    <cellStyle name="Nuovo 22" xfId="1218" xr:uid="{00000000-0005-0000-0000-0000D9200000}"/>
    <cellStyle name="Nuovo 22 2" xfId="1219" xr:uid="{00000000-0005-0000-0000-0000DA200000}"/>
    <cellStyle name="Nuovo 22 2 2" xfId="2782" xr:uid="{00000000-0005-0000-0000-0000DB200000}"/>
    <cellStyle name="Nuovo 22 3" xfId="1220" xr:uid="{00000000-0005-0000-0000-0000DC200000}"/>
    <cellStyle name="Nuovo 22 3 2" xfId="1221" xr:uid="{00000000-0005-0000-0000-0000DD200000}"/>
    <cellStyle name="Nuovo 22 3 3" xfId="1222" xr:uid="{00000000-0005-0000-0000-0000DE200000}"/>
    <cellStyle name="Nuovo 22 3 3 2" xfId="2784" xr:uid="{00000000-0005-0000-0000-0000DF200000}"/>
    <cellStyle name="Nuovo 22 3 4" xfId="2783" xr:uid="{00000000-0005-0000-0000-0000E0200000}"/>
    <cellStyle name="Nuovo 22 4" xfId="1223" xr:uid="{00000000-0005-0000-0000-0000E1200000}"/>
    <cellStyle name="Nuovo 22 4 2" xfId="1224" xr:uid="{00000000-0005-0000-0000-0000E2200000}"/>
    <cellStyle name="Nuovo 22 4 2 2" xfId="2786" xr:uid="{00000000-0005-0000-0000-0000E3200000}"/>
    <cellStyle name="Nuovo 22 4 3" xfId="2785" xr:uid="{00000000-0005-0000-0000-0000E4200000}"/>
    <cellStyle name="Nuovo 22 5" xfId="1225" xr:uid="{00000000-0005-0000-0000-0000E5200000}"/>
    <cellStyle name="Nuovo 23" xfId="1226" xr:uid="{00000000-0005-0000-0000-0000E6200000}"/>
    <cellStyle name="Nuovo 23 2" xfId="1227" xr:uid="{00000000-0005-0000-0000-0000E7200000}"/>
    <cellStyle name="Nuovo 23 2 2" xfId="2787" xr:uid="{00000000-0005-0000-0000-0000E8200000}"/>
    <cellStyle name="Nuovo 23 3" xfId="1228" xr:uid="{00000000-0005-0000-0000-0000E9200000}"/>
    <cellStyle name="Nuovo 23 3 2" xfId="1229" xr:uid="{00000000-0005-0000-0000-0000EA200000}"/>
    <cellStyle name="Nuovo 23 3 3" xfId="1230" xr:uid="{00000000-0005-0000-0000-0000EB200000}"/>
    <cellStyle name="Nuovo 23 3 3 2" xfId="2789" xr:uid="{00000000-0005-0000-0000-0000EC200000}"/>
    <cellStyle name="Nuovo 23 3 4" xfId="2788" xr:uid="{00000000-0005-0000-0000-0000ED200000}"/>
    <cellStyle name="Nuovo 23 4" xfId="1231" xr:uid="{00000000-0005-0000-0000-0000EE200000}"/>
    <cellStyle name="Nuovo 23 4 2" xfId="1232" xr:uid="{00000000-0005-0000-0000-0000EF200000}"/>
    <cellStyle name="Nuovo 23 4 2 2" xfId="2791" xr:uid="{00000000-0005-0000-0000-0000F0200000}"/>
    <cellStyle name="Nuovo 23 4 3" xfId="2790" xr:uid="{00000000-0005-0000-0000-0000F1200000}"/>
    <cellStyle name="Nuovo 23 5" xfId="1233" xr:uid="{00000000-0005-0000-0000-0000F2200000}"/>
    <cellStyle name="Nuovo 24" xfId="1234" xr:uid="{00000000-0005-0000-0000-0000F3200000}"/>
    <cellStyle name="Nuovo 24 2" xfId="1235" xr:uid="{00000000-0005-0000-0000-0000F4200000}"/>
    <cellStyle name="Nuovo 24 2 2" xfId="2792" xr:uid="{00000000-0005-0000-0000-0000F5200000}"/>
    <cellStyle name="Nuovo 24 3" xfId="1236" xr:uid="{00000000-0005-0000-0000-0000F6200000}"/>
    <cellStyle name="Nuovo 24 3 2" xfId="1237" xr:uid="{00000000-0005-0000-0000-0000F7200000}"/>
    <cellStyle name="Nuovo 24 3 3" xfId="1238" xr:uid="{00000000-0005-0000-0000-0000F8200000}"/>
    <cellStyle name="Nuovo 24 3 3 2" xfId="2794" xr:uid="{00000000-0005-0000-0000-0000F9200000}"/>
    <cellStyle name="Nuovo 24 3 4" xfId="2793" xr:uid="{00000000-0005-0000-0000-0000FA200000}"/>
    <cellStyle name="Nuovo 24 4" xfId="1239" xr:uid="{00000000-0005-0000-0000-0000FB200000}"/>
    <cellStyle name="Nuovo 24 4 2" xfId="1240" xr:uid="{00000000-0005-0000-0000-0000FC200000}"/>
    <cellStyle name="Nuovo 24 4 2 2" xfId="2796" xr:uid="{00000000-0005-0000-0000-0000FD200000}"/>
    <cellStyle name="Nuovo 24 4 3" xfId="2795" xr:uid="{00000000-0005-0000-0000-0000FE200000}"/>
    <cellStyle name="Nuovo 24 5" xfId="1241" xr:uid="{00000000-0005-0000-0000-0000FF200000}"/>
    <cellStyle name="Nuovo 25" xfId="1242" xr:uid="{00000000-0005-0000-0000-000000210000}"/>
    <cellStyle name="Nuovo 25 2" xfId="1243" xr:uid="{00000000-0005-0000-0000-000001210000}"/>
    <cellStyle name="Nuovo 25 2 2" xfId="2797" xr:uid="{00000000-0005-0000-0000-000002210000}"/>
    <cellStyle name="Nuovo 25 3" xfId="1244" xr:uid="{00000000-0005-0000-0000-000003210000}"/>
    <cellStyle name="Nuovo 25 3 2" xfId="1245" xr:uid="{00000000-0005-0000-0000-000004210000}"/>
    <cellStyle name="Nuovo 25 3 3" xfId="1246" xr:uid="{00000000-0005-0000-0000-000005210000}"/>
    <cellStyle name="Nuovo 25 3 3 2" xfId="2799" xr:uid="{00000000-0005-0000-0000-000006210000}"/>
    <cellStyle name="Nuovo 25 3 4" xfId="2798" xr:uid="{00000000-0005-0000-0000-000007210000}"/>
    <cellStyle name="Nuovo 25 4" xfId="1247" xr:uid="{00000000-0005-0000-0000-000008210000}"/>
    <cellStyle name="Nuovo 25 4 2" xfId="1248" xr:uid="{00000000-0005-0000-0000-000009210000}"/>
    <cellStyle name="Nuovo 25 4 2 2" xfId="2801" xr:uid="{00000000-0005-0000-0000-00000A210000}"/>
    <cellStyle name="Nuovo 25 4 3" xfId="2800" xr:uid="{00000000-0005-0000-0000-00000B210000}"/>
    <cellStyle name="Nuovo 25 5" xfId="1249" xr:uid="{00000000-0005-0000-0000-00000C210000}"/>
    <cellStyle name="Nuovo 26" xfId="1250" xr:uid="{00000000-0005-0000-0000-00000D210000}"/>
    <cellStyle name="Nuovo 26 2" xfId="1251" xr:uid="{00000000-0005-0000-0000-00000E210000}"/>
    <cellStyle name="Nuovo 26 2 2" xfId="2802" xr:uid="{00000000-0005-0000-0000-00000F210000}"/>
    <cellStyle name="Nuovo 26 3" xfId="1252" xr:uid="{00000000-0005-0000-0000-000010210000}"/>
    <cellStyle name="Nuovo 26 3 2" xfId="1253" xr:uid="{00000000-0005-0000-0000-000011210000}"/>
    <cellStyle name="Nuovo 26 3 3" xfId="1254" xr:uid="{00000000-0005-0000-0000-000012210000}"/>
    <cellStyle name="Nuovo 26 3 3 2" xfId="2804" xr:uid="{00000000-0005-0000-0000-000013210000}"/>
    <cellStyle name="Nuovo 26 3 4" xfId="2803" xr:uid="{00000000-0005-0000-0000-000014210000}"/>
    <cellStyle name="Nuovo 26 4" xfId="1255" xr:uid="{00000000-0005-0000-0000-000015210000}"/>
    <cellStyle name="Nuovo 26 4 2" xfId="1256" xr:uid="{00000000-0005-0000-0000-000016210000}"/>
    <cellStyle name="Nuovo 26 4 2 2" xfId="2806" xr:uid="{00000000-0005-0000-0000-000017210000}"/>
    <cellStyle name="Nuovo 26 4 3" xfId="2805" xr:uid="{00000000-0005-0000-0000-000018210000}"/>
    <cellStyle name="Nuovo 26 5" xfId="1257" xr:uid="{00000000-0005-0000-0000-000019210000}"/>
    <cellStyle name="Nuovo 27" xfId="1258" xr:uid="{00000000-0005-0000-0000-00001A210000}"/>
    <cellStyle name="Nuovo 27 2" xfId="1259" xr:uid="{00000000-0005-0000-0000-00001B210000}"/>
    <cellStyle name="Nuovo 27 2 2" xfId="2807" xr:uid="{00000000-0005-0000-0000-00001C210000}"/>
    <cellStyle name="Nuovo 27 3" xfId="1260" xr:uid="{00000000-0005-0000-0000-00001D210000}"/>
    <cellStyle name="Nuovo 27 3 2" xfId="1261" xr:uid="{00000000-0005-0000-0000-00001E210000}"/>
    <cellStyle name="Nuovo 27 3 3" xfId="1262" xr:uid="{00000000-0005-0000-0000-00001F210000}"/>
    <cellStyle name="Nuovo 27 3 3 2" xfId="2809" xr:uid="{00000000-0005-0000-0000-000020210000}"/>
    <cellStyle name="Nuovo 27 3 4" xfId="2808" xr:uid="{00000000-0005-0000-0000-000021210000}"/>
    <cellStyle name="Nuovo 27 4" xfId="1263" xr:uid="{00000000-0005-0000-0000-000022210000}"/>
    <cellStyle name="Nuovo 27 4 2" xfId="1264" xr:uid="{00000000-0005-0000-0000-000023210000}"/>
    <cellStyle name="Nuovo 27 4 2 2" xfId="2811" xr:uid="{00000000-0005-0000-0000-000024210000}"/>
    <cellStyle name="Nuovo 27 4 3" xfId="2810" xr:uid="{00000000-0005-0000-0000-000025210000}"/>
    <cellStyle name="Nuovo 27 5" xfId="1265" xr:uid="{00000000-0005-0000-0000-000026210000}"/>
    <cellStyle name="Nuovo 28" xfId="1266" xr:uid="{00000000-0005-0000-0000-000027210000}"/>
    <cellStyle name="Nuovo 28 2" xfId="1267" xr:uid="{00000000-0005-0000-0000-000028210000}"/>
    <cellStyle name="Nuovo 28 2 2" xfId="2812" xr:uid="{00000000-0005-0000-0000-000029210000}"/>
    <cellStyle name="Nuovo 28 3" xfId="1268" xr:uid="{00000000-0005-0000-0000-00002A210000}"/>
    <cellStyle name="Nuovo 28 3 2" xfId="1269" xr:uid="{00000000-0005-0000-0000-00002B210000}"/>
    <cellStyle name="Nuovo 28 3 3" xfId="1270" xr:uid="{00000000-0005-0000-0000-00002C210000}"/>
    <cellStyle name="Nuovo 28 3 3 2" xfId="2814" xr:uid="{00000000-0005-0000-0000-00002D210000}"/>
    <cellStyle name="Nuovo 28 3 4" xfId="2813" xr:uid="{00000000-0005-0000-0000-00002E210000}"/>
    <cellStyle name="Nuovo 28 4" xfId="1271" xr:uid="{00000000-0005-0000-0000-00002F210000}"/>
    <cellStyle name="Nuovo 28 4 2" xfId="1272" xr:uid="{00000000-0005-0000-0000-000030210000}"/>
    <cellStyle name="Nuovo 28 4 2 2" xfId="2816" xr:uid="{00000000-0005-0000-0000-000031210000}"/>
    <cellStyle name="Nuovo 28 4 3" xfId="2815" xr:uid="{00000000-0005-0000-0000-000032210000}"/>
    <cellStyle name="Nuovo 28 5" xfId="1273" xr:uid="{00000000-0005-0000-0000-000033210000}"/>
    <cellStyle name="Nuovo 29" xfId="1274" xr:uid="{00000000-0005-0000-0000-000034210000}"/>
    <cellStyle name="Nuovo 29 2" xfId="1275" xr:uid="{00000000-0005-0000-0000-000035210000}"/>
    <cellStyle name="Nuovo 29 2 2" xfId="2817" xr:uid="{00000000-0005-0000-0000-000036210000}"/>
    <cellStyle name="Nuovo 29 3" xfId="1276" xr:uid="{00000000-0005-0000-0000-000037210000}"/>
    <cellStyle name="Nuovo 29 3 2" xfId="1277" xr:uid="{00000000-0005-0000-0000-000038210000}"/>
    <cellStyle name="Nuovo 29 3 3" xfId="1278" xr:uid="{00000000-0005-0000-0000-000039210000}"/>
    <cellStyle name="Nuovo 29 3 3 2" xfId="2819" xr:uid="{00000000-0005-0000-0000-00003A210000}"/>
    <cellStyle name="Nuovo 29 3 4" xfId="2818" xr:uid="{00000000-0005-0000-0000-00003B210000}"/>
    <cellStyle name="Nuovo 29 4" xfId="1279" xr:uid="{00000000-0005-0000-0000-00003C210000}"/>
    <cellStyle name="Nuovo 29 4 2" xfId="1280" xr:uid="{00000000-0005-0000-0000-00003D210000}"/>
    <cellStyle name="Nuovo 29 4 2 2" xfId="2821" xr:uid="{00000000-0005-0000-0000-00003E210000}"/>
    <cellStyle name="Nuovo 29 4 3" xfId="2820" xr:uid="{00000000-0005-0000-0000-00003F210000}"/>
    <cellStyle name="Nuovo 29 5" xfId="1281" xr:uid="{00000000-0005-0000-0000-000040210000}"/>
    <cellStyle name="Nuovo 3" xfId="1282" xr:uid="{00000000-0005-0000-0000-000041210000}"/>
    <cellStyle name="Nuovo 3 2" xfId="1283" xr:uid="{00000000-0005-0000-0000-000042210000}"/>
    <cellStyle name="Nuovo 3 2 2" xfId="2822" xr:uid="{00000000-0005-0000-0000-000043210000}"/>
    <cellStyle name="Nuovo 3 3" xfId="1284" xr:uid="{00000000-0005-0000-0000-000044210000}"/>
    <cellStyle name="Nuovo 3 3 2" xfId="1285" xr:uid="{00000000-0005-0000-0000-000045210000}"/>
    <cellStyle name="Nuovo 3 3 3" xfId="1286" xr:uid="{00000000-0005-0000-0000-000046210000}"/>
    <cellStyle name="Nuovo 3 3 3 2" xfId="2824" xr:uid="{00000000-0005-0000-0000-000047210000}"/>
    <cellStyle name="Nuovo 3 3 4" xfId="2823" xr:uid="{00000000-0005-0000-0000-000048210000}"/>
    <cellStyle name="Nuovo 3 4" xfId="1287" xr:uid="{00000000-0005-0000-0000-000049210000}"/>
    <cellStyle name="Nuovo 3 4 2" xfId="1288" xr:uid="{00000000-0005-0000-0000-00004A210000}"/>
    <cellStyle name="Nuovo 3 4 2 2" xfId="2826" xr:uid="{00000000-0005-0000-0000-00004B210000}"/>
    <cellStyle name="Nuovo 3 4 3" xfId="2825" xr:uid="{00000000-0005-0000-0000-00004C210000}"/>
    <cellStyle name="Nuovo 3 5" xfId="1289" xr:uid="{00000000-0005-0000-0000-00004D210000}"/>
    <cellStyle name="Nuovo 30" xfId="1290" xr:uid="{00000000-0005-0000-0000-00004E210000}"/>
    <cellStyle name="Nuovo 30 2" xfId="1291" xr:uid="{00000000-0005-0000-0000-00004F210000}"/>
    <cellStyle name="Nuovo 30 2 2" xfId="2827" xr:uid="{00000000-0005-0000-0000-000050210000}"/>
    <cellStyle name="Nuovo 30 3" xfId="1292" xr:uid="{00000000-0005-0000-0000-000051210000}"/>
    <cellStyle name="Nuovo 30 3 2" xfId="1293" xr:uid="{00000000-0005-0000-0000-000052210000}"/>
    <cellStyle name="Nuovo 30 3 3" xfId="1294" xr:uid="{00000000-0005-0000-0000-000053210000}"/>
    <cellStyle name="Nuovo 30 3 3 2" xfId="2829" xr:uid="{00000000-0005-0000-0000-000054210000}"/>
    <cellStyle name="Nuovo 30 3 4" xfId="2828" xr:uid="{00000000-0005-0000-0000-000055210000}"/>
    <cellStyle name="Nuovo 30 4" xfId="1295" xr:uid="{00000000-0005-0000-0000-000056210000}"/>
    <cellStyle name="Nuovo 30 4 2" xfId="1296" xr:uid="{00000000-0005-0000-0000-000057210000}"/>
    <cellStyle name="Nuovo 30 4 2 2" xfId="2831" xr:uid="{00000000-0005-0000-0000-000058210000}"/>
    <cellStyle name="Nuovo 30 4 3" xfId="2830" xr:uid="{00000000-0005-0000-0000-000059210000}"/>
    <cellStyle name="Nuovo 30 5" xfId="1297" xr:uid="{00000000-0005-0000-0000-00005A210000}"/>
    <cellStyle name="Nuovo 31" xfId="1298" xr:uid="{00000000-0005-0000-0000-00005B210000}"/>
    <cellStyle name="Nuovo 31 2" xfId="1299" xr:uid="{00000000-0005-0000-0000-00005C210000}"/>
    <cellStyle name="Nuovo 31 2 2" xfId="2832" xr:uid="{00000000-0005-0000-0000-00005D210000}"/>
    <cellStyle name="Nuovo 31 3" xfId="1300" xr:uid="{00000000-0005-0000-0000-00005E210000}"/>
    <cellStyle name="Nuovo 31 3 2" xfId="1301" xr:uid="{00000000-0005-0000-0000-00005F210000}"/>
    <cellStyle name="Nuovo 31 3 3" xfId="1302" xr:uid="{00000000-0005-0000-0000-000060210000}"/>
    <cellStyle name="Nuovo 31 3 3 2" xfId="2834" xr:uid="{00000000-0005-0000-0000-000061210000}"/>
    <cellStyle name="Nuovo 31 3 4" xfId="2833" xr:uid="{00000000-0005-0000-0000-000062210000}"/>
    <cellStyle name="Nuovo 31 4" xfId="1303" xr:uid="{00000000-0005-0000-0000-000063210000}"/>
    <cellStyle name="Nuovo 31 4 2" xfId="1304" xr:uid="{00000000-0005-0000-0000-000064210000}"/>
    <cellStyle name="Nuovo 31 4 2 2" xfId="2836" xr:uid="{00000000-0005-0000-0000-000065210000}"/>
    <cellStyle name="Nuovo 31 4 3" xfId="2835" xr:uid="{00000000-0005-0000-0000-000066210000}"/>
    <cellStyle name="Nuovo 31 5" xfId="1305" xr:uid="{00000000-0005-0000-0000-000067210000}"/>
    <cellStyle name="Nuovo 32" xfId="1306" xr:uid="{00000000-0005-0000-0000-000068210000}"/>
    <cellStyle name="Nuovo 32 2" xfId="1307" xr:uid="{00000000-0005-0000-0000-000069210000}"/>
    <cellStyle name="Nuovo 32 2 2" xfId="2837" xr:uid="{00000000-0005-0000-0000-00006A210000}"/>
    <cellStyle name="Nuovo 32 3" xfId="1308" xr:uid="{00000000-0005-0000-0000-00006B210000}"/>
    <cellStyle name="Nuovo 32 3 2" xfId="1309" xr:uid="{00000000-0005-0000-0000-00006C210000}"/>
    <cellStyle name="Nuovo 32 3 3" xfId="1310" xr:uid="{00000000-0005-0000-0000-00006D210000}"/>
    <cellStyle name="Nuovo 32 3 3 2" xfId="2839" xr:uid="{00000000-0005-0000-0000-00006E210000}"/>
    <cellStyle name="Nuovo 32 3 4" xfId="2838" xr:uid="{00000000-0005-0000-0000-00006F210000}"/>
    <cellStyle name="Nuovo 32 4" xfId="1311" xr:uid="{00000000-0005-0000-0000-000070210000}"/>
    <cellStyle name="Nuovo 32 4 2" xfId="1312" xr:uid="{00000000-0005-0000-0000-000071210000}"/>
    <cellStyle name="Nuovo 32 4 2 2" xfId="2841" xr:uid="{00000000-0005-0000-0000-000072210000}"/>
    <cellStyle name="Nuovo 32 4 3" xfId="2840" xr:uid="{00000000-0005-0000-0000-000073210000}"/>
    <cellStyle name="Nuovo 32 5" xfId="1313" xr:uid="{00000000-0005-0000-0000-000074210000}"/>
    <cellStyle name="Nuovo 33" xfId="1314" xr:uid="{00000000-0005-0000-0000-000075210000}"/>
    <cellStyle name="Nuovo 33 2" xfId="1315" xr:uid="{00000000-0005-0000-0000-000076210000}"/>
    <cellStyle name="Nuovo 33 2 2" xfId="2842" xr:uid="{00000000-0005-0000-0000-000077210000}"/>
    <cellStyle name="Nuovo 33 3" xfId="1316" xr:uid="{00000000-0005-0000-0000-000078210000}"/>
    <cellStyle name="Nuovo 33 3 2" xfId="1317" xr:uid="{00000000-0005-0000-0000-000079210000}"/>
    <cellStyle name="Nuovo 33 3 3" xfId="1318" xr:uid="{00000000-0005-0000-0000-00007A210000}"/>
    <cellStyle name="Nuovo 33 3 3 2" xfId="2844" xr:uid="{00000000-0005-0000-0000-00007B210000}"/>
    <cellStyle name="Nuovo 33 3 4" xfId="2843" xr:uid="{00000000-0005-0000-0000-00007C210000}"/>
    <cellStyle name="Nuovo 33 4" xfId="1319" xr:uid="{00000000-0005-0000-0000-00007D210000}"/>
    <cellStyle name="Nuovo 33 4 2" xfId="1320" xr:uid="{00000000-0005-0000-0000-00007E210000}"/>
    <cellStyle name="Nuovo 33 4 2 2" xfId="2846" xr:uid="{00000000-0005-0000-0000-00007F210000}"/>
    <cellStyle name="Nuovo 33 4 3" xfId="2845" xr:uid="{00000000-0005-0000-0000-000080210000}"/>
    <cellStyle name="Nuovo 33 5" xfId="1321" xr:uid="{00000000-0005-0000-0000-000081210000}"/>
    <cellStyle name="Nuovo 34" xfId="1322" xr:uid="{00000000-0005-0000-0000-000082210000}"/>
    <cellStyle name="Nuovo 34 2" xfId="1323" xr:uid="{00000000-0005-0000-0000-000083210000}"/>
    <cellStyle name="Nuovo 34 2 2" xfId="2847" xr:uid="{00000000-0005-0000-0000-000084210000}"/>
    <cellStyle name="Nuovo 34 3" xfId="1324" xr:uid="{00000000-0005-0000-0000-000085210000}"/>
    <cellStyle name="Nuovo 34 3 2" xfId="1325" xr:uid="{00000000-0005-0000-0000-000086210000}"/>
    <cellStyle name="Nuovo 34 3 3" xfId="1326" xr:uid="{00000000-0005-0000-0000-000087210000}"/>
    <cellStyle name="Nuovo 34 3 3 2" xfId="2849" xr:uid="{00000000-0005-0000-0000-000088210000}"/>
    <cellStyle name="Nuovo 34 3 4" xfId="2848" xr:uid="{00000000-0005-0000-0000-000089210000}"/>
    <cellStyle name="Nuovo 34 4" xfId="1327" xr:uid="{00000000-0005-0000-0000-00008A210000}"/>
    <cellStyle name="Nuovo 34 4 2" xfId="1328" xr:uid="{00000000-0005-0000-0000-00008B210000}"/>
    <cellStyle name="Nuovo 34 4 2 2" xfId="2851" xr:uid="{00000000-0005-0000-0000-00008C210000}"/>
    <cellStyle name="Nuovo 34 4 3" xfId="2850" xr:uid="{00000000-0005-0000-0000-00008D210000}"/>
    <cellStyle name="Nuovo 34 5" xfId="1329" xr:uid="{00000000-0005-0000-0000-00008E210000}"/>
    <cellStyle name="Nuovo 35" xfId="1330" xr:uid="{00000000-0005-0000-0000-00008F210000}"/>
    <cellStyle name="Nuovo 35 2" xfId="1331" xr:uid="{00000000-0005-0000-0000-000090210000}"/>
    <cellStyle name="Nuovo 35 2 2" xfId="2852" xr:uid="{00000000-0005-0000-0000-000091210000}"/>
    <cellStyle name="Nuovo 35 3" xfId="1332" xr:uid="{00000000-0005-0000-0000-000092210000}"/>
    <cellStyle name="Nuovo 35 3 2" xfId="1333" xr:uid="{00000000-0005-0000-0000-000093210000}"/>
    <cellStyle name="Nuovo 35 3 3" xfId="1334" xr:uid="{00000000-0005-0000-0000-000094210000}"/>
    <cellStyle name="Nuovo 35 3 3 2" xfId="2854" xr:uid="{00000000-0005-0000-0000-000095210000}"/>
    <cellStyle name="Nuovo 35 3 4" xfId="2853" xr:uid="{00000000-0005-0000-0000-000096210000}"/>
    <cellStyle name="Nuovo 35 4" xfId="1335" xr:uid="{00000000-0005-0000-0000-000097210000}"/>
    <cellStyle name="Nuovo 35 4 2" xfId="1336" xr:uid="{00000000-0005-0000-0000-000098210000}"/>
    <cellStyle name="Nuovo 35 4 2 2" xfId="2856" xr:uid="{00000000-0005-0000-0000-000099210000}"/>
    <cellStyle name="Nuovo 35 4 3" xfId="2855" xr:uid="{00000000-0005-0000-0000-00009A210000}"/>
    <cellStyle name="Nuovo 35 5" xfId="1337" xr:uid="{00000000-0005-0000-0000-00009B210000}"/>
    <cellStyle name="Nuovo 36" xfId="1338" xr:uid="{00000000-0005-0000-0000-00009C210000}"/>
    <cellStyle name="Nuovo 36 2" xfId="1339" xr:uid="{00000000-0005-0000-0000-00009D210000}"/>
    <cellStyle name="Nuovo 36 2 2" xfId="2857" xr:uid="{00000000-0005-0000-0000-00009E210000}"/>
    <cellStyle name="Nuovo 36 3" xfId="1340" xr:uid="{00000000-0005-0000-0000-00009F210000}"/>
    <cellStyle name="Nuovo 36 3 2" xfId="1341" xr:uid="{00000000-0005-0000-0000-0000A0210000}"/>
    <cellStyle name="Nuovo 36 3 3" xfId="1342" xr:uid="{00000000-0005-0000-0000-0000A1210000}"/>
    <cellStyle name="Nuovo 36 3 3 2" xfId="2859" xr:uid="{00000000-0005-0000-0000-0000A2210000}"/>
    <cellStyle name="Nuovo 36 3 4" xfId="2858" xr:uid="{00000000-0005-0000-0000-0000A3210000}"/>
    <cellStyle name="Nuovo 36 4" xfId="1343" xr:uid="{00000000-0005-0000-0000-0000A4210000}"/>
    <cellStyle name="Nuovo 36 4 2" xfId="1344" xr:uid="{00000000-0005-0000-0000-0000A5210000}"/>
    <cellStyle name="Nuovo 36 4 2 2" xfId="2861" xr:uid="{00000000-0005-0000-0000-0000A6210000}"/>
    <cellStyle name="Nuovo 36 4 3" xfId="2860" xr:uid="{00000000-0005-0000-0000-0000A7210000}"/>
    <cellStyle name="Nuovo 36 5" xfId="1345" xr:uid="{00000000-0005-0000-0000-0000A8210000}"/>
    <cellStyle name="Nuovo 37" xfId="1346" xr:uid="{00000000-0005-0000-0000-0000A9210000}"/>
    <cellStyle name="Nuovo 37 2" xfId="1347" xr:uid="{00000000-0005-0000-0000-0000AA210000}"/>
    <cellStyle name="Nuovo 37 2 2" xfId="2862" xr:uid="{00000000-0005-0000-0000-0000AB210000}"/>
    <cellStyle name="Nuovo 37 3" xfId="1348" xr:uid="{00000000-0005-0000-0000-0000AC210000}"/>
    <cellStyle name="Nuovo 37 3 2" xfId="1349" xr:uid="{00000000-0005-0000-0000-0000AD210000}"/>
    <cellStyle name="Nuovo 37 3 3" xfId="1350" xr:uid="{00000000-0005-0000-0000-0000AE210000}"/>
    <cellStyle name="Nuovo 37 3 3 2" xfId="2864" xr:uid="{00000000-0005-0000-0000-0000AF210000}"/>
    <cellStyle name="Nuovo 37 3 4" xfId="2863" xr:uid="{00000000-0005-0000-0000-0000B0210000}"/>
    <cellStyle name="Nuovo 37 4" xfId="1351" xr:uid="{00000000-0005-0000-0000-0000B1210000}"/>
    <cellStyle name="Nuovo 37 4 2" xfId="1352" xr:uid="{00000000-0005-0000-0000-0000B2210000}"/>
    <cellStyle name="Nuovo 37 4 2 2" xfId="2866" xr:uid="{00000000-0005-0000-0000-0000B3210000}"/>
    <cellStyle name="Nuovo 37 4 3" xfId="2865" xr:uid="{00000000-0005-0000-0000-0000B4210000}"/>
    <cellStyle name="Nuovo 37 5" xfId="1353" xr:uid="{00000000-0005-0000-0000-0000B5210000}"/>
    <cellStyle name="Nuovo 38" xfId="1354" xr:uid="{00000000-0005-0000-0000-0000B6210000}"/>
    <cellStyle name="Nuovo 38 2" xfId="1355" xr:uid="{00000000-0005-0000-0000-0000B7210000}"/>
    <cellStyle name="Nuovo 38 2 2" xfId="2867" xr:uid="{00000000-0005-0000-0000-0000B8210000}"/>
    <cellStyle name="Nuovo 38 3" xfId="1356" xr:uid="{00000000-0005-0000-0000-0000B9210000}"/>
    <cellStyle name="Nuovo 38 3 2" xfId="1357" xr:uid="{00000000-0005-0000-0000-0000BA210000}"/>
    <cellStyle name="Nuovo 38 3 3" xfId="1358" xr:uid="{00000000-0005-0000-0000-0000BB210000}"/>
    <cellStyle name="Nuovo 38 3 3 2" xfId="2869" xr:uid="{00000000-0005-0000-0000-0000BC210000}"/>
    <cellStyle name="Nuovo 38 3 4" xfId="2868" xr:uid="{00000000-0005-0000-0000-0000BD210000}"/>
    <cellStyle name="Nuovo 38 4" xfId="1359" xr:uid="{00000000-0005-0000-0000-0000BE210000}"/>
    <cellStyle name="Nuovo 38 4 2" xfId="1360" xr:uid="{00000000-0005-0000-0000-0000BF210000}"/>
    <cellStyle name="Nuovo 38 4 2 2" xfId="2871" xr:uid="{00000000-0005-0000-0000-0000C0210000}"/>
    <cellStyle name="Nuovo 38 4 3" xfId="2870" xr:uid="{00000000-0005-0000-0000-0000C1210000}"/>
    <cellStyle name="Nuovo 38 5" xfId="1361" xr:uid="{00000000-0005-0000-0000-0000C2210000}"/>
    <cellStyle name="Nuovo 39" xfId="1362" xr:uid="{00000000-0005-0000-0000-0000C3210000}"/>
    <cellStyle name="Nuovo 39 2" xfId="1363" xr:uid="{00000000-0005-0000-0000-0000C4210000}"/>
    <cellStyle name="Nuovo 39 2 2" xfId="2872" xr:uid="{00000000-0005-0000-0000-0000C5210000}"/>
    <cellStyle name="Nuovo 39 3" xfId="1364" xr:uid="{00000000-0005-0000-0000-0000C6210000}"/>
    <cellStyle name="Nuovo 39 3 2" xfId="1365" xr:uid="{00000000-0005-0000-0000-0000C7210000}"/>
    <cellStyle name="Nuovo 39 3 3" xfId="1366" xr:uid="{00000000-0005-0000-0000-0000C8210000}"/>
    <cellStyle name="Nuovo 39 3 3 2" xfId="2874" xr:uid="{00000000-0005-0000-0000-0000C9210000}"/>
    <cellStyle name="Nuovo 39 3 4" xfId="2873" xr:uid="{00000000-0005-0000-0000-0000CA210000}"/>
    <cellStyle name="Nuovo 39 4" xfId="1367" xr:uid="{00000000-0005-0000-0000-0000CB210000}"/>
    <cellStyle name="Nuovo 39 4 2" xfId="1368" xr:uid="{00000000-0005-0000-0000-0000CC210000}"/>
    <cellStyle name="Nuovo 39 4 2 2" xfId="2876" xr:uid="{00000000-0005-0000-0000-0000CD210000}"/>
    <cellStyle name="Nuovo 39 4 3" xfId="2875" xr:uid="{00000000-0005-0000-0000-0000CE210000}"/>
    <cellStyle name="Nuovo 39 5" xfId="1369" xr:uid="{00000000-0005-0000-0000-0000CF210000}"/>
    <cellStyle name="Nuovo 4" xfId="1370" xr:uid="{00000000-0005-0000-0000-0000D0210000}"/>
    <cellStyle name="Nuovo 4 2" xfId="1371" xr:uid="{00000000-0005-0000-0000-0000D1210000}"/>
    <cellStyle name="Nuovo 4 2 2" xfId="2877" xr:uid="{00000000-0005-0000-0000-0000D2210000}"/>
    <cellStyle name="Nuovo 4 3" xfId="1372" xr:uid="{00000000-0005-0000-0000-0000D3210000}"/>
    <cellStyle name="Nuovo 4 3 2" xfId="1373" xr:uid="{00000000-0005-0000-0000-0000D4210000}"/>
    <cellStyle name="Nuovo 4 3 3" xfId="1374" xr:uid="{00000000-0005-0000-0000-0000D5210000}"/>
    <cellStyle name="Nuovo 4 3 3 2" xfId="2879" xr:uid="{00000000-0005-0000-0000-0000D6210000}"/>
    <cellStyle name="Nuovo 4 3 4" xfId="2878" xr:uid="{00000000-0005-0000-0000-0000D7210000}"/>
    <cellStyle name="Nuovo 4 4" xfId="1375" xr:uid="{00000000-0005-0000-0000-0000D8210000}"/>
    <cellStyle name="Nuovo 4 4 2" xfId="1376" xr:uid="{00000000-0005-0000-0000-0000D9210000}"/>
    <cellStyle name="Nuovo 4 4 2 2" xfId="2881" xr:uid="{00000000-0005-0000-0000-0000DA210000}"/>
    <cellStyle name="Nuovo 4 4 3" xfId="2880" xr:uid="{00000000-0005-0000-0000-0000DB210000}"/>
    <cellStyle name="Nuovo 4 5" xfId="1377" xr:uid="{00000000-0005-0000-0000-0000DC210000}"/>
    <cellStyle name="Nuovo 40" xfId="1378" xr:uid="{00000000-0005-0000-0000-0000DD210000}"/>
    <cellStyle name="Nuovo 40 2" xfId="1379" xr:uid="{00000000-0005-0000-0000-0000DE210000}"/>
    <cellStyle name="Nuovo 40 2 2" xfId="2882" xr:uid="{00000000-0005-0000-0000-0000DF210000}"/>
    <cellStyle name="Nuovo 40 3" xfId="1380" xr:uid="{00000000-0005-0000-0000-0000E0210000}"/>
    <cellStyle name="Nuovo 40 3 2" xfId="1381" xr:uid="{00000000-0005-0000-0000-0000E1210000}"/>
    <cellStyle name="Nuovo 40 3 3" xfId="1382" xr:uid="{00000000-0005-0000-0000-0000E2210000}"/>
    <cellStyle name="Nuovo 40 3 3 2" xfId="2884" xr:uid="{00000000-0005-0000-0000-0000E3210000}"/>
    <cellStyle name="Nuovo 40 3 4" xfId="2883" xr:uid="{00000000-0005-0000-0000-0000E4210000}"/>
    <cellStyle name="Nuovo 40 4" xfId="1383" xr:uid="{00000000-0005-0000-0000-0000E5210000}"/>
    <cellStyle name="Nuovo 40 4 2" xfId="1384" xr:uid="{00000000-0005-0000-0000-0000E6210000}"/>
    <cellStyle name="Nuovo 40 4 2 2" xfId="2886" xr:uid="{00000000-0005-0000-0000-0000E7210000}"/>
    <cellStyle name="Nuovo 40 4 3" xfId="2885" xr:uid="{00000000-0005-0000-0000-0000E8210000}"/>
    <cellStyle name="Nuovo 40 5" xfId="1385" xr:uid="{00000000-0005-0000-0000-0000E9210000}"/>
    <cellStyle name="Nuovo 41" xfId="1386" xr:uid="{00000000-0005-0000-0000-0000EA210000}"/>
    <cellStyle name="Nuovo 41 2" xfId="1387" xr:uid="{00000000-0005-0000-0000-0000EB210000}"/>
    <cellStyle name="Nuovo 41 2 2" xfId="2887" xr:uid="{00000000-0005-0000-0000-0000EC210000}"/>
    <cellStyle name="Nuovo 41 3" xfId="1388" xr:uid="{00000000-0005-0000-0000-0000ED210000}"/>
    <cellStyle name="Nuovo 41 3 2" xfId="1389" xr:uid="{00000000-0005-0000-0000-0000EE210000}"/>
    <cellStyle name="Nuovo 41 3 3" xfId="1390" xr:uid="{00000000-0005-0000-0000-0000EF210000}"/>
    <cellStyle name="Nuovo 41 3 3 2" xfId="2889" xr:uid="{00000000-0005-0000-0000-0000F0210000}"/>
    <cellStyle name="Nuovo 41 3 4" xfId="2888" xr:uid="{00000000-0005-0000-0000-0000F1210000}"/>
    <cellStyle name="Nuovo 41 4" xfId="1391" xr:uid="{00000000-0005-0000-0000-0000F2210000}"/>
    <cellStyle name="Nuovo 41 4 2" xfId="1392" xr:uid="{00000000-0005-0000-0000-0000F3210000}"/>
    <cellStyle name="Nuovo 41 4 2 2" xfId="2891" xr:uid="{00000000-0005-0000-0000-0000F4210000}"/>
    <cellStyle name="Nuovo 41 4 3" xfId="2890" xr:uid="{00000000-0005-0000-0000-0000F5210000}"/>
    <cellStyle name="Nuovo 41 5" xfId="1393" xr:uid="{00000000-0005-0000-0000-0000F6210000}"/>
    <cellStyle name="Nuovo 42" xfId="1394" xr:uid="{00000000-0005-0000-0000-0000F7210000}"/>
    <cellStyle name="Nuovo 42 2" xfId="1395" xr:uid="{00000000-0005-0000-0000-0000F8210000}"/>
    <cellStyle name="Nuovo 42 2 2" xfId="2892" xr:uid="{00000000-0005-0000-0000-0000F9210000}"/>
    <cellStyle name="Nuovo 42 3" xfId="1396" xr:uid="{00000000-0005-0000-0000-0000FA210000}"/>
    <cellStyle name="Nuovo 42 3 2" xfId="1397" xr:uid="{00000000-0005-0000-0000-0000FB210000}"/>
    <cellStyle name="Nuovo 42 3 3" xfId="1398" xr:uid="{00000000-0005-0000-0000-0000FC210000}"/>
    <cellStyle name="Nuovo 42 3 3 2" xfId="2894" xr:uid="{00000000-0005-0000-0000-0000FD210000}"/>
    <cellStyle name="Nuovo 42 3 4" xfId="2893" xr:uid="{00000000-0005-0000-0000-0000FE210000}"/>
    <cellStyle name="Nuovo 42 4" xfId="1399" xr:uid="{00000000-0005-0000-0000-0000FF210000}"/>
    <cellStyle name="Nuovo 42 4 2" xfId="1400" xr:uid="{00000000-0005-0000-0000-000000220000}"/>
    <cellStyle name="Nuovo 42 4 2 2" xfId="2896" xr:uid="{00000000-0005-0000-0000-000001220000}"/>
    <cellStyle name="Nuovo 42 4 3" xfId="2895" xr:uid="{00000000-0005-0000-0000-000002220000}"/>
    <cellStyle name="Nuovo 42 5" xfId="1401" xr:uid="{00000000-0005-0000-0000-000003220000}"/>
    <cellStyle name="Nuovo 43" xfId="1402" xr:uid="{00000000-0005-0000-0000-000004220000}"/>
    <cellStyle name="Nuovo 43 2" xfId="1403" xr:uid="{00000000-0005-0000-0000-000005220000}"/>
    <cellStyle name="Nuovo 43 2 2" xfId="2897" xr:uid="{00000000-0005-0000-0000-000006220000}"/>
    <cellStyle name="Nuovo 43 3" xfId="1404" xr:uid="{00000000-0005-0000-0000-000007220000}"/>
    <cellStyle name="Nuovo 43 3 2" xfId="1405" xr:uid="{00000000-0005-0000-0000-000008220000}"/>
    <cellStyle name="Nuovo 43 3 3" xfId="1406" xr:uid="{00000000-0005-0000-0000-000009220000}"/>
    <cellStyle name="Nuovo 43 3 3 2" xfId="2899" xr:uid="{00000000-0005-0000-0000-00000A220000}"/>
    <cellStyle name="Nuovo 43 3 4" xfId="2898" xr:uid="{00000000-0005-0000-0000-00000B220000}"/>
    <cellStyle name="Nuovo 43 4" xfId="1407" xr:uid="{00000000-0005-0000-0000-00000C220000}"/>
    <cellStyle name="Nuovo 43 4 2" xfId="1408" xr:uid="{00000000-0005-0000-0000-00000D220000}"/>
    <cellStyle name="Nuovo 43 4 2 2" xfId="2901" xr:uid="{00000000-0005-0000-0000-00000E220000}"/>
    <cellStyle name="Nuovo 43 4 3" xfId="2900" xr:uid="{00000000-0005-0000-0000-00000F220000}"/>
    <cellStyle name="Nuovo 43 5" xfId="1409" xr:uid="{00000000-0005-0000-0000-000010220000}"/>
    <cellStyle name="Nuovo 44" xfId="1410" xr:uid="{00000000-0005-0000-0000-000011220000}"/>
    <cellStyle name="Nuovo 44 2" xfId="1411" xr:uid="{00000000-0005-0000-0000-000012220000}"/>
    <cellStyle name="Nuovo 44 2 2" xfId="2902" xr:uid="{00000000-0005-0000-0000-000013220000}"/>
    <cellStyle name="Nuovo 44 3" xfId="1412" xr:uid="{00000000-0005-0000-0000-000014220000}"/>
    <cellStyle name="Nuovo 44 3 2" xfId="1413" xr:uid="{00000000-0005-0000-0000-000015220000}"/>
    <cellStyle name="Nuovo 44 3 3" xfId="1414" xr:uid="{00000000-0005-0000-0000-000016220000}"/>
    <cellStyle name="Nuovo 44 3 3 2" xfId="2904" xr:uid="{00000000-0005-0000-0000-000017220000}"/>
    <cellStyle name="Nuovo 44 3 4" xfId="2903" xr:uid="{00000000-0005-0000-0000-000018220000}"/>
    <cellStyle name="Nuovo 44 4" xfId="1415" xr:uid="{00000000-0005-0000-0000-000019220000}"/>
    <cellStyle name="Nuovo 44 4 2" xfId="1416" xr:uid="{00000000-0005-0000-0000-00001A220000}"/>
    <cellStyle name="Nuovo 44 4 2 2" xfId="2906" xr:uid="{00000000-0005-0000-0000-00001B220000}"/>
    <cellStyle name="Nuovo 44 4 3" xfId="2905" xr:uid="{00000000-0005-0000-0000-00001C220000}"/>
    <cellStyle name="Nuovo 44 5" xfId="1417" xr:uid="{00000000-0005-0000-0000-00001D220000}"/>
    <cellStyle name="Nuovo 45" xfId="1418" xr:uid="{00000000-0005-0000-0000-00001E220000}"/>
    <cellStyle name="Nuovo 45 2" xfId="2907" xr:uid="{00000000-0005-0000-0000-00001F220000}"/>
    <cellStyle name="Nuovo 46" xfId="1419" xr:uid="{00000000-0005-0000-0000-000020220000}"/>
    <cellStyle name="Nuovo 46 2" xfId="1420" xr:uid="{00000000-0005-0000-0000-000021220000}"/>
    <cellStyle name="Nuovo 46 3" xfId="1421" xr:uid="{00000000-0005-0000-0000-000022220000}"/>
    <cellStyle name="Nuovo 46 3 2" xfId="2909" xr:uid="{00000000-0005-0000-0000-000023220000}"/>
    <cellStyle name="Nuovo 46 4" xfId="2908" xr:uid="{00000000-0005-0000-0000-000024220000}"/>
    <cellStyle name="Nuovo 47" xfId="1422" xr:uid="{00000000-0005-0000-0000-000025220000}"/>
    <cellStyle name="Nuovo 47 2" xfId="1423" xr:uid="{00000000-0005-0000-0000-000026220000}"/>
    <cellStyle name="Nuovo 47 2 2" xfId="2911" xr:uid="{00000000-0005-0000-0000-000027220000}"/>
    <cellStyle name="Nuovo 47 3" xfId="2910" xr:uid="{00000000-0005-0000-0000-000028220000}"/>
    <cellStyle name="Nuovo 48" xfId="1424" xr:uid="{00000000-0005-0000-0000-000029220000}"/>
    <cellStyle name="Nuovo 5" xfId="1425" xr:uid="{00000000-0005-0000-0000-00002A220000}"/>
    <cellStyle name="Nuovo 5 2" xfId="1426" xr:uid="{00000000-0005-0000-0000-00002B220000}"/>
    <cellStyle name="Nuovo 5 2 2" xfId="2912" xr:uid="{00000000-0005-0000-0000-00002C220000}"/>
    <cellStyle name="Nuovo 5 3" xfId="1427" xr:uid="{00000000-0005-0000-0000-00002D220000}"/>
    <cellStyle name="Nuovo 5 3 2" xfId="1428" xr:uid="{00000000-0005-0000-0000-00002E220000}"/>
    <cellStyle name="Nuovo 5 3 3" xfId="1429" xr:uid="{00000000-0005-0000-0000-00002F220000}"/>
    <cellStyle name="Nuovo 5 3 3 2" xfId="2914" xr:uid="{00000000-0005-0000-0000-000030220000}"/>
    <cellStyle name="Nuovo 5 3 4" xfId="2913" xr:uid="{00000000-0005-0000-0000-000031220000}"/>
    <cellStyle name="Nuovo 5 4" xfId="1430" xr:uid="{00000000-0005-0000-0000-000032220000}"/>
    <cellStyle name="Nuovo 5 4 2" xfId="1431" xr:uid="{00000000-0005-0000-0000-000033220000}"/>
    <cellStyle name="Nuovo 5 4 2 2" xfId="2916" xr:uid="{00000000-0005-0000-0000-000034220000}"/>
    <cellStyle name="Nuovo 5 4 3" xfId="2915" xr:uid="{00000000-0005-0000-0000-000035220000}"/>
    <cellStyle name="Nuovo 5 5" xfId="1432" xr:uid="{00000000-0005-0000-0000-000036220000}"/>
    <cellStyle name="Nuovo 6" xfId="1433" xr:uid="{00000000-0005-0000-0000-000037220000}"/>
    <cellStyle name="Nuovo 6 2" xfId="1434" xr:uid="{00000000-0005-0000-0000-000038220000}"/>
    <cellStyle name="Nuovo 6 2 2" xfId="2917" xr:uid="{00000000-0005-0000-0000-000039220000}"/>
    <cellStyle name="Nuovo 6 3" xfId="1435" xr:uid="{00000000-0005-0000-0000-00003A220000}"/>
    <cellStyle name="Nuovo 6 3 2" xfId="1436" xr:uid="{00000000-0005-0000-0000-00003B220000}"/>
    <cellStyle name="Nuovo 6 3 3" xfId="1437" xr:uid="{00000000-0005-0000-0000-00003C220000}"/>
    <cellStyle name="Nuovo 6 3 3 2" xfId="2919" xr:uid="{00000000-0005-0000-0000-00003D220000}"/>
    <cellStyle name="Nuovo 6 3 4" xfId="2918" xr:uid="{00000000-0005-0000-0000-00003E220000}"/>
    <cellStyle name="Nuovo 6 4" xfId="1438" xr:uid="{00000000-0005-0000-0000-00003F220000}"/>
    <cellStyle name="Nuovo 6 4 2" xfId="1439" xr:uid="{00000000-0005-0000-0000-000040220000}"/>
    <cellStyle name="Nuovo 6 4 2 2" xfId="2921" xr:uid="{00000000-0005-0000-0000-000041220000}"/>
    <cellStyle name="Nuovo 6 4 3" xfId="2920" xr:uid="{00000000-0005-0000-0000-000042220000}"/>
    <cellStyle name="Nuovo 6 5" xfId="1440" xr:uid="{00000000-0005-0000-0000-000043220000}"/>
    <cellStyle name="Nuovo 7" xfId="1441" xr:uid="{00000000-0005-0000-0000-000044220000}"/>
    <cellStyle name="Nuovo 7 2" xfId="1442" xr:uid="{00000000-0005-0000-0000-000045220000}"/>
    <cellStyle name="Nuovo 7 2 2" xfId="2922" xr:uid="{00000000-0005-0000-0000-000046220000}"/>
    <cellStyle name="Nuovo 7 3" xfId="1443" xr:uid="{00000000-0005-0000-0000-000047220000}"/>
    <cellStyle name="Nuovo 7 3 2" xfId="1444" xr:uid="{00000000-0005-0000-0000-000048220000}"/>
    <cellStyle name="Nuovo 7 3 3" xfId="1445" xr:uid="{00000000-0005-0000-0000-000049220000}"/>
    <cellStyle name="Nuovo 7 3 3 2" xfId="2924" xr:uid="{00000000-0005-0000-0000-00004A220000}"/>
    <cellStyle name="Nuovo 7 3 4" xfId="2923" xr:uid="{00000000-0005-0000-0000-00004B220000}"/>
    <cellStyle name="Nuovo 7 4" xfId="1446" xr:uid="{00000000-0005-0000-0000-00004C220000}"/>
    <cellStyle name="Nuovo 7 4 2" xfId="1447" xr:uid="{00000000-0005-0000-0000-00004D220000}"/>
    <cellStyle name="Nuovo 7 4 2 2" xfId="2926" xr:uid="{00000000-0005-0000-0000-00004E220000}"/>
    <cellStyle name="Nuovo 7 4 3" xfId="2925" xr:uid="{00000000-0005-0000-0000-00004F220000}"/>
    <cellStyle name="Nuovo 7 5" xfId="1448" xr:uid="{00000000-0005-0000-0000-000050220000}"/>
    <cellStyle name="Nuovo 8" xfId="1449" xr:uid="{00000000-0005-0000-0000-000051220000}"/>
    <cellStyle name="Nuovo 8 2" xfId="1450" xr:uid="{00000000-0005-0000-0000-000052220000}"/>
    <cellStyle name="Nuovo 8 2 2" xfId="2927" xr:uid="{00000000-0005-0000-0000-000053220000}"/>
    <cellStyle name="Nuovo 8 3" xfId="1451" xr:uid="{00000000-0005-0000-0000-000054220000}"/>
    <cellStyle name="Nuovo 8 3 2" xfId="1452" xr:uid="{00000000-0005-0000-0000-000055220000}"/>
    <cellStyle name="Nuovo 8 3 3" xfId="1453" xr:uid="{00000000-0005-0000-0000-000056220000}"/>
    <cellStyle name="Nuovo 8 3 3 2" xfId="2929" xr:uid="{00000000-0005-0000-0000-000057220000}"/>
    <cellStyle name="Nuovo 8 3 4" xfId="2928" xr:uid="{00000000-0005-0000-0000-000058220000}"/>
    <cellStyle name="Nuovo 8 4" xfId="1454" xr:uid="{00000000-0005-0000-0000-000059220000}"/>
    <cellStyle name="Nuovo 8 4 2" xfId="1455" xr:uid="{00000000-0005-0000-0000-00005A220000}"/>
    <cellStyle name="Nuovo 8 4 2 2" xfId="2931" xr:uid="{00000000-0005-0000-0000-00005B220000}"/>
    <cellStyle name="Nuovo 8 4 3" xfId="2930" xr:uid="{00000000-0005-0000-0000-00005C220000}"/>
    <cellStyle name="Nuovo 8 5" xfId="1456" xr:uid="{00000000-0005-0000-0000-00005D220000}"/>
    <cellStyle name="Nuovo 9" xfId="1457" xr:uid="{00000000-0005-0000-0000-00005E220000}"/>
    <cellStyle name="Nuovo 9 2" xfId="1458" xr:uid="{00000000-0005-0000-0000-00005F220000}"/>
    <cellStyle name="Nuovo 9 2 2" xfId="2932" xr:uid="{00000000-0005-0000-0000-000060220000}"/>
    <cellStyle name="Nuovo 9 3" xfId="1459" xr:uid="{00000000-0005-0000-0000-000061220000}"/>
    <cellStyle name="Nuovo 9 3 2" xfId="1460" xr:uid="{00000000-0005-0000-0000-000062220000}"/>
    <cellStyle name="Nuovo 9 3 3" xfId="1461" xr:uid="{00000000-0005-0000-0000-000063220000}"/>
    <cellStyle name="Nuovo 9 3 3 2" xfId="2934" xr:uid="{00000000-0005-0000-0000-000064220000}"/>
    <cellStyle name="Nuovo 9 3 4" xfId="2933" xr:uid="{00000000-0005-0000-0000-000065220000}"/>
    <cellStyle name="Nuovo 9 4" xfId="1462" xr:uid="{00000000-0005-0000-0000-000066220000}"/>
    <cellStyle name="Nuovo 9 4 2" xfId="1463" xr:uid="{00000000-0005-0000-0000-000067220000}"/>
    <cellStyle name="Nuovo 9 4 2 2" xfId="2936" xr:uid="{00000000-0005-0000-0000-000068220000}"/>
    <cellStyle name="Nuovo 9 4 3" xfId="2935" xr:uid="{00000000-0005-0000-0000-000069220000}"/>
    <cellStyle name="Nuovo 9 5" xfId="1464" xr:uid="{00000000-0005-0000-0000-00006A220000}"/>
    <cellStyle name="Output" xfId="1465" builtinId="21" customBuiltin="1"/>
    <cellStyle name="Output 2" xfId="1466" xr:uid="{00000000-0005-0000-0000-00006C220000}"/>
    <cellStyle name="Output 2 2" xfId="3523" xr:uid="{00000000-0005-0000-0000-00006D220000}"/>
    <cellStyle name="Output 2 2 2" xfId="8107" xr:uid="{00000000-0005-0000-0000-00006E220000}"/>
    <cellStyle name="Output 2 2 3" xfId="9334" xr:uid="{00000000-0005-0000-0000-00006F220000}"/>
    <cellStyle name="Output 2 2 4" xfId="10679" xr:uid="{00000000-0005-0000-0000-000070220000}"/>
    <cellStyle name="Output 2 2 5" xfId="9291" xr:uid="{00000000-0005-0000-0000-000071220000}"/>
    <cellStyle name="Output 2 2 6" xfId="10663" xr:uid="{00000000-0005-0000-0000-000072220000}"/>
    <cellStyle name="Output 2 3" xfId="7943" xr:uid="{00000000-0005-0000-0000-000073220000}"/>
    <cellStyle name="Output 2 4" xfId="7977" xr:uid="{00000000-0005-0000-0000-000074220000}"/>
    <cellStyle name="Output 2 5" xfId="9353" xr:uid="{00000000-0005-0000-0000-000075220000}"/>
    <cellStyle name="Output 2 6" xfId="7904" xr:uid="{00000000-0005-0000-0000-000076220000}"/>
    <cellStyle name="Output 2 7" xfId="10661" xr:uid="{00000000-0005-0000-0000-000077220000}"/>
    <cellStyle name="Output 3" xfId="1467" xr:uid="{00000000-0005-0000-0000-000078220000}"/>
    <cellStyle name="Output 4" xfId="7942" xr:uid="{00000000-0005-0000-0000-000079220000}"/>
    <cellStyle name="Output 5" xfId="7976" xr:uid="{00000000-0005-0000-0000-00007A220000}"/>
    <cellStyle name="Output 6" xfId="9303" xr:uid="{00000000-0005-0000-0000-00007B220000}"/>
    <cellStyle name="Output 7" xfId="10682" xr:uid="{00000000-0005-0000-0000-00007C220000}"/>
    <cellStyle name="Output 8" xfId="10670" xr:uid="{00000000-0005-0000-0000-00007D220000}"/>
    <cellStyle name="Overskrift 1" xfId="418" builtinId="16"/>
    <cellStyle name="Overskrift 1 2" xfId="1468" xr:uid="{00000000-0005-0000-0000-00007F220000}"/>
    <cellStyle name="Overskrift 1 2 2" xfId="3525" xr:uid="{00000000-0005-0000-0000-000080220000}"/>
    <cellStyle name="Overskrift 2" xfId="419" builtinId="17"/>
    <cellStyle name="Overskrift 2 2" xfId="1469" xr:uid="{00000000-0005-0000-0000-000082220000}"/>
    <cellStyle name="Overskrift 2 2 2" xfId="3526" xr:uid="{00000000-0005-0000-0000-000083220000}"/>
    <cellStyle name="Overskrift 3 2" xfId="1470" xr:uid="{00000000-0005-0000-0000-000084220000}"/>
    <cellStyle name="Overskrift 3 2 2" xfId="3527" xr:uid="{00000000-0005-0000-0000-000085220000}"/>
    <cellStyle name="Overskrift 4" xfId="420" builtinId="19"/>
    <cellStyle name="Overskrift 4 2" xfId="1471" xr:uid="{00000000-0005-0000-0000-000087220000}"/>
    <cellStyle name="Overskrift 4 2 2" xfId="3528" xr:uid="{00000000-0005-0000-0000-000088220000}"/>
    <cellStyle name="Percen - Type1" xfId="1472" xr:uid="{00000000-0005-0000-0000-000089220000}"/>
    <cellStyle name="Percent 2" xfId="1474" xr:uid="{00000000-0005-0000-0000-00008A220000}"/>
    <cellStyle name="Percent 2 2" xfId="2937" xr:uid="{00000000-0005-0000-0000-00008B220000}"/>
    <cellStyle name="Percent 2 2 2" xfId="3451" xr:uid="{00000000-0005-0000-0000-00008C220000}"/>
    <cellStyle name="Percent 2 2 2 2" xfId="6665" xr:uid="{00000000-0005-0000-0000-00008D220000}"/>
    <cellStyle name="Percent 3" xfId="1475" xr:uid="{00000000-0005-0000-0000-00008E220000}"/>
    <cellStyle name="Percent 3 2" xfId="1476" xr:uid="{00000000-0005-0000-0000-00008F220000}"/>
    <cellStyle name="Percent 3 2 2" xfId="5305" xr:uid="{00000000-0005-0000-0000-000090220000}"/>
    <cellStyle name="Percent 3 2 3" xfId="4924" xr:uid="{00000000-0005-0000-0000-000091220000}"/>
    <cellStyle name="Percent 3 3" xfId="1477" xr:uid="{00000000-0005-0000-0000-000092220000}"/>
    <cellStyle name="Percent 3 3 2" xfId="1478" xr:uid="{00000000-0005-0000-0000-000093220000}"/>
    <cellStyle name="Percent 3 3 3" xfId="1479" xr:uid="{00000000-0005-0000-0000-000094220000}"/>
    <cellStyle name="Percent 3 3 3 2" xfId="2939" xr:uid="{00000000-0005-0000-0000-000095220000}"/>
    <cellStyle name="Percent 3 3 4" xfId="2938" xr:uid="{00000000-0005-0000-0000-000096220000}"/>
    <cellStyle name="Percent 3 4" xfId="1480" xr:uid="{00000000-0005-0000-0000-000097220000}"/>
    <cellStyle name="Percent 3 5" xfId="1481" xr:uid="{00000000-0005-0000-0000-000098220000}"/>
    <cellStyle name="Percent 3 5 2" xfId="2940" xr:uid="{00000000-0005-0000-0000-000099220000}"/>
    <cellStyle name="Percent 3 6" xfId="5304" xr:uid="{00000000-0005-0000-0000-00009A220000}"/>
    <cellStyle name="Percent 4" xfId="1482" xr:uid="{00000000-0005-0000-0000-00009B220000}"/>
    <cellStyle name="Percent 4 2" xfId="1483" xr:uid="{00000000-0005-0000-0000-00009C220000}"/>
    <cellStyle name="Percent 4 2 2" xfId="2942" xr:uid="{00000000-0005-0000-0000-00009D220000}"/>
    <cellStyle name="Percent 4 3" xfId="2941" xr:uid="{00000000-0005-0000-0000-00009E220000}"/>
    <cellStyle name="Percent 5" xfId="1484" xr:uid="{00000000-0005-0000-0000-00009F220000}"/>
    <cellStyle name="Percent 5 2" xfId="3382" xr:uid="{00000000-0005-0000-0000-0000A0220000}"/>
    <cellStyle name="Percent 6" xfId="4860" xr:uid="{00000000-0005-0000-0000-0000A1220000}"/>
    <cellStyle name="Percent 6 2" xfId="10653" xr:uid="{00000000-0005-0000-0000-0000A2220000}"/>
    <cellStyle name="Percent 6 3" xfId="9293" xr:uid="{00000000-0005-0000-0000-0000A3220000}"/>
    <cellStyle name="Percentuale 10" xfId="1485" xr:uid="{00000000-0005-0000-0000-0000A4220000}"/>
    <cellStyle name="Percentuale 10 2" xfId="1486" xr:uid="{00000000-0005-0000-0000-0000A5220000}"/>
    <cellStyle name="Percentuale 10 2 2" xfId="2943" xr:uid="{00000000-0005-0000-0000-0000A6220000}"/>
    <cellStyle name="Percentuale 10 3" xfId="1487" xr:uid="{00000000-0005-0000-0000-0000A7220000}"/>
    <cellStyle name="Percentuale 10 3 2" xfId="1488" xr:uid="{00000000-0005-0000-0000-0000A8220000}"/>
    <cellStyle name="Percentuale 10 3 3" xfId="1489" xr:uid="{00000000-0005-0000-0000-0000A9220000}"/>
    <cellStyle name="Percentuale 10 3 3 2" xfId="2945" xr:uid="{00000000-0005-0000-0000-0000AA220000}"/>
    <cellStyle name="Percentuale 10 3 4" xfId="2944" xr:uid="{00000000-0005-0000-0000-0000AB220000}"/>
    <cellStyle name="Percentuale 10 4" xfId="1490" xr:uid="{00000000-0005-0000-0000-0000AC220000}"/>
    <cellStyle name="Percentuale 10 4 2" xfId="1491" xr:uid="{00000000-0005-0000-0000-0000AD220000}"/>
    <cellStyle name="Percentuale 10 4 2 2" xfId="2947" xr:uid="{00000000-0005-0000-0000-0000AE220000}"/>
    <cellStyle name="Percentuale 10 4 3" xfId="2946" xr:uid="{00000000-0005-0000-0000-0000AF220000}"/>
    <cellStyle name="Percentuale 10 5" xfId="1492" xr:uid="{00000000-0005-0000-0000-0000B0220000}"/>
    <cellStyle name="Percentuale 11" xfId="1493" xr:uid="{00000000-0005-0000-0000-0000B1220000}"/>
    <cellStyle name="Percentuale 11 2" xfId="1494" xr:uid="{00000000-0005-0000-0000-0000B2220000}"/>
    <cellStyle name="Percentuale 11 2 2" xfId="2948" xr:uid="{00000000-0005-0000-0000-0000B3220000}"/>
    <cellStyle name="Percentuale 11 3" xfId="1495" xr:uid="{00000000-0005-0000-0000-0000B4220000}"/>
    <cellStyle name="Percentuale 11 3 2" xfId="1496" xr:uid="{00000000-0005-0000-0000-0000B5220000}"/>
    <cellStyle name="Percentuale 11 3 3" xfId="1497" xr:uid="{00000000-0005-0000-0000-0000B6220000}"/>
    <cellStyle name="Percentuale 11 3 3 2" xfId="2950" xr:uid="{00000000-0005-0000-0000-0000B7220000}"/>
    <cellStyle name="Percentuale 11 3 4" xfId="2949" xr:uid="{00000000-0005-0000-0000-0000B8220000}"/>
    <cellStyle name="Percentuale 11 4" xfId="1498" xr:uid="{00000000-0005-0000-0000-0000B9220000}"/>
    <cellStyle name="Percentuale 11 4 2" xfId="1499" xr:uid="{00000000-0005-0000-0000-0000BA220000}"/>
    <cellStyle name="Percentuale 11 4 2 2" xfId="2952" xr:uid="{00000000-0005-0000-0000-0000BB220000}"/>
    <cellStyle name="Percentuale 11 4 3" xfId="2951" xr:uid="{00000000-0005-0000-0000-0000BC220000}"/>
    <cellStyle name="Percentuale 11 5" xfId="1500" xr:uid="{00000000-0005-0000-0000-0000BD220000}"/>
    <cellStyle name="Percentuale 12" xfId="1501" xr:uid="{00000000-0005-0000-0000-0000BE220000}"/>
    <cellStyle name="Percentuale 12 2" xfId="1502" xr:uid="{00000000-0005-0000-0000-0000BF220000}"/>
    <cellStyle name="Percentuale 12 2 2" xfId="2953" xr:uid="{00000000-0005-0000-0000-0000C0220000}"/>
    <cellStyle name="Percentuale 12 3" xfId="1503" xr:uid="{00000000-0005-0000-0000-0000C1220000}"/>
    <cellStyle name="Percentuale 12 3 2" xfId="1504" xr:uid="{00000000-0005-0000-0000-0000C2220000}"/>
    <cellStyle name="Percentuale 12 3 3" xfId="1505" xr:uid="{00000000-0005-0000-0000-0000C3220000}"/>
    <cellStyle name="Percentuale 12 3 3 2" xfId="2955" xr:uid="{00000000-0005-0000-0000-0000C4220000}"/>
    <cellStyle name="Percentuale 12 3 4" xfId="2954" xr:uid="{00000000-0005-0000-0000-0000C5220000}"/>
    <cellStyle name="Percentuale 12 4" xfId="1506" xr:uid="{00000000-0005-0000-0000-0000C6220000}"/>
    <cellStyle name="Percentuale 12 4 2" xfId="1507" xr:uid="{00000000-0005-0000-0000-0000C7220000}"/>
    <cellStyle name="Percentuale 12 4 2 2" xfId="2957" xr:uid="{00000000-0005-0000-0000-0000C8220000}"/>
    <cellStyle name="Percentuale 12 4 3" xfId="2956" xr:uid="{00000000-0005-0000-0000-0000C9220000}"/>
    <cellStyle name="Percentuale 12 5" xfId="1508" xr:uid="{00000000-0005-0000-0000-0000CA220000}"/>
    <cellStyle name="Percentuale 13" xfId="1509" xr:uid="{00000000-0005-0000-0000-0000CB220000}"/>
    <cellStyle name="Percentuale 13 2" xfId="1510" xr:uid="{00000000-0005-0000-0000-0000CC220000}"/>
    <cellStyle name="Percentuale 13 2 2" xfId="2958" xr:uid="{00000000-0005-0000-0000-0000CD220000}"/>
    <cellStyle name="Percentuale 13 3" xfId="1511" xr:uid="{00000000-0005-0000-0000-0000CE220000}"/>
    <cellStyle name="Percentuale 13 3 2" xfId="1512" xr:uid="{00000000-0005-0000-0000-0000CF220000}"/>
    <cellStyle name="Percentuale 13 3 3" xfId="1513" xr:uid="{00000000-0005-0000-0000-0000D0220000}"/>
    <cellStyle name="Percentuale 13 3 3 2" xfId="2960" xr:uid="{00000000-0005-0000-0000-0000D1220000}"/>
    <cellStyle name="Percentuale 13 3 4" xfId="2959" xr:uid="{00000000-0005-0000-0000-0000D2220000}"/>
    <cellStyle name="Percentuale 13 4" xfId="1514" xr:uid="{00000000-0005-0000-0000-0000D3220000}"/>
    <cellStyle name="Percentuale 13 4 2" xfId="1515" xr:uid="{00000000-0005-0000-0000-0000D4220000}"/>
    <cellStyle name="Percentuale 13 4 2 2" xfId="2962" xr:uid="{00000000-0005-0000-0000-0000D5220000}"/>
    <cellStyle name="Percentuale 13 4 3" xfId="2961" xr:uid="{00000000-0005-0000-0000-0000D6220000}"/>
    <cellStyle name="Percentuale 13 5" xfId="1516" xr:uid="{00000000-0005-0000-0000-0000D7220000}"/>
    <cellStyle name="Percentuale 14" xfId="1517" xr:uid="{00000000-0005-0000-0000-0000D8220000}"/>
    <cellStyle name="Percentuale 14 2" xfId="1518" xr:uid="{00000000-0005-0000-0000-0000D9220000}"/>
    <cellStyle name="Percentuale 14 2 2" xfId="2963" xr:uid="{00000000-0005-0000-0000-0000DA220000}"/>
    <cellStyle name="Percentuale 14 3" xfId="1519" xr:uid="{00000000-0005-0000-0000-0000DB220000}"/>
    <cellStyle name="Percentuale 14 3 2" xfId="1520" xr:uid="{00000000-0005-0000-0000-0000DC220000}"/>
    <cellStyle name="Percentuale 14 3 3" xfId="1521" xr:uid="{00000000-0005-0000-0000-0000DD220000}"/>
    <cellStyle name="Percentuale 14 3 3 2" xfId="2965" xr:uid="{00000000-0005-0000-0000-0000DE220000}"/>
    <cellStyle name="Percentuale 14 3 4" xfId="2964" xr:uid="{00000000-0005-0000-0000-0000DF220000}"/>
    <cellStyle name="Percentuale 14 4" xfId="1522" xr:uid="{00000000-0005-0000-0000-0000E0220000}"/>
    <cellStyle name="Percentuale 14 4 2" xfId="1523" xr:uid="{00000000-0005-0000-0000-0000E1220000}"/>
    <cellStyle name="Percentuale 14 4 2 2" xfId="2967" xr:uid="{00000000-0005-0000-0000-0000E2220000}"/>
    <cellStyle name="Percentuale 14 4 3" xfId="2966" xr:uid="{00000000-0005-0000-0000-0000E3220000}"/>
    <cellStyle name="Percentuale 14 5" xfId="1524" xr:uid="{00000000-0005-0000-0000-0000E4220000}"/>
    <cellStyle name="Percentuale 15" xfId="1525" xr:uid="{00000000-0005-0000-0000-0000E5220000}"/>
    <cellStyle name="Percentuale 15 2" xfId="1526" xr:uid="{00000000-0005-0000-0000-0000E6220000}"/>
    <cellStyle name="Percentuale 15 2 2" xfId="2968" xr:uid="{00000000-0005-0000-0000-0000E7220000}"/>
    <cellStyle name="Percentuale 15 3" xfId="1527" xr:uid="{00000000-0005-0000-0000-0000E8220000}"/>
    <cellStyle name="Percentuale 15 3 2" xfId="1528" xr:uid="{00000000-0005-0000-0000-0000E9220000}"/>
    <cellStyle name="Percentuale 15 3 3" xfId="1529" xr:uid="{00000000-0005-0000-0000-0000EA220000}"/>
    <cellStyle name="Percentuale 15 3 3 2" xfId="2970" xr:uid="{00000000-0005-0000-0000-0000EB220000}"/>
    <cellStyle name="Percentuale 15 3 4" xfId="2969" xr:uid="{00000000-0005-0000-0000-0000EC220000}"/>
    <cellStyle name="Percentuale 15 4" xfId="1530" xr:uid="{00000000-0005-0000-0000-0000ED220000}"/>
    <cellStyle name="Percentuale 15 4 2" xfId="1531" xr:uid="{00000000-0005-0000-0000-0000EE220000}"/>
    <cellStyle name="Percentuale 15 4 2 2" xfId="2972" xr:uid="{00000000-0005-0000-0000-0000EF220000}"/>
    <cellStyle name="Percentuale 15 4 3" xfId="2971" xr:uid="{00000000-0005-0000-0000-0000F0220000}"/>
    <cellStyle name="Percentuale 15 5" xfId="1532" xr:uid="{00000000-0005-0000-0000-0000F1220000}"/>
    <cellStyle name="Percentuale 16" xfId="1533" xr:uid="{00000000-0005-0000-0000-0000F2220000}"/>
    <cellStyle name="Percentuale 16 2" xfId="1534" xr:uid="{00000000-0005-0000-0000-0000F3220000}"/>
    <cellStyle name="Percentuale 16 2 2" xfId="2973" xr:uid="{00000000-0005-0000-0000-0000F4220000}"/>
    <cellStyle name="Percentuale 16 3" xfId="1535" xr:uid="{00000000-0005-0000-0000-0000F5220000}"/>
    <cellStyle name="Percentuale 16 3 2" xfId="1536" xr:uid="{00000000-0005-0000-0000-0000F6220000}"/>
    <cellStyle name="Percentuale 16 3 3" xfId="1537" xr:uid="{00000000-0005-0000-0000-0000F7220000}"/>
    <cellStyle name="Percentuale 16 3 3 2" xfId="2975" xr:uid="{00000000-0005-0000-0000-0000F8220000}"/>
    <cellStyle name="Percentuale 16 3 4" xfId="2974" xr:uid="{00000000-0005-0000-0000-0000F9220000}"/>
    <cellStyle name="Percentuale 16 4" xfId="1538" xr:uid="{00000000-0005-0000-0000-0000FA220000}"/>
    <cellStyle name="Percentuale 16 4 2" xfId="1539" xr:uid="{00000000-0005-0000-0000-0000FB220000}"/>
    <cellStyle name="Percentuale 16 4 2 2" xfId="2977" xr:uid="{00000000-0005-0000-0000-0000FC220000}"/>
    <cellStyle name="Percentuale 16 4 3" xfId="2976" xr:uid="{00000000-0005-0000-0000-0000FD220000}"/>
    <cellStyle name="Percentuale 16 5" xfId="1540" xr:uid="{00000000-0005-0000-0000-0000FE220000}"/>
    <cellStyle name="Percentuale 17" xfId="1541" xr:uid="{00000000-0005-0000-0000-0000FF220000}"/>
    <cellStyle name="Percentuale 17 2" xfId="1542" xr:uid="{00000000-0005-0000-0000-000000230000}"/>
    <cellStyle name="Percentuale 17 2 2" xfId="2978" xr:uid="{00000000-0005-0000-0000-000001230000}"/>
    <cellStyle name="Percentuale 17 3" xfId="1543" xr:uid="{00000000-0005-0000-0000-000002230000}"/>
    <cellStyle name="Percentuale 17 3 2" xfId="1544" xr:uid="{00000000-0005-0000-0000-000003230000}"/>
    <cellStyle name="Percentuale 17 3 3" xfId="1545" xr:uid="{00000000-0005-0000-0000-000004230000}"/>
    <cellStyle name="Percentuale 17 3 3 2" xfId="2980" xr:uid="{00000000-0005-0000-0000-000005230000}"/>
    <cellStyle name="Percentuale 17 3 4" xfId="2979" xr:uid="{00000000-0005-0000-0000-000006230000}"/>
    <cellStyle name="Percentuale 17 4" xfId="1546" xr:uid="{00000000-0005-0000-0000-000007230000}"/>
    <cellStyle name="Percentuale 17 4 2" xfId="1547" xr:uid="{00000000-0005-0000-0000-000008230000}"/>
    <cellStyle name="Percentuale 17 4 2 2" xfId="2982" xr:uid="{00000000-0005-0000-0000-000009230000}"/>
    <cellStyle name="Percentuale 17 4 3" xfId="2981" xr:uid="{00000000-0005-0000-0000-00000A230000}"/>
    <cellStyle name="Percentuale 17 5" xfId="1548" xr:uid="{00000000-0005-0000-0000-00000B230000}"/>
    <cellStyle name="Percentuale 18" xfId="1549" xr:uid="{00000000-0005-0000-0000-00000C230000}"/>
    <cellStyle name="Percentuale 18 2" xfId="1550" xr:uid="{00000000-0005-0000-0000-00000D230000}"/>
    <cellStyle name="Percentuale 18 2 2" xfId="2983" xr:uid="{00000000-0005-0000-0000-00000E230000}"/>
    <cellStyle name="Percentuale 18 3" xfId="1551" xr:uid="{00000000-0005-0000-0000-00000F230000}"/>
    <cellStyle name="Percentuale 18 3 2" xfId="1552" xr:uid="{00000000-0005-0000-0000-000010230000}"/>
    <cellStyle name="Percentuale 18 3 3" xfId="1553" xr:uid="{00000000-0005-0000-0000-000011230000}"/>
    <cellStyle name="Percentuale 18 3 3 2" xfId="2985" xr:uid="{00000000-0005-0000-0000-000012230000}"/>
    <cellStyle name="Percentuale 18 3 4" xfId="2984" xr:uid="{00000000-0005-0000-0000-000013230000}"/>
    <cellStyle name="Percentuale 18 4" xfId="1554" xr:uid="{00000000-0005-0000-0000-000014230000}"/>
    <cellStyle name="Percentuale 18 4 2" xfId="1555" xr:uid="{00000000-0005-0000-0000-000015230000}"/>
    <cellStyle name="Percentuale 18 4 2 2" xfId="2987" xr:uid="{00000000-0005-0000-0000-000016230000}"/>
    <cellStyle name="Percentuale 18 4 3" xfId="2986" xr:uid="{00000000-0005-0000-0000-000017230000}"/>
    <cellStyle name="Percentuale 18 5" xfId="1556" xr:uid="{00000000-0005-0000-0000-000018230000}"/>
    <cellStyle name="Percentuale 19" xfId="1557" xr:uid="{00000000-0005-0000-0000-000019230000}"/>
    <cellStyle name="Percentuale 19 2" xfId="1558" xr:uid="{00000000-0005-0000-0000-00001A230000}"/>
    <cellStyle name="Percentuale 19 2 2" xfId="2988" xr:uid="{00000000-0005-0000-0000-00001B230000}"/>
    <cellStyle name="Percentuale 19 3" xfId="1559" xr:uid="{00000000-0005-0000-0000-00001C230000}"/>
    <cellStyle name="Percentuale 19 3 2" xfId="1560" xr:uid="{00000000-0005-0000-0000-00001D230000}"/>
    <cellStyle name="Percentuale 19 3 3" xfId="1561" xr:uid="{00000000-0005-0000-0000-00001E230000}"/>
    <cellStyle name="Percentuale 19 3 3 2" xfId="2990" xr:uid="{00000000-0005-0000-0000-00001F230000}"/>
    <cellStyle name="Percentuale 19 3 4" xfId="2989" xr:uid="{00000000-0005-0000-0000-000020230000}"/>
    <cellStyle name="Percentuale 19 4" xfId="1562" xr:uid="{00000000-0005-0000-0000-000021230000}"/>
    <cellStyle name="Percentuale 19 4 2" xfId="1563" xr:uid="{00000000-0005-0000-0000-000022230000}"/>
    <cellStyle name="Percentuale 19 4 2 2" xfId="2992" xr:uid="{00000000-0005-0000-0000-000023230000}"/>
    <cellStyle name="Percentuale 19 4 3" xfId="2991" xr:uid="{00000000-0005-0000-0000-000024230000}"/>
    <cellStyle name="Percentuale 19 5" xfId="1564" xr:uid="{00000000-0005-0000-0000-000025230000}"/>
    <cellStyle name="Percentuale 2" xfId="1565" xr:uid="{00000000-0005-0000-0000-000026230000}"/>
    <cellStyle name="Percentuale 2 2" xfId="1566" xr:uid="{00000000-0005-0000-0000-000027230000}"/>
    <cellStyle name="Percentuale 2 2 2" xfId="2993" xr:uid="{00000000-0005-0000-0000-000028230000}"/>
    <cellStyle name="Percentuale 2 3" xfId="1567" xr:uid="{00000000-0005-0000-0000-000029230000}"/>
    <cellStyle name="Percentuale 2 3 2" xfId="1568" xr:uid="{00000000-0005-0000-0000-00002A230000}"/>
    <cellStyle name="Percentuale 2 3 3" xfId="1569" xr:uid="{00000000-0005-0000-0000-00002B230000}"/>
    <cellStyle name="Percentuale 2 3 3 2" xfId="2995" xr:uid="{00000000-0005-0000-0000-00002C230000}"/>
    <cellStyle name="Percentuale 2 3 4" xfId="2994" xr:uid="{00000000-0005-0000-0000-00002D230000}"/>
    <cellStyle name="Percentuale 2 4" xfId="1570" xr:uid="{00000000-0005-0000-0000-00002E230000}"/>
    <cellStyle name="Percentuale 2 4 2" xfId="1571" xr:uid="{00000000-0005-0000-0000-00002F230000}"/>
    <cellStyle name="Percentuale 2 4 2 2" xfId="2997" xr:uid="{00000000-0005-0000-0000-000030230000}"/>
    <cellStyle name="Percentuale 2 4 3" xfId="2996" xr:uid="{00000000-0005-0000-0000-000031230000}"/>
    <cellStyle name="Percentuale 2 5" xfId="1572" xr:uid="{00000000-0005-0000-0000-000032230000}"/>
    <cellStyle name="Percentuale 20" xfId="1573" xr:uid="{00000000-0005-0000-0000-000033230000}"/>
    <cellStyle name="Percentuale 20 2" xfId="1574" xr:uid="{00000000-0005-0000-0000-000034230000}"/>
    <cellStyle name="Percentuale 20 2 2" xfId="2998" xr:uid="{00000000-0005-0000-0000-000035230000}"/>
    <cellStyle name="Percentuale 20 3" xfId="1575" xr:uid="{00000000-0005-0000-0000-000036230000}"/>
    <cellStyle name="Percentuale 20 3 2" xfId="1576" xr:uid="{00000000-0005-0000-0000-000037230000}"/>
    <cellStyle name="Percentuale 20 3 3" xfId="1577" xr:uid="{00000000-0005-0000-0000-000038230000}"/>
    <cellStyle name="Percentuale 20 3 3 2" xfId="3000" xr:uid="{00000000-0005-0000-0000-000039230000}"/>
    <cellStyle name="Percentuale 20 3 4" xfId="2999" xr:uid="{00000000-0005-0000-0000-00003A230000}"/>
    <cellStyle name="Percentuale 20 4" xfId="1578" xr:uid="{00000000-0005-0000-0000-00003B230000}"/>
    <cellStyle name="Percentuale 20 4 2" xfId="1579" xr:uid="{00000000-0005-0000-0000-00003C230000}"/>
    <cellStyle name="Percentuale 20 4 2 2" xfId="3002" xr:uid="{00000000-0005-0000-0000-00003D230000}"/>
    <cellStyle name="Percentuale 20 4 3" xfId="3001" xr:uid="{00000000-0005-0000-0000-00003E230000}"/>
    <cellStyle name="Percentuale 20 5" xfId="1580" xr:uid="{00000000-0005-0000-0000-00003F230000}"/>
    <cellStyle name="Percentuale 21" xfId="1581" xr:uid="{00000000-0005-0000-0000-000040230000}"/>
    <cellStyle name="Percentuale 21 2" xfId="1582" xr:uid="{00000000-0005-0000-0000-000041230000}"/>
    <cellStyle name="Percentuale 21 2 2" xfId="3003" xr:uid="{00000000-0005-0000-0000-000042230000}"/>
    <cellStyle name="Percentuale 21 3" xfId="1583" xr:uid="{00000000-0005-0000-0000-000043230000}"/>
    <cellStyle name="Percentuale 21 3 2" xfId="1584" xr:uid="{00000000-0005-0000-0000-000044230000}"/>
    <cellStyle name="Percentuale 21 3 3" xfId="1585" xr:uid="{00000000-0005-0000-0000-000045230000}"/>
    <cellStyle name="Percentuale 21 3 3 2" xfId="3005" xr:uid="{00000000-0005-0000-0000-000046230000}"/>
    <cellStyle name="Percentuale 21 3 4" xfId="3004" xr:uid="{00000000-0005-0000-0000-000047230000}"/>
    <cellStyle name="Percentuale 21 4" xfId="1586" xr:uid="{00000000-0005-0000-0000-000048230000}"/>
    <cellStyle name="Percentuale 21 4 2" xfId="1587" xr:uid="{00000000-0005-0000-0000-000049230000}"/>
    <cellStyle name="Percentuale 21 4 2 2" xfId="3007" xr:uid="{00000000-0005-0000-0000-00004A230000}"/>
    <cellStyle name="Percentuale 21 4 3" xfId="3006" xr:uid="{00000000-0005-0000-0000-00004B230000}"/>
    <cellStyle name="Percentuale 21 5" xfId="1588" xr:uid="{00000000-0005-0000-0000-00004C230000}"/>
    <cellStyle name="Percentuale 22" xfId="1589" xr:uid="{00000000-0005-0000-0000-00004D230000}"/>
    <cellStyle name="Percentuale 22 2" xfId="1590" xr:uid="{00000000-0005-0000-0000-00004E230000}"/>
    <cellStyle name="Percentuale 22 2 2" xfId="3008" xr:uid="{00000000-0005-0000-0000-00004F230000}"/>
    <cellStyle name="Percentuale 22 3" xfId="1591" xr:uid="{00000000-0005-0000-0000-000050230000}"/>
    <cellStyle name="Percentuale 22 3 2" xfId="1592" xr:uid="{00000000-0005-0000-0000-000051230000}"/>
    <cellStyle name="Percentuale 22 3 3" xfId="1593" xr:uid="{00000000-0005-0000-0000-000052230000}"/>
    <cellStyle name="Percentuale 22 3 3 2" xfId="3010" xr:uid="{00000000-0005-0000-0000-000053230000}"/>
    <cellStyle name="Percentuale 22 3 4" xfId="3009" xr:uid="{00000000-0005-0000-0000-000054230000}"/>
    <cellStyle name="Percentuale 22 4" xfId="1594" xr:uid="{00000000-0005-0000-0000-000055230000}"/>
    <cellStyle name="Percentuale 22 4 2" xfId="1595" xr:uid="{00000000-0005-0000-0000-000056230000}"/>
    <cellStyle name="Percentuale 22 4 2 2" xfId="3012" xr:uid="{00000000-0005-0000-0000-000057230000}"/>
    <cellStyle name="Percentuale 22 4 3" xfId="3011" xr:uid="{00000000-0005-0000-0000-000058230000}"/>
    <cellStyle name="Percentuale 22 5" xfId="1596" xr:uid="{00000000-0005-0000-0000-000059230000}"/>
    <cellStyle name="Percentuale 23" xfId="1597" xr:uid="{00000000-0005-0000-0000-00005A230000}"/>
    <cellStyle name="Percentuale 23 2" xfId="1598" xr:uid="{00000000-0005-0000-0000-00005B230000}"/>
    <cellStyle name="Percentuale 23 2 2" xfId="3013" xr:uid="{00000000-0005-0000-0000-00005C230000}"/>
    <cellStyle name="Percentuale 23 3" xfId="1599" xr:uid="{00000000-0005-0000-0000-00005D230000}"/>
    <cellStyle name="Percentuale 23 3 2" xfId="1600" xr:uid="{00000000-0005-0000-0000-00005E230000}"/>
    <cellStyle name="Percentuale 23 3 3" xfId="1601" xr:uid="{00000000-0005-0000-0000-00005F230000}"/>
    <cellStyle name="Percentuale 23 3 3 2" xfId="3015" xr:uid="{00000000-0005-0000-0000-000060230000}"/>
    <cellStyle name="Percentuale 23 3 4" xfId="3014" xr:uid="{00000000-0005-0000-0000-000061230000}"/>
    <cellStyle name="Percentuale 23 4" xfId="1602" xr:uid="{00000000-0005-0000-0000-000062230000}"/>
    <cellStyle name="Percentuale 23 4 2" xfId="1603" xr:uid="{00000000-0005-0000-0000-000063230000}"/>
    <cellStyle name="Percentuale 23 4 2 2" xfId="3017" xr:uid="{00000000-0005-0000-0000-000064230000}"/>
    <cellStyle name="Percentuale 23 4 3" xfId="3016" xr:uid="{00000000-0005-0000-0000-000065230000}"/>
    <cellStyle name="Percentuale 23 5" xfId="1604" xr:uid="{00000000-0005-0000-0000-000066230000}"/>
    <cellStyle name="Percentuale 24" xfId="1605" xr:uid="{00000000-0005-0000-0000-000067230000}"/>
    <cellStyle name="Percentuale 24 2" xfId="1606" xr:uid="{00000000-0005-0000-0000-000068230000}"/>
    <cellStyle name="Percentuale 24 2 2" xfId="3018" xr:uid="{00000000-0005-0000-0000-000069230000}"/>
    <cellStyle name="Percentuale 24 3" xfId="1607" xr:uid="{00000000-0005-0000-0000-00006A230000}"/>
    <cellStyle name="Percentuale 24 3 2" xfId="1608" xr:uid="{00000000-0005-0000-0000-00006B230000}"/>
    <cellStyle name="Percentuale 24 3 3" xfId="1609" xr:uid="{00000000-0005-0000-0000-00006C230000}"/>
    <cellStyle name="Percentuale 24 3 3 2" xfId="3020" xr:uid="{00000000-0005-0000-0000-00006D230000}"/>
    <cellStyle name="Percentuale 24 3 4" xfId="3019" xr:uid="{00000000-0005-0000-0000-00006E230000}"/>
    <cellStyle name="Percentuale 24 4" xfId="1610" xr:uid="{00000000-0005-0000-0000-00006F230000}"/>
    <cellStyle name="Percentuale 24 4 2" xfId="1611" xr:uid="{00000000-0005-0000-0000-000070230000}"/>
    <cellStyle name="Percentuale 24 4 2 2" xfId="3022" xr:uid="{00000000-0005-0000-0000-000071230000}"/>
    <cellStyle name="Percentuale 24 4 3" xfId="3021" xr:uid="{00000000-0005-0000-0000-000072230000}"/>
    <cellStyle name="Percentuale 24 5" xfId="1612" xr:uid="{00000000-0005-0000-0000-000073230000}"/>
    <cellStyle name="Percentuale 25" xfId="1613" xr:uid="{00000000-0005-0000-0000-000074230000}"/>
    <cellStyle name="Percentuale 25 2" xfId="1614" xr:uid="{00000000-0005-0000-0000-000075230000}"/>
    <cellStyle name="Percentuale 25 2 2" xfId="3023" xr:uid="{00000000-0005-0000-0000-000076230000}"/>
    <cellStyle name="Percentuale 25 3" xfId="1615" xr:uid="{00000000-0005-0000-0000-000077230000}"/>
    <cellStyle name="Percentuale 25 3 2" xfId="1616" xr:uid="{00000000-0005-0000-0000-000078230000}"/>
    <cellStyle name="Percentuale 25 3 3" xfId="1617" xr:uid="{00000000-0005-0000-0000-000079230000}"/>
    <cellStyle name="Percentuale 25 3 3 2" xfId="3025" xr:uid="{00000000-0005-0000-0000-00007A230000}"/>
    <cellStyle name="Percentuale 25 3 4" xfId="3024" xr:uid="{00000000-0005-0000-0000-00007B230000}"/>
    <cellStyle name="Percentuale 25 4" xfId="1618" xr:uid="{00000000-0005-0000-0000-00007C230000}"/>
    <cellStyle name="Percentuale 25 4 2" xfId="1619" xr:uid="{00000000-0005-0000-0000-00007D230000}"/>
    <cellStyle name="Percentuale 25 4 2 2" xfId="3027" xr:uid="{00000000-0005-0000-0000-00007E230000}"/>
    <cellStyle name="Percentuale 25 4 3" xfId="3026" xr:uid="{00000000-0005-0000-0000-00007F230000}"/>
    <cellStyle name="Percentuale 25 5" xfId="1620" xr:uid="{00000000-0005-0000-0000-000080230000}"/>
    <cellStyle name="Percentuale 26" xfId="1621" xr:uid="{00000000-0005-0000-0000-000081230000}"/>
    <cellStyle name="Percentuale 26 2" xfId="1622" xr:uid="{00000000-0005-0000-0000-000082230000}"/>
    <cellStyle name="Percentuale 26 2 2" xfId="3028" xr:uid="{00000000-0005-0000-0000-000083230000}"/>
    <cellStyle name="Percentuale 26 3" xfId="1623" xr:uid="{00000000-0005-0000-0000-000084230000}"/>
    <cellStyle name="Percentuale 26 3 2" xfId="1624" xr:uid="{00000000-0005-0000-0000-000085230000}"/>
    <cellStyle name="Percentuale 26 3 3" xfId="1625" xr:uid="{00000000-0005-0000-0000-000086230000}"/>
    <cellStyle name="Percentuale 26 3 3 2" xfId="3030" xr:uid="{00000000-0005-0000-0000-000087230000}"/>
    <cellStyle name="Percentuale 26 3 4" xfId="3029" xr:uid="{00000000-0005-0000-0000-000088230000}"/>
    <cellStyle name="Percentuale 26 4" xfId="1626" xr:uid="{00000000-0005-0000-0000-000089230000}"/>
    <cellStyle name="Percentuale 26 4 2" xfId="1627" xr:uid="{00000000-0005-0000-0000-00008A230000}"/>
    <cellStyle name="Percentuale 26 4 2 2" xfId="3032" xr:uid="{00000000-0005-0000-0000-00008B230000}"/>
    <cellStyle name="Percentuale 26 4 3" xfId="3031" xr:uid="{00000000-0005-0000-0000-00008C230000}"/>
    <cellStyle name="Percentuale 26 5" xfId="1628" xr:uid="{00000000-0005-0000-0000-00008D230000}"/>
    <cellStyle name="Percentuale 27" xfId="1629" xr:uid="{00000000-0005-0000-0000-00008E230000}"/>
    <cellStyle name="Percentuale 27 2" xfId="1630" xr:uid="{00000000-0005-0000-0000-00008F230000}"/>
    <cellStyle name="Percentuale 27 2 2" xfId="3033" xr:uid="{00000000-0005-0000-0000-000090230000}"/>
    <cellStyle name="Percentuale 27 3" xfId="1631" xr:uid="{00000000-0005-0000-0000-000091230000}"/>
    <cellStyle name="Percentuale 27 3 2" xfId="1632" xr:uid="{00000000-0005-0000-0000-000092230000}"/>
    <cellStyle name="Percentuale 27 3 3" xfId="1633" xr:uid="{00000000-0005-0000-0000-000093230000}"/>
    <cellStyle name="Percentuale 27 3 3 2" xfId="3035" xr:uid="{00000000-0005-0000-0000-000094230000}"/>
    <cellStyle name="Percentuale 27 3 4" xfId="3034" xr:uid="{00000000-0005-0000-0000-000095230000}"/>
    <cellStyle name="Percentuale 27 4" xfId="1634" xr:uid="{00000000-0005-0000-0000-000096230000}"/>
    <cellStyle name="Percentuale 27 4 2" xfId="1635" xr:uid="{00000000-0005-0000-0000-000097230000}"/>
    <cellStyle name="Percentuale 27 4 2 2" xfId="3037" xr:uid="{00000000-0005-0000-0000-000098230000}"/>
    <cellStyle name="Percentuale 27 4 3" xfId="3036" xr:uid="{00000000-0005-0000-0000-000099230000}"/>
    <cellStyle name="Percentuale 27 5" xfId="1636" xr:uid="{00000000-0005-0000-0000-00009A230000}"/>
    <cellStyle name="Percentuale 28" xfId="1637" xr:uid="{00000000-0005-0000-0000-00009B230000}"/>
    <cellStyle name="Percentuale 28 2" xfId="1638" xr:uid="{00000000-0005-0000-0000-00009C230000}"/>
    <cellStyle name="Percentuale 28 2 2" xfId="3038" xr:uid="{00000000-0005-0000-0000-00009D230000}"/>
    <cellStyle name="Percentuale 28 3" xfId="1639" xr:uid="{00000000-0005-0000-0000-00009E230000}"/>
    <cellStyle name="Percentuale 28 3 2" xfId="1640" xr:uid="{00000000-0005-0000-0000-00009F230000}"/>
    <cellStyle name="Percentuale 28 3 3" xfId="1641" xr:uid="{00000000-0005-0000-0000-0000A0230000}"/>
    <cellStyle name="Percentuale 28 3 3 2" xfId="3040" xr:uid="{00000000-0005-0000-0000-0000A1230000}"/>
    <cellStyle name="Percentuale 28 3 4" xfId="3039" xr:uid="{00000000-0005-0000-0000-0000A2230000}"/>
    <cellStyle name="Percentuale 28 4" xfId="1642" xr:uid="{00000000-0005-0000-0000-0000A3230000}"/>
    <cellStyle name="Percentuale 28 4 2" xfId="1643" xr:uid="{00000000-0005-0000-0000-0000A4230000}"/>
    <cellStyle name="Percentuale 28 4 2 2" xfId="3042" xr:uid="{00000000-0005-0000-0000-0000A5230000}"/>
    <cellStyle name="Percentuale 28 4 3" xfId="3041" xr:uid="{00000000-0005-0000-0000-0000A6230000}"/>
    <cellStyle name="Percentuale 28 5" xfId="1644" xr:uid="{00000000-0005-0000-0000-0000A7230000}"/>
    <cellStyle name="Percentuale 29" xfId="1645" xr:uid="{00000000-0005-0000-0000-0000A8230000}"/>
    <cellStyle name="Percentuale 29 2" xfId="1646" xr:uid="{00000000-0005-0000-0000-0000A9230000}"/>
    <cellStyle name="Percentuale 29 2 2" xfId="3043" xr:uid="{00000000-0005-0000-0000-0000AA230000}"/>
    <cellStyle name="Percentuale 29 3" xfId="1647" xr:uid="{00000000-0005-0000-0000-0000AB230000}"/>
    <cellStyle name="Percentuale 29 3 2" xfId="1648" xr:uid="{00000000-0005-0000-0000-0000AC230000}"/>
    <cellStyle name="Percentuale 29 3 3" xfId="1649" xr:uid="{00000000-0005-0000-0000-0000AD230000}"/>
    <cellStyle name="Percentuale 29 3 3 2" xfId="3045" xr:uid="{00000000-0005-0000-0000-0000AE230000}"/>
    <cellStyle name="Percentuale 29 3 4" xfId="3044" xr:uid="{00000000-0005-0000-0000-0000AF230000}"/>
    <cellStyle name="Percentuale 29 4" xfId="1650" xr:uid="{00000000-0005-0000-0000-0000B0230000}"/>
    <cellStyle name="Percentuale 29 4 2" xfId="1651" xr:uid="{00000000-0005-0000-0000-0000B1230000}"/>
    <cellStyle name="Percentuale 29 4 2 2" xfId="3047" xr:uid="{00000000-0005-0000-0000-0000B2230000}"/>
    <cellStyle name="Percentuale 29 4 3" xfId="3046" xr:uid="{00000000-0005-0000-0000-0000B3230000}"/>
    <cellStyle name="Percentuale 29 5" xfId="1652" xr:uid="{00000000-0005-0000-0000-0000B4230000}"/>
    <cellStyle name="Percentuale 3" xfId="1653" xr:uid="{00000000-0005-0000-0000-0000B5230000}"/>
    <cellStyle name="Percentuale 3 2" xfId="1654" xr:uid="{00000000-0005-0000-0000-0000B6230000}"/>
    <cellStyle name="Percentuale 3 2 2" xfId="3048" xr:uid="{00000000-0005-0000-0000-0000B7230000}"/>
    <cellStyle name="Percentuale 3 3" xfId="1655" xr:uid="{00000000-0005-0000-0000-0000B8230000}"/>
    <cellStyle name="Percentuale 3 3 2" xfId="1656" xr:uid="{00000000-0005-0000-0000-0000B9230000}"/>
    <cellStyle name="Percentuale 3 3 3" xfId="1657" xr:uid="{00000000-0005-0000-0000-0000BA230000}"/>
    <cellStyle name="Percentuale 3 3 3 2" xfId="3050" xr:uid="{00000000-0005-0000-0000-0000BB230000}"/>
    <cellStyle name="Percentuale 3 3 4" xfId="3049" xr:uid="{00000000-0005-0000-0000-0000BC230000}"/>
    <cellStyle name="Percentuale 3 4" xfId="1658" xr:uid="{00000000-0005-0000-0000-0000BD230000}"/>
    <cellStyle name="Percentuale 3 4 2" xfId="1659" xr:uid="{00000000-0005-0000-0000-0000BE230000}"/>
    <cellStyle name="Percentuale 3 4 2 2" xfId="3052" xr:uid="{00000000-0005-0000-0000-0000BF230000}"/>
    <cellStyle name="Percentuale 3 4 3" xfId="3051" xr:uid="{00000000-0005-0000-0000-0000C0230000}"/>
    <cellStyle name="Percentuale 3 5" xfId="1660" xr:uid="{00000000-0005-0000-0000-0000C1230000}"/>
    <cellStyle name="Percentuale 30" xfId="1661" xr:uid="{00000000-0005-0000-0000-0000C2230000}"/>
    <cellStyle name="Percentuale 30 2" xfId="1662" xr:uid="{00000000-0005-0000-0000-0000C3230000}"/>
    <cellStyle name="Percentuale 30 2 2" xfId="3053" xr:uid="{00000000-0005-0000-0000-0000C4230000}"/>
    <cellStyle name="Percentuale 30 3" xfId="1663" xr:uid="{00000000-0005-0000-0000-0000C5230000}"/>
    <cellStyle name="Percentuale 30 3 2" xfId="1664" xr:uid="{00000000-0005-0000-0000-0000C6230000}"/>
    <cellStyle name="Percentuale 30 3 3" xfId="1665" xr:uid="{00000000-0005-0000-0000-0000C7230000}"/>
    <cellStyle name="Percentuale 30 3 3 2" xfId="3055" xr:uid="{00000000-0005-0000-0000-0000C8230000}"/>
    <cellStyle name="Percentuale 30 3 4" xfId="3054" xr:uid="{00000000-0005-0000-0000-0000C9230000}"/>
    <cellStyle name="Percentuale 30 4" xfId="1666" xr:uid="{00000000-0005-0000-0000-0000CA230000}"/>
    <cellStyle name="Percentuale 30 4 2" xfId="1667" xr:uid="{00000000-0005-0000-0000-0000CB230000}"/>
    <cellStyle name="Percentuale 30 4 2 2" xfId="3057" xr:uid="{00000000-0005-0000-0000-0000CC230000}"/>
    <cellStyle name="Percentuale 30 4 3" xfId="3056" xr:uid="{00000000-0005-0000-0000-0000CD230000}"/>
    <cellStyle name="Percentuale 30 5" xfId="1668" xr:uid="{00000000-0005-0000-0000-0000CE230000}"/>
    <cellStyle name="Percentuale 31" xfId="1669" xr:uid="{00000000-0005-0000-0000-0000CF230000}"/>
    <cellStyle name="Percentuale 31 2" xfId="1670" xr:uid="{00000000-0005-0000-0000-0000D0230000}"/>
    <cellStyle name="Percentuale 31 2 2" xfId="3058" xr:uid="{00000000-0005-0000-0000-0000D1230000}"/>
    <cellStyle name="Percentuale 31 3" xfId="1671" xr:uid="{00000000-0005-0000-0000-0000D2230000}"/>
    <cellStyle name="Percentuale 31 3 2" xfId="1672" xr:uid="{00000000-0005-0000-0000-0000D3230000}"/>
    <cellStyle name="Percentuale 31 3 3" xfId="1673" xr:uid="{00000000-0005-0000-0000-0000D4230000}"/>
    <cellStyle name="Percentuale 31 3 3 2" xfId="3060" xr:uid="{00000000-0005-0000-0000-0000D5230000}"/>
    <cellStyle name="Percentuale 31 3 4" xfId="3059" xr:uid="{00000000-0005-0000-0000-0000D6230000}"/>
    <cellStyle name="Percentuale 31 4" xfId="1674" xr:uid="{00000000-0005-0000-0000-0000D7230000}"/>
    <cellStyle name="Percentuale 31 4 2" xfId="1675" xr:uid="{00000000-0005-0000-0000-0000D8230000}"/>
    <cellStyle name="Percentuale 31 4 2 2" xfId="3062" xr:uid="{00000000-0005-0000-0000-0000D9230000}"/>
    <cellStyle name="Percentuale 31 4 3" xfId="3061" xr:uid="{00000000-0005-0000-0000-0000DA230000}"/>
    <cellStyle name="Percentuale 31 5" xfId="1676" xr:uid="{00000000-0005-0000-0000-0000DB230000}"/>
    <cellStyle name="Percentuale 32" xfId="1677" xr:uid="{00000000-0005-0000-0000-0000DC230000}"/>
    <cellStyle name="Percentuale 32 2" xfId="1678" xr:uid="{00000000-0005-0000-0000-0000DD230000}"/>
    <cellStyle name="Percentuale 32 2 2" xfId="3063" xr:uid="{00000000-0005-0000-0000-0000DE230000}"/>
    <cellStyle name="Percentuale 32 3" xfId="1679" xr:uid="{00000000-0005-0000-0000-0000DF230000}"/>
    <cellStyle name="Percentuale 32 3 2" xfId="1680" xr:uid="{00000000-0005-0000-0000-0000E0230000}"/>
    <cellStyle name="Percentuale 32 3 3" xfId="1681" xr:uid="{00000000-0005-0000-0000-0000E1230000}"/>
    <cellStyle name="Percentuale 32 3 3 2" xfId="3065" xr:uid="{00000000-0005-0000-0000-0000E2230000}"/>
    <cellStyle name="Percentuale 32 3 4" xfId="3064" xr:uid="{00000000-0005-0000-0000-0000E3230000}"/>
    <cellStyle name="Percentuale 32 4" xfId="1682" xr:uid="{00000000-0005-0000-0000-0000E4230000}"/>
    <cellStyle name="Percentuale 32 4 2" xfId="1683" xr:uid="{00000000-0005-0000-0000-0000E5230000}"/>
    <cellStyle name="Percentuale 32 4 2 2" xfId="3067" xr:uid="{00000000-0005-0000-0000-0000E6230000}"/>
    <cellStyle name="Percentuale 32 4 3" xfId="3066" xr:uid="{00000000-0005-0000-0000-0000E7230000}"/>
    <cellStyle name="Percentuale 32 5" xfId="1684" xr:uid="{00000000-0005-0000-0000-0000E8230000}"/>
    <cellStyle name="Percentuale 33" xfId="1685" xr:uid="{00000000-0005-0000-0000-0000E9230000}"/>
    <cellStyle name="Percentuale 33 2" xfId="1686" xr:uid="{00000000-0005-0000-0000-0000EA230000}"/>
    <cellStyle name="Percentuale 33 2 2" xfId="3068" xr:uid="{00000000-0005-0000-0000-0000EB230000}"/>
    <cellStyle name="Percentuale 33 3" xfId="1687" xr:uid="{00000000-0005-0000-0000-0000EC230000}"/>
    <cellStyle name="Percentuale 33 3 2" xfId="1688" xr:uid="{00000000-0005-0000-0000-0000ED230000}"/>
    <cellStyle name="Percentuale 33 3 3" xfId="1689" xr:uid="{00000000-0005-0000-0000-0000EE230000}"/>
    <cellStyle name="Percentuale 33 3 3 2" xfId="3070" xr:uid="{00000000-0005-0000-0000-0000EF230000}"/>
    <cellStyle name="Percentuale 33 3 4" xfId="3069" xr:uid="{00000000-0005-0000-0000-0000F0230000}"/>
    <cellStyle name="Percentuale 33 4" xfId="1690" xr:uid="{00000000-0005-0000-0000-0000F1230000}"/>
    <cellStyle name="Percentuale 33 4 2" xfId="1691" xr:uid="{00000000-0005-0000-0000-0000F2230000}"/>
    <cellStyle name="Percentuale 33 4 2 2" xfId="3072" xr:uid="{00000000-0005-0000-0000-0000F3230000}"/>
    <cellStyle name="Percentuale 33 4 3" xfId="3071" xr:uid="{00000000-0005-0000-0000-0000F4230000}"/>
    <cellStyle name="Percentuale 33 5" xfId="1692" xr:uid="{00000000-0005-0000-0000-0000F5230000}"/>
    <cellStyle name="Percentuale 34" xfId="1693" xr:uid="{00000000-0005-0000-0000-0000F6230000}"/>
    <cellStyle name="Percentuale 34 2" xfId="1694" xr:uid="{00000000-0005-0000-0000-0000F7230000}"/>
    <cellStyle name="Percentuale 34 2 2" xfId="3073" xr:uid="{00000000-0005-0000-0000-0000F8230000}"/>
    <cellStyle name="Percentuale 34 3" xfId="1695" xr:uid="{00000000-0005-0000-0000-0000F9230000}"/>
    <cellStyle name="Percentuale 34 3 2" xfId="1696" xr:uid="{00000000-0005-0000-0000-0000FA230000}"/>
    <cellStyle name="Percentuale 34 3 3" xfId="1697" xr:uid="{00000000-0005-0000-0000-0000FB230000}"/>
    <cellStyle name="Percentuale 34 3 3 2" xfId="3075" xr:uid="{00000000-0005-0000-0000-0000FC230000}"/>
    <cellStyle name="Percentuale 34 3 4" xfId="3074" xr:uid="{00000000-0005-0000-0000-0000FD230000}"/>
    <cellStyle name="Percentuale 34 4" xfId="1698" xr:uid="{00000000-0005-0000-0000-0000FE230000}"/>
    <cellStyle name="Percentuale 34 4 2" xfId="1699" xr:uid="{00000000-0005-0000-0000-0000FF230000}"/>
    <cellStyle name="Percentuale 34 4 2 2" xfId="3077" xr:uid="{00000000-0005-0000-0000-000000240000}"/>
    <cellStyle name="Percentuale 34 4 3" xfId="3076" xr:uid="{00000000-0005-0000-0000-000001240000}"/>
    <cellStyle name="Percentuale 34 5" xfId="1700" xr:uid="{00000000-0005-0000-0000-000002240000}"/>
    <cellStyle name="Percentuale 35" xfId="1701" xr:uid="{00000000-0005-0000-0000-000003240000}"/>
    <cellStyle name="Percentuale 35 2" xfId="1702" xr:uid="{00000000-0005-0000-0000-000004240000}"/>
    <cellStyle name="Percentuale 35 2 2" xfId="3078" xr:uid="{00000000-0005-0000-0000-000005240000}"/>
    <cellStyle name="Percentuale 35 3" xfId="1703" xr:uid="{00000000-0005-0000-0000-000006240000}"/>
    <cellStyle name="Percentuale 35 3 2" xfId="1704" xr:uid="{00000000-0005-0000-0000-000007240000}"/>
    <cellStyle name="Percentuale 35 3 3" xfId="1705" xr:uid="{00000000-0005-0000-0000-000008240000}"/>
    <cellStyle name="Percentuale 35 3 3 2" xfId="3080" xr:uid="{00000000-0005-0000-0000-000009240000}"/>
    <cellStyle name="Percentuale 35 3 4" xfId="3079" xr:uid="{00000000-0005-0000-0000-00000A240000}"/>
    <cellStyle name="Percentuale 35 4" xfId="1706" xr:uid="{00000000-0005-0000-0000-00000B240000}"/>
    <cellStyle name="Percentuale 35 4 2" xfId="1707" xr:uid="{00000000-0005-0000-0000-00000C240000}"/>
    <cellStyle name="Percentuale 35 4 2 2" xfId="3082" xr:uid="{00000000-0005-0000-0000-00000D240000}"/>
    <cellStyle name="Percentuale 35 4 3" xfId="3081" xr:uid="{00000000-0005-0000-0000-00000E240000}"/>
    <cellStyle name="Percentuale 35 5" xfId="1708" xr:uid="{00000000-0005-0000-0000-00000F240000}"/>
    <cellStyle name="Percentuale 36" xfId="1709" xr:uid="{00000000-0005-0000-0000-000010240000}"/>
    <cellStyle name="Percentuale 36 2" xfId="1710" xr:uid="{00000000-0005-0000-0000-000011240000}"/>
    <cellStyle name="Percentuale 36 2 2" xfId="3083" xr:uid="{00000000-0005-0000-0000-000012240000}"/>
    <cellStyle name="Percentuale 36 3" xfId="1711" xr:uid="{00000000-0005-0000-0000-000013240000}"/>
    <cellStyle name="Percentuale 36 3 2" xfId="1712" xr:uid="{00000000-0005-0000-0000-000014240000}"/>
    <cellStyle name="Percentuale 36 3 3" xfId="1713" xr:uid="{00000000-0005-0000-0000-000015240000}"/>
    <cellStyle name="Percentuale 36 3 3 2" xfId="3085" xr:uid="{00000000-0005-0000-0000-000016240000}"/>
    <cellStyle name="Percentuale 36 3 4" xfId="3084" xr:uid="{00000000-0005-0000-0000-000017240000}"/>
    <cellStyle name="Percentuale 36 4" xfId="1714" xr:uid="{00000000-0005-0000-0000-000018240000}"/>
    <cellStyle name="Percentuale 36 4 2" xfId="1715" xr:uid="{00000000-0005-0000-0000-000019240000}"/>
    <cellStyle name="Percentuale 36 4 2 2" xfId="3087" xr:uid="{00000000-0005-0000-0000-00001A240000}"/>
    <cellStyle name="Percentuale 36 4 3" xfId="3086" xr:uid="{00000000-0005-0000-0000-00001B240000}"/>
    <cellStyle name="Percentuale 36 5" xfId="1716" xr:uid="{00000000-0005-0000-0000-00001C240000}"/>
    <cellStyle name="Percentuale 37" xfId="1717" xr:uid="{00000000-0005-0000-0000-00001D240000}"/>
    <cellStyle name="Percentuale 37 2" xfId="1718" xr:uid="{00000000-0005-0000-0000-00001E240000}"/>
    <cellStyle name="Percentuale 37 2 2" xfId="3088" xr:uid="{00000000-0005-0000-0000-00001F240000}"/>
    <cellStyle name="Percentuale 37 3" xfId="1719" xr:uid="{00000000-0005-0000-0000-000020240000}"/>
    <cellStyle name="Percentuale 37 3 2" xfId="1720" xr:uid="{00000000-0005-0000-0000-000021240000}"/>
    <cellStyle name="Percentuale 37 3 3" xfId="1721" xr:uid="{00000000-0005-0000-0000-000022240000}"/>
    <cellStyle name="Percentuale 37 3 3 2" xfId="3090" xr:uid="{00000000-0005-0000-0000-000023240000}"/>
    <cellStyle name="Percentuale 37 3 4" xfId="3089" xr:uid="{00000000-0005-0000-0000-000024240000}"/>
    <cellStyle name="Percentuale 37 4" xfId="1722" xr:uid="{00000000-0005-0000-0000-000025240000}"/>
    <cellStyle name="Percentuale 37 4 2" xfId="1723" xr:uid="{00000000-0005-0000-0000-000026240000}"/>
    <cellStyle name="Percentuale 37 4 2 2" xfId="3092" xr:uid="{00000000-0005-0000-0000-000027240000}"/>
    <cellStyle name="Percentuale 37 4 3" xfId="3091" xr:uid="{00000000-0005-0000-0000-000028240000}"/>
    <cellStyle name="Percentuale 37 5" xfId="1724" xr:uid="{00000000-0005-0000-0000-000029240000}"/>
    <cellStyle name="Percentuale 38" xfId="1725" xr:uid="{00000000-0005-0000-0000-00002A240000}"/>
    <cellStyle name="Percentuale 38 2" xfId="1726" xr:uid="{00000000-0005-0000-0000-00002B240000}"/>
    <cellStyle name="Percentuale 38 2 2" xfId="3093" xr:uid="{00000000-0005-0000-0000-00002C240000}"/>
    <cellStyle name="Percentuale 38 3" xfId="1727" xr:uid="{00000000-0005-0000-0000-00002D240000}"/>
    <cellStyle name="Percentuale 38 3 2" xfId="1728" xr:uid="{00000000-0005-0000-0000-00002E240000}"/>
    <cellStyle name="Percentuale 38 3 3" xfId="1729" xr:uid="{00000000-0005-0000-0000-00002F240000}"/>
    <cellStyle name="Percentuale 38 3 3 2" xfId="3095" xr:uid="{00000000-0005-0000-0000-000030240000}"/>
    <cellStyle name="Percentuale 38 3 4" xfId="3094" xr:uid="{00000000-0005-0000-0000-000031240000}"/>
    <cellStyle name="Percentuale 38 4" xfId="1730" xr:uid="{00000000-0005-0000-0000-000032240000}"/>
    <cellStyle name="Percentuale 38 4 2" xfId="1731" xr:uid="{00000000-0005-0000-0000-000033240000}"/>
    <cellStyle name="Percentuale 38 4 2 2" xfId="3097" xr:uid="{00000000-0005-0000-0000-000034240000}"/>
    <cellStyle name="Percentuale 38 4 3" xfId="3096" xr:uid="{00000000-0005-0000-0000-000035240000}"/>
    <cellStyle name="Percentuale 38 5" xfId="1732" xr:uid="{00000000-0005-0000-0000-000036240000}"/>
    <cellStyle name="Percentuale 39" xfId="1733" xr:uid="{00000000-0005-0000-0000-000037240000}"/>
    <cellStyle name="Percentuale 39 2" xfId="1734" xr:uid="{00000000-0005-0000-0000-000038240000}"/>
    <cellStyle name="Percentuale 39 2 2" xfId="3098" xr:uid="{00000000-0005-0000-0000-000039240000}"/>
    <cellStyle name="Percentuale 39 3" xfId="1735" xr:uid="{00000000-0005-0000-0000-00003A240000}"/>
    <cellStyle name="Percentuale 39 3 2" xfId="1736" xr:uid="{00000000-0005-0000-0000-00003B240000}"/>
    <cellStyle name="Percentuale 39 3 3" xfId="1737" xr:uid="{00000000-0005-0000-0000-00003C240000}"/>
    <cellStyle name="Percentuale 39 3 3 2" xfId="3100" xr:uid="{00000000-0005-0000-0000-00003D240000}"/>
    <cellStyle name="Percentuale 39 3 4" xfId="3099" xr:uid="{00000000-0005-0000-0000-00003E240000}"/>
    <cellStyle name="Percentuale 39 4" xfId="1738" xr:uid="{00000000-0005-0000-0000-00003F240000}"/>
    <cellStyle name="Percentuale 39 4 2" xfId="1739" xr:uid="{00000000-0005-0000-0000-000040240000}"/>
    <cellStyle name="Percentuale 39 4 2 2" xfId="3102" xr:uid="{00000000-0005-0000-0000-000041240000}"/>
    <cellStyle name="Percentuale 39 4 3" xfId="3101" xr:uid="{00000000-0005-0000-0000-000042240000}"/>
    <cellStyle name="Percentuale 39 5" xfId="1740" xr:uid="{00000000-0005-0000-0000-000043240000}"/>
    <cellStyle name="Percentuale 4" xfId="1741" xr:uid="{00000000-0005-0000-0000-000044240000}"/>
    <cellStyle name="Percentuale 4 2" xfId="1742" xr:uid="{00000000-0005-0000-0000-000045240000}"/>
    <cellStyle name="Percentuale 4 2 2" xfId="3103" xr:uid="{00000000-0005-0000-0000-000046240000}"/>
    <cellStyle name="Percentuale 4 3" xfId="1743" xr:uid="{00000000-0005-0000-0000-000047240000}"/>
    <cellStyle name="Percentuale 4 3 2" xfId="1744" xr:uid="{00000000-0005-0000-0000-000048240000}"/>
    <cellStyle name="Percentuale 4 3 3" xfId="1745" xr:uid="{00000000-0005-0000-0000-000049240000}"/>
    <cellStyle name="Percentuale 4 3 3 2" xfId="3105" xr:uid="{00000000-0005-0000-0000-00004A240000}"/>
    <cellStyle name="Percentuale 4 3 4" xfId="3104" xr:uid="{00000000-0005-0000-0000-00004B240000}"/>
    <cellStyle name="Percentuale 4 4" xfId="1746" xr:uid="{00000000-0005-0000-0000-00004C240000}"/>
    <cellStyle name="Percentuale 4 4 2" xfId="1747" xr:uid="{00000000-0005-0000-0000-00004D240000}"/>
    <cellStyle name="Percentuale 4 4 2 2" xfId="3107" xr:uid="{00000000-0005-0000-0000-00004E240000}"/>
    <cellStyle name="Percentuale 4 4 3" xfId="3106" xr:uid="{00000000-0005-0000-0000-00004F240000}"/>
    <cellStyle name="Percentuale 4 5" xfId="1748" xr:uid="{00000000-0005-0000-0000-000050240000}"/>
    <cellStyle name="Percentuale 40" xfId="1749" xr:uid="{00000000-0005-0000-0000-000051240000}"/>
    <cellStyle name="Percentuale 40 2" xfId="1750" xr:uid="{00000000-0005-0000-0000-000052240000}"/>
    <cellStyle name="Percentuale 40 2 2" xfId="3108" xr:uid="{00000000-0005-0000-0000-000053240000}"/>
    <cellStyle name="Percentuale 40 3" xfId="1751" xr:uid="{00000000-0005-0000-0000-000054240000}"/>
    <cellStyle name="Percentuale 40 3 2" xfId="1752" xr:uid="{00000000-0005-0000-0000-000055240000}"/>
    <cellStyle name="Percentuale 40 3 3" xfId="1753" xr:uid="{00000000-0005-0000-0000-000056240000}"/>
    <cellStyle name="Percentuale 40 3 3 2" xfId="3110" xr:uid="{00000000-0005-0000-0000-000057240000}"/>
    <cellStyle name="Percentuale 40 3 4" xfId="3109" xr:uid="{00000000-0005-0000-0000-000058240000}"/>
    <cellStyle name="Percentuale 40 4" xfId="1754" xr:uid="{00000000-0005-0000-0000-000059240000}"/>
    <cellStyle name="Percentuale 40 4 2" xfId="1755" xr:uid="{00000000-0005-0000-0000-00005A240000}"/>
    <cellStyle name="Percentuale 40 4 2 2" xfId="3112" xr:uid="{00000000-0005-0000-0000-00005B240000}"/>
    <cellStyle name="Percentuale 40 4 3" xfId="3111" xr:uid="{00000000-0005-0000-0000-00005C240000}"/>
    <cellStyle name="Percentuale 40 5" xfId="1756" xr:uid="{00000000-0005-0000-0000-00005D240000}"/>
    <cellStyle name="Percentuale 41" xfId="1757" xr:uid="{00000000-0005-0000-0000-00005E240000}"/>
    <cellStyle name="Percentuale 41 2" xfId="1758" xr:uid="{00000000-0005-0000-0000-00005F240000}"/>
    <cellStyle name="Percentuale 41 2 2" xfId="3113" xr:uid="{00000000-0005-0000-0000-000060240000}"/>
    <cellStyle name="Percentuale 41 3" xfId="1759" xr:uid="{00000000-0005-0000-0000-000061240000}"/>
    <cellStyle name="Percentuale 41 3 2" xfId="1760" xr:uid="{00000000-0005-0000-0000-000062240000}"/>
    <cellStyle name="Percentuale 41 3 3" xfId="1761" xr:uid="{00000000-0005-0000-0000-000063240000}"/>
    <cellStyle name="Percentuale 41 3 3 2" xfId="3115" xr:uid="{00000000-0005-0000-0000-000064240000}"/>
    <cellStyle name="Percentuale 41 3 4" xfId="3114" xr:uid="{00000000-0005-0000-0000-000065240000}"/>
    <cellStyle name="Percentuale 41 4" xfId="1762" xr:uid="{00000000-0005-0000-0000-000066240000}"/>
    <cellStyle name="Percentuale 41 4 2" xfId="1763" xr:uid="{00000000-0005-0000-0000-000067240000}"/>
    <cellStyle name="Percentuale 41 4 2 2" xfId="3117" xr:uid="{00000000-0005-0000-0000-000068240000}"/>
    <cellStyle name="Percentuale 41 4 3" xfId="3116" xr:uid="{00000000-0005-0000-0000-000069240000}"/>
    <cellStyle name="Percentuale 41 5" xfId="1764" xr:uid="{00000000-0005-0000-0000-00006A240000}"/>
    <cellStyle name="Percentuale 42" xfId="1765" xr:uid="{00000000-0005-0000-0000-00006B240000}"/>
    <cellStyle name="Percentuale 42 2" xfId="1766" xr:uid="{00000000-0005-0000-0000-00006C240000}"/>
    <cellStyle name="Percentuale 42 2 2" xfId="3118" xr:uid="{00000000-0005-0000-0000-00006D240000}"/>
    <cellStyle name="Percentuale 42 3" xfId="1767" xr:uid="{00000000-0005-0000-0000-00006E240000}"/>
    <cellStyle name="Percentuale 42 3 2" xfId="1768" xr:uid="{00000000-0005-0000-0000-00006F240000}"/>
    <cellStyle name="Percentuale 42 3 3" xfId="1769" xr:uid="{00000000-0005-0000-0000-000070240000}"/>
    <cellStyle name="Percentuale 42 3 3 2" xfId="3120" xr:uid="{00000000-0005-0000-0000-000071240000}"/>
    <cellStyle name="Percentuale 42 3 4" xfId="3119" xr:uid="{00000000-0005-0000-0000-000072240000}"/>
    <cellStyle name="Percentuale 42 4" xfId="1770" xr:uid="{00000000-0005-0000-0000-000073240000}"/>
    <cellStyle name="Percentuale 42 4 2" xfId="1771" xr:uid="{00000000-0005-0000-0000-000074240000}"/>
    <cellStyle name="Percentuale 42 4 2 2" xfId="3122" xr:uid="{00000000-0005-0000-0000-000075240000}"/>
    <cellStyle name="Percentuale 42 4 3" xfId="3121" xr:uid="{00000000-0005-0000-0000-000076240000}"/>
    <cellStyle name="Percentuale 42 5" xfId="1772" xr:uid="{00000000-0005-0000-0000-000077240000}"/>
    <cellStyle name="Percentuale 43" xfId="1773" xr:uid="{00000000-0005-0000-0000-000078240000}"/>
    <cellStyle name="Percentuale 43 2" xfId="1774" xr:uid="{00000000-0005-0000-0000-000079240000}"/>
    <cellStyle name="Percentuale 43 2 2" xfId="3123" xr:uid="{00000000-0005-0000-0000-00007A240000}"/>
    <cellStyle name="Percentuale 43 3" xfId="1775" xr:uid="{00000000-0005-0000-0000-00007B240000}"/>
    <cellStyle name="Percentuale 43 3 2" xfId="1776" xr:uid="{00000000-0005-0000-0000-00007C240000}"/>
    <cellStyle name="Percentuale 43 3 3" xfId="1777" xr:uid="{00000000-0005-0000-0000-00007D240000}"/>
    <cellStyle name="Percentuale 43 3 3 2" xfId="3125" xr:uid="{00000000-0005-0000-0000-00007E240000}"/>
    <cellStyle name="Percentuale 43 3 4" xfId="3124" xr:uid="{00000000-0005-0000-0000-00007F240000}"/>
    <cellStyle name="Percentuale 43 4" xfId="1778" xr:uid="{00000000-0005-0000-0000-000080240000}"/>
    <cellStyle name="Percentuale 43 4 2" xfId="1779" xr:uid="{00000000-0005-0000-0000-000081240000}"/>
    <cellStyle name="Percentuale 43 4 2 2" xfId="3127" xr:uid="{00000000-0005-0000-0000-000082240000}"/>
    <cellStyle name="Percentuale 43 4 3" xfId="3126" xr:uid="{00000000-0005-0000-0000-000083240000}"/>
    <cellStyle name="Percentuale 43 5" xfId="1780" xr:uid="{00000000-0005-0000-0000-000084240000}"/>
    <cellStyle name="Percentuale 44" xfId="1781" xr:uid="{00000000-0005-0000-0000-000085240000}"/>
    <cellStyle name="Percentuale 44 2" xfId="1782" xr:uid="{00000000-0005-0000-0000-000086240000}"/>
    <cellStyle name="Percentuale 44 2 2" xfId="3128" xr:uid="{00000000-0005-0000-0000-000087240000}"/>
    <cellStyle name="Percentuale 44 3" xfId="1783" xr:uid="{00000000-0005-0000-0000-000088240000}"/>
    <cellStyle name="Percentuale 44 3 2" xfId="1784" xr:uid="{00000000-0005-0000-0000-000089240000}"/>
    <cellStyle name="Percentuale 44 3 3" xfId="1785" xr:uid="{00000000-0005-0000-0000-00008A240000}"/>
    <cellStyle name="Percentuale 44 3 3 2" xfId="3130" xr:uid="{00000000-0005-0000-0000-00008B240000}"/>
    <cellStyle name="Percentuale 44 3 4" xfId="3129" xr:uid="{00000000-0005-0000-0000-00008C240000}"/>
    <cellStyle name="Percentuale 44 4" xfId="1786" xr:uid="{00000000-0005-0000-0000-00008D240000}"/>
    <cellStyle name="Percentuale 44 4 2" xfId="1787" xr:uid="{00000000-0005-0000-0000-00008E240000}"/>
    <cellStyle name="Percentuale 44 4 2 2" xfId="3132" xr:uid="{00000000-0005-0000-0000-00008F240000}"/>
    <cellStyle name="Percentuale 44 4 3" xfId="3131" xr:uid="{00000000-0005-0000-0000-000090240000}"/>
    <cellStyle name="Percentuale 44 5" xfId="1788" xr:uid="{00000000-0005-0000-0000-000091240000}"/>
    <cellStyle name="Percentuale 45" xfId="1789" xr:uid="{00000000-0005-0000-0000-000092240000}"/>
    <cellStyle name="Percentuale 45 2" xfId="1790" xr:uid="{00000000-0005-0000-0000-000093240000}"/>
    <cellStyle name="Percentuale 45 2 2" xfId="3133" xr:uid="{00000000-0005-0000-0000-000094240000}"/>
    <cellStyle name="Percentuale 45 3" xfId="1791" xr:uid="{00000000-0005-0000-0000-000095240000}"/>
    <cellStyle name="Percentuale 45 3 2" xfId="1792" xr:uid="{00000000-0005-0000-0000-000096240000}"/>
    <cellStyle name="Percentuale 45 3 3" xfId="1793" xr:uid="{00000000-0005-0000-0000-000097240000}"/>
    <cellStyle name="Percentuale 45 3 3 2" xfId="3135" xr:uid="{00000000-0005-0000-0000-000098240000}"/>
    <cellStyle name="Percentuale 45 3 4" xfId="3134" xr:uid="{00000000-0005-0000-0000-000099240000}"/>
    <cellStyle name="Percentuale 45 4" xfId="1794" xr:uid="{00000000-0005-0000-0000-00009A240000}"/>
    <cellStyle name="Percentuale 45 4 2" xfId="1795" xr:uid="{00000000-0005-0000-0000-00009B240000}"/>
    <cellStyle name="Percentuale 45 4 2 2" xfId="3137" xr:uid="{00000000-0005-0000-0000-00009C240000}"/>
    <cellStyle name="Percentuale 45 4 3" xfId="3136" xr:uid="{00000000-0005-0000-0000-00009D240000}"/>
    <cellStyle name="Percentuale 45 5" xfId="1796" xr:uid="{00000000-0005-0000-0000-00009E240000}"/>
    <cellStyle name="Percentuale 46" xfId="1797" xr:uid="{00000000-0005-0000-0000-00009F240000}"/>
    <cellStyle name="Percentuale 46 2" xfId="1798" xr:uid="{00000000-0005-0000-0000-0000A0240000}"/>
    <cellStyle name="Percentuale 46 2 2" xfId="3138" xr:uid="{00000000-0005-0000-0000-0000A1240000}"/>
    <cellStyle name="Percentuale 46 3" xfId="1799" xr:uid="{00000000-0005-0000-0000-0000A2240000}"/>
    <cellStyle name="Percentuale 46 3 2" xfId="1800" xr:uid="{00000000-0005-0000-0000-0000A3240000}"/>
    <cellStyle name="Percentuale 46 3 3" xfId="1801" xr:uid="{00000000-0005-0000-0000-0000A4240000}"/>
    <cellStyle name="Percentuale 46 3 3 2" xfId="3140" xr:uid="{00000000-0005-0000-0000-0000A5240000}"/>
    <cellStyle name="Percentuale 46 3 4" xfId="3139" xr:uid="{00000000-0005-0000-0000-0000A6240000}"/>
    <cellStyle name="Percentuale 46 4" xfId="1802" xr:uid="{00000000-0005-0000-0000-0000A7240000}"/>
    <cellStyle name="Percentuale 46 4 2" xfId="1803" xr:uid="{00000000-0005-0000-0000-0000A8240000}"/>
    <cellStyle name="Percentuale 46 4 2 2" xfId="3142" xr:uid="{00000000-0005-0000-0000-0000A9240000}"/>
    <cellStyle name="Percentuale 46 4 3" xfId="3141" xr:uid="{00000000-0005-0000-0000-0000AA240000}"/>
    <cellStyle name="Percentuale 46 5" xfId="1804" xr:uid="{00000000-0005-0000-0000-0000AB240000}"/>
    <cellStyle name="Percentuale 47" xfId="1805" xr:uid="{00000000-0005-0000-0000-0000AC240000}"/>
    <cellStyle name="Percentuale 47 2" xfId="1806" xr:uid="{00000000-0005-0000-0000-0000AD240000}"/>
    <cellStyle name="Percentuale 47 2 2" xfId="3143" xr:uid="{00000000-0005-0000-0000-0000AE240000}"/>
    <cellStyle name="Percentuale 47 3" xfId="1807" xr:uid="{00000000-0005-0000-0000-0000AF240000}"/>
    <cellStyle name="Percentuale 47 3 2" xfId="1808" xr:uid="{00000000-0005-0000-0000-0000B0240000}"/>
    <cellStyle name="Percentuale 47 3 3" xfId="1809" xr:uid="{00000000-0005-0000-0000-0000B1240000}"/>
    <cellStyle name="Percentuale 47 3 3 2" xfId="3145" xr:uid="{00000000-0005-0000-0000-0000B2240000}"/>
    <cellStyle name="Percentuale 47 3 4" xfId="3144" xr:uid="{00000000-0005-0000-0000-0000B3240000}"/>
    <cellStyle name="Percentuale 47 4" xfId="1810" xr:uid="{00000000-0005-0000-0000-0000B4240000}"/>
    <cellStyle name="Percentuale 47 4 2" xfId="1811" xr:uid="{00000000-0005-0000-0000-0000B5240000}"/>
    <cellStyle name="Percentuale 47 4 2 2" xfId="3147" xr:uid="{00000000-0005-0000-0000-0000B6240000}"/>
    <cellStyle name="Percentuale 47 4 3" xfId="3146" xr:uid="{00000000-0005-0000-0000-0000B7240000}"/>
    <cellStyle name="Percentuale 47 5" xfId="1812" xr:uid="{00000000-0005-0000-0000-0000B8240000}"/>
    <cellStyle name="Percentuale 48" xfId="1813" xr:uid="{00000000-0005-0000-0000-0000B9240000}"/>
    <cellStyle name="Percentuale 48 2" xfId="1814" xr:uid="{00000000-0005-0000-0000-0000BA240000}"/>
    <cellStyle name="Percentuale 48 2 2" xfId="3148" xr:uid="{00000000-0005-0000-0000-0000BB240000}"/>
    <cellStyle name="Percentuale 48 3" xfId="1815" xr:uid="{00000000-0005-0000-0000-0000BC240000}"/>
    <cellStyle name="Percentuale 48 3 2" xfId="1816" xr:uid="{00000000-0005-0000-0000-0000BD240000}"/>
    <cellStyle name="Percentuale 48 3 3" xfId="1817" xr:uid="{00000000-0005-0000-0000-0000BE240000}"/>
    <cellStyle name="Percentuale 48 3 3 2" xfId="3150" xr:uid="{00000000-0005-0000-0000-0000BF240000}"/>
    <cellStyle name="Percentuale 48 3 4" xfId="3149" xr:uid="{00000000-0005-0000-0000-0000C0240000}"/>
    <cellStyle name="Percentuale 48 4" xfId="1818" xr:uid="{00000000-0005-0000-0000-0000C1240000}"/>
    <cellStyle name="Percentuale 48 4 2" xfId="1819" xr:uid="{00000000-0005-0000-0000-0000C2240000}"/>
    <cellStyle name="Percentuale 48 4 2 2" xfId="3152" xr:uid="{00000000-0005-0000-0000-0000C3240000}"/>
    <cellStyle name="Percentuale 48 4 3" xfId="3151" xr:uid="{00000000-0005-0000-0000-0000C4240000}"/>
    <cellStyle name="Percentuale 48 5" xfId="1820" xr:uid="{00000000-0005-0000-0000-0000C5240000}"/>
    <cellStyle name="Percentuale 49" xfId="1821" xr:uid="{00000000-0005-0000-0000-0000C6240000}"/>
    <cellStyle name="Percentuale 49 2" xfId="1822" xr:uid="{00000000-0005-0000-0000-0000C7240000}"/>
    <cellStyle name="Percentuale 49 2 2" xfId="3153" xr:uid="{00000000-0005-0000-0000-0000C8240000}"/>
    <cellStyle name="Percentuale 49 3" xfId="1823" xr:uid="{00000000-0005-0000-0000-0000C9240000}"/>
    <cellStyle name="Percentuale 49 3 2" xfId="1824" xr:uid="{00000000-0005-0000-0000-0000CA240000}"/>
    <cellStyle name="Percentuale 49 3 3" xfId="1825" xr:uid="{00000000-0005-0000-0000-0000CB240000}"/>
    <cellStyle name="Percentuale 49 3 3 2" xfId="3155" xr:uid="{00000000-0005-0000-0000-0000CC240000}"/>
    <cellStyle name="Percentuale 49 3 4" xfId="3154" xr:uid="{00000000-0005-0000-0000-0000CD240000}"/>
    <cellStyle name="Percentuale 49 4" xfId="1826" xr:uid="{00000000-0005-0000-0000-0000CE240000}"/>
    <cellStyle name="Percentuale 49 4 2" xfId="1827" xr:uid="{00000000-0005-0000-0000-0000CF240000}"/>
    <cellStyle name="Percentuale 49 4 2 2" xfId="3157" xr:uid="{00000000-0005-0000-0000-0000D0240000}"/>
    <cellStyle name="Percentuale 49 4 3" xfId="3156" xr:uid="{00000000-0005-0000-0000-0000D1240000}"/>
    <cellStyle name="Percentuale 49 5" xfId="1828" xr:uid="{00000000-0005-0000-0000-0000D2240000}"/>
    <cellStyle name="Percentuale 5" xfId="1829" xr:uid="{00000000-0005-0000-0000-0000D3240000}"/>
    <cellStyle name="Percentuale 5 2" xfId="1830" xr:uid="{00000000-0005-0000-0000-0000D4240000}"/>
    <cellStyle name="Percentuale 5 2 2" xfId="3158" xr:uid="{00000000-0005-0000-0000-0000D5240000}"/>
    <cellStyle name="Percentuale 5 3" xfId="1831" xr:uid="{00000000-0005-0000-0000-0000D6240000}"/>
    <cellStyle name="Percentuale 5 3 2" xfId="1832" xr:uid="{00000000-0005-0000-0000-0000D7240000}"/>
    <cellStyle name="Percentuale 5 3 3" xfId="1833" xr:uid="{00000000-0005-0000-0000-0000D8240000}"/>
    <cellStyle name="Percentuale 5 3 3 2" xfId="3160" xr:uid="{00000000-0005-0000-0000-0000D9240000}"/>
    <cellStyle name="Percentuale 5 3 4" xfId="3159" xr:uid="{00000000-0005-0000-0000-0000DA240000}"/>
    <cellStyle name="Percentuale 5 4" xfId="1834" xr:uid="{00000000-0005-0000-0000-0000DB240000}"/>
    <cellStyle name="Percentuale 5 4 2" xfId="1835" xr:uid="{00000000-0005-0000-0000-0000DC240000}"/>
    <cellStyle name="Percentuale 5 4 2 2" xfId="3162" xr:uid="{00000000-0005-0000-0000-0000DD240000}"/>
    <cellStyle name="Percentuale 5 4 3" xfId="3161" xr:uid="{00000000-0005-0000-0000-0000DE240000}"/>
    <cellStyle name="Percentuale 5 5" xfId="1836" xr:uid="{00000000-0005-0000-0000-0000DF240000}"/>
    <cellStyle name="Percentuale 50" xfId="1837" xr:uid="{00000000-0005-0000-0000-0000E0240000}"/>
    <cellStyle name="Percentuale 50 2" xfId="1838" xr:uid="{00000000-0005-0000-0000-0000E1240000}"/>
    <cellStyle name="Percentuale 50 2 2" xfId="3163" xr:uid="{00000000-0005-0000-0000-0000E2240000}"/>
    <cellStyle name="Percentuale 50 3" xfId="1839" xr:uid="{00000000-0005-0000-0000-0000E3240000}"/>
    <cellStyle name="Percentuale 50 3 2" xfId="1840" xr:uid="{00000000-0005-0000-0000-0000E4240000}"/>
    <cellStyle name="Percentuale 50 3 3" xfId="1841" xr:uid="{00000000-0005-0000-0000-0000E5240000}"/>
    <cellStyle name="Percentuale 50 3 3 2" xfId="3165" xr:uid="{00000000-0005-0000-0000-0000E6240000}"/>
    <cellStyle name="Percentuale 50 3 4" xfId="3164" xr:uid="{00000000-0005-0000-0000-0000E7240000}"/>
    <cellStyle name="Percentuale 50 4" xfId="1842" xr:uid="{00000000-0005-0000-0000-0000E8240000}"/>
    <cellStyle name="Percentuale 50 4 2" xfId="1843" xr:uid="{00000000-0005-0000-0000-0000E9240000}"/>
    <cellStyle name="Percentuale 50 4 2 2" xfId="3167" xr:uid="{00000000-0005-0000-0000-0000EA240000}"/>
    <cellStyle name="Percentuale 50 4 3" xfId="3166" xr:uid="{00000000-0005-0000-0000-0000EB240000}"/>
    <cellStyle name="Percentuale 50 5" xfId="1844" xr:uid="{00000000-0005-0000-0000-0000EC240000}"/>
    <cellStyle name="Percentuale 51" xfId="1845" xr:uid="{00000000-0005-0000-0000-0000ED240000}"/>
    <cellStyle name="Percentuale 51 2" xfId="1846" xr:uid="{00000000-0005-0000-0000-0000EE240000}"/>
    <cellStyle name="Percentuale 51 2 2" xfId="3168" xr:uid="{00000000-0005-0000-0000-0000EF240000}"/>
    <cellStyle name="Percentuale 51 3" xfId="1847" xr:uid="{00000000-0005-0000-0000-0000F0240000}"/>
    <cellStyle name="Percentuale 51 3 2" xfId="1848" xr:uid="{00000000-0005-0000-0000-0000F1240000}"/>
    <cellStyle name="Percentuale 51 3 3" xfId="1849" xr:uid="{00000000-0005-0000-0000-0000F2240000}"/>
    <cellStyle name="Percentuale 51 3 3 2" xfId="3170" xr:uid="{00000000-0005-0000-0000-0000F3240000}"/>
    <cellStyle name="Percentuale 51 3 4" xfId="3169" xr:uid="{00000000-0005-0000-0000-0000F4240000}"/>
    <cellStyle name="Percentuale 51 4" xfId="1850" xr:uid="{00000000-0005-0000-0000-0000F5240000}"/>
    <cellStyle name="Percentuale 51 4 2" xfId="1851" xr:uid="{00000000-0005-0000-0000-0000F6240000}"/>
    <cellStyle name="Percentuale 51 4 2 2" xfId="3172" xr:uid="{00000000-0005-0000-0000-0000F7240000}"/>
    <cellStyle name="Percentuale 51 4 3" xfId="3171" xr:uid="{00000000-0005-0000-0000-0000F8240000}"/>
    <cellStyle name="Percentuale 51 5" xfId="1852" xr:uid="{00000000-0005-0000-0000-0000F9240000}"/>
    <cellStyle name="Percentuale 52" xfId="1853" xr:uid="{00000000-0005-0000-0000-0000FA240000}"/>
    <cellStyle name="Percentuale 52 2" xfId="1854" xr:uid="{00000000-0005-0000-0000-0000FB240000}"/>
    <cellStyle name="Percentuale 52 2 2" xfId="3173" xr:uid="{00000000-0005-0000-0000-0000FC240000}"/>
    <cellStyle name="Percentuale 52 3" xfId="1855" xr:uid="{00000000-0005-0000-0000-0000FD240000}"/>
    <cellStyle name="Percentuale 52 3 2" xfId="1856" xr:uid="{00000000-0005-0000-0000-0000FE240000}"/>
    <cellStyle name="Percentuale 52 3 3" xfId="1857" xr:uid="{00000000-0005-0000-0000-0000FF240000}"/>
    <cellStyle name="Percentuale 52 3 3 2" xfId="3175" xr:uid="{00000000-0005-0000-0000-000000250000}"/>
    <cellStyle name="Percentuale 52 3 4" xfId="3174" xr:uid="{00000000-0005-0000-0000-000001250000}"/>
    <cellStyle name="Percentuale 52 4" xfId="1858" xr:uid="{00000000-0005-0000-0000-000002250000}"/>
    <cellStyle name="Percentuale 52 4 2" xfId="1859" xr:uid="{00000000-0005-0000-0000-000003250000}"/>
    <cellStyle name="Percentuale 52 4 2 2" xfId="3177" xr:uid="{00000000-0005-0000-0000-000004250000}"/>
    <cellStyle name="Percentuale 52 4 3" xfId="3176" xr:uid="{00000000-0005-0000-0000-000005250000}"/>
    <cellStyle name="Percentuale 52 5" xfId="1860" xr:uid="{00000000-0005-0000-0000-000006250000}"/>
    <cellStyle name="Percentuale 53" xfId="1861" xr:uid="{00000000-0005-0000-0000-000007250000}"/>
    <cellStyle name="Percentuale 53 2" xfId="1862" xr:uid="{00000000-0005-0000-0000-000008250000}"/>
    <cellStyle name="Percentuale 53 2 2" xfId="3178" xr:uid="{00000000-0005-0000-0000-000009250000}"/>
    <cellStyle name="Percentuale 53 3" xfId="1863" xr:uid="{00000000-0005-0000-0000-00000A250000}"/>
    <cellStyle name="Percentuale 53 3 2" xfId="1864" xr:uid="{00000000-0005-0000-0000-00000B250000}"/>
    <cellStyle name="Percentuale 53 3 3" xfId="1865" xr:uid="{00000000-0005-0000-0000-00000C250000}"/>
    <cellStyle name="Percentuale 53 3 3 2" xfId="3180" xr:uid="{00000000-0005-0000-0000-00000D250000}"/>
    <cellStyle name="Percentuale 53 3 4" xfId="3179" xr:uid="{00000000-0005-0000-0000-00000E250000}"/>
    <cellStyle name="Percentuale 53 4" xfId="1866" xr:uid="{00000000-0005-0000-0000-00000F250000}"/>
    <cellStyle name="Percentuale 53 4 2" xfId="1867" xr:uid="{00000000-0005-0000-0000-000010250000}"/>
    <cellStyle name="Percentuale 53 4 2 2" xfId="3182" xr:uid="{00000000-0005-0000-0000-000011250000}"/>
    <cellStyle name="Percentuale 53 4 3" xfId="3181" xr:uid="{00000000-0005-0000-0000-000012250000}"/>
    <cellStyle name="Percentuale 53 5" xfId="1868" xr:uid="{00000000-0005-0000-0000-000013250000}"/>
    <cellStyle name="Percentuale 54" xfId="1869" xr:uid="{00000000-0005-0000-0000-000014250000}"/>
    <cellStyle name="Percentuale 54 2" xfId="1870" xr:uid="{00000000-0005-0000-0000-000015250000}"/>
    <cellStyle name="Percentuale 54 2 2" xfId="3183" xr:uid="{00000000-0005-0000-0000-000016250000}"/>
    <cellStyle name="Percentuale 54 3" xfId="1871" xr:uid="{00000000-0005-0000-0000-000017250000}"/>
    <cellStyle name="Percentuale 54 3 2" xfId="1872" xr:uid="{00000000-0005-0000-0000-000018250000}"/>
    <cellStyle name="Percentuale 54 3 3" xfId="1873" xr:uid="{00000000-0005-0000-0000-000019250000}"/>
    <cellStyle name="Percentuale 54 3 3 2" xfId="3185" xr:uid="{00000000-0005-0000-0000-00001A250000}"/>
    <cellStyle name="Percentuale 54 3 4" xfId="3184" xr:uid="{00000000-0005-0000-0000-00001B250000}"/>
    <cellStyle name="Percentuale 54 4" xfId="1874" xr:uid="{00000000-0005-0000-0000-00001C250000}"/>
    <cellStyle name="Percentuale 54 4 2" xfId="1875" xr:uid="{00000000-0005-0000-0000-00001D250000}"/>
    <cellStyle name="Percentuale 54 4 2 2" xfId="3187" xr:uid="{00000000-0005-0000-0000-00001E250000}"/>
    <cellStyle name="Percentuale 54 4 3" xfId="3186" xr:uid="{00000000-0005-0000-0000-00001F250000}"/>
    <cellStyle name="Percentuale 54 5" xfId="1876" xr:uid="{00000000-0005-0000-0000-000020250000}"/>
    <cellStyle name="Percentuale 55" xfId="1877" xr:uid="{00000000-0005-0000-0000-000021250000}"/>
    <cellStyle name="Percentuale 55 2" xfId="1878" xr:uid="{00000000-0005-0000-0000-000022250000}"/>
    <cellStyle name="Percentuale 55 2 2" xfId="3188" xr:uid="{00000000-0005-0000-0000-000023250000}"/>
    <cellStyle name="Percentuale 55 3" xfId="1879" xr:uid="{00000000-0005-0000-0000-000024250000}"/>
    <cellStyle name="Percentuale 55 3 2" xfId="1880" xr:uid="{00000000-0005-0000-0000-000025250000}"/>
    <cellStyle name="Percentuale 55 3 3" xfId="1881" xr:uid="{00000000-0005-0000-0000-000026250000}"/>
    <cellStyle name="Percentuale 55 3 3 2" xfId="3190" xr:uid="{00000000-0005-0000-0000-000027250000}"/>
    <cellStyle name="Percentuale 55 3 4" xfId="3189" xr:uid="{00000000-0005-0000-0000-000028250000}"/>
    <cellStyle name="Percentuale 55 4" xfId="1882" xr:uid="{00000000-0005-0000-0000-000029250000}"/>
    <cellStyle name="Percentuale 55 4 2" xfId="1883" xr:uid="{00000000-0005-0000-0000-00002A250000}"/>
    <cellStyle name="Percentuale 55 4 2 2" xfId="3192" xr:uid="{00000000-0005-0000-0000-00002B250000}"/>
    <cellStyle name="Percentuale 55 4 3" xfId="3191" xr:uid="{00000000-0005-0000-0000-00002C250000}"/>
    <cellStyle name="Percentuale 55 5" xfId="1884" xr:uid="{00000000-0005-0000-0000-00002D250000}"/>
    <cellStyle name="Percentuale 56" xfId="1885" xr:uid="{00000000-0005-0000-0000-00002E250000}"/>
    <cellStyle name="Percentuale 56 2" xfId="1886" xr:uid="{00000000-0005-0000-0000-00002F250000}"/>
    <cellStyle name="Percentuale 56 2 2" xfId="3193" xr:uid="{00000000-0005-0000-0000-000030250000}"/>
    <cellStyle name="Percentuale 56 3" xfId="1887" xr:uid="{00000000-0005-0000-0000-000031250000}"/>
    <cellStyle name="Percentuale 56 3 2" xfId="1888" xr:uid="{00000000-0005-0000-0000-000032250000}"/>
    <cellStyle name="Percentuale 56 3 3" xfId="1889" xr:uid="{00000000-0005-0000-0000-000033250000}"/>
    <cellStyle name="Percentuale 56 3 3 2" xfId="3195" xr:uid="{00000000-0005-0000-0000-000034250000}"/>
    <cellStyle name="Percentuale 56 3 4" xfId="3194" xr:uid="{00000000-0005-0000-0000-000035250000}"/>
    <cellStyle name="Percentuale 56 4" xfId="1890" xr:uid="{00000000-0005-0000-0000-000036250000}"/>
    <cellStyle name="Percentuale 56 4 2" xfId="1891" xr:uid="{00000000-0005-0000-0000-000037250000}"/>
    <cellStyle name="Percentuale 56 4 2 2" xfId="3197" xr:uid="{00000000-0005-0000-0000-000038250000}"/>
    <cellStyle name="Percentuale 56 4 3" xfId="3196" xr:uid="{00000000-0005-0000-0000-000039250000}"/>
    <cellStyle name="Percentuale 56 5" xfId="1892" xr:uid="{00000000-0005-0000-0000-00003A250000}"/>
    <cellStyle name="Percentuale 57" xfId="1893" xr:uid="{00000000-0005-0000-0000-00003B250000}"/>
    <cellStyle name="Percentuale 57 2" xfId="1894" xr:uid="{00000000-0005-0000-0000-00003C250000}"/>
    <cellStyle name="Percentuale 57 2 2" xfId="3198" xr:uid="{00000000-0005-0000-0000-00003D250000}"/>
    <cellStyle name="Percentuale 57 3" xfId="1895" xr:uid="{00000000-0005-0000-0000-00003E250000}"/>
    <cellStyle name="Percentuale 57 3 2" xfId="1896" xr:uid="{00000000-0005-0000-0000-00003F250000}"/>
    <cellStyle name="Percentuale 57 3 3" xfId="1897" xr:uid="{00000000-0005-0000-0000-000040250000}"/>
    <cellStyle name="Percentuale 57 3 3 2" xfId="3200" xr:uid="{00000000-0005-0000-0000-000041250000}"/>
    <cellStyle name="Percentuale 57 3 4" xfId="3199" xr:uid="{00000000-0005-0000-0000-000042250000}"/>
    <cellStyle name="Percentuale 57 4" xfId="1898" xr:uid="{00000000-0005-0000-0000-000043250000}"/>
    <cellStyle name="Percentuale 57 4 2" xfId="1899" xr:uid="{00000000-0005-0000-0000-000044250000}"/>
    <cellStyle name="Percentuale 57 4 2 2" xfId="3202" xr:uid="{00000000-0005-0000-0000-000045250000}"/>
    <cellStyle name="Percentuale 57 4 3" xfId="3201" xr:uid="{00000000-0005-0000-0000-000046250000}"/>
    <cellStyle name="Percentuale 57 5" xfId="1900" xr:uid="{00000000-0005-0000-0000-000047250000}"/>
    <cellStyle name="Percentuale 58" xfId="1901" xr:uid="{00000000-0005-0000-0000-000048250000}"/>
    <cellStyle name="Percentuale 58 2" xfId="1902" xr:uid="{00000000-0005-0000-0000-000049250000}"/>
    <cellStyle name="Percentuale 58 2 2" xfId="3203" xr:uid="{00000000-0005-0000-0000-00004A250000}"/>
    <cellStyle name="Percentuale 58 3" xfId="1903" xr:uid="{00000000-0005-0000-0000-00004B250000}"/>
    <cellStyle name="Percentuale 58 3 2" xfId="1904" xr:uid="{00000000-0005-0000-0000-00004C250000}"/>
    <cellStyle name="Percentuale 58 3 3" xfId="1905" xr:uid="{00000000-0005-0000-0000-00004D250000}"/>
    <cellStyle name="Percentuale 58 3 3 2" xfId="3205" xr:uid="{00000000-0005-0000-0000-00004E250000}"/>
    <cellStyle name="Percentuale 58 3 4" xfId="3204" xr:uid="{00000000-0005-0000-0000-00004F250000}"/>
    <cellStyle name="Percentuale 58 4" xfId="1906" xr:uid="{00000000-0005-0000-0000-000050250000}"/>
    <cellStyle name="Percentuale 58 4 2" xfId="1907" xr:uid="{00000000-0005-0000-0000-000051250000}"/>
    <cellStyle name="Percentuale 58 4 2 2" xfId="3207" xr:uid="{00000000-0005-0000-0000-000052250000}"/>
    <cellStyle name="Percentuale 58 4 3" xfId="3206" xr:uid="{00000000-0005-0000-0000-000053250000}"/>
    <cellStyle name="Percentuale 58 5" xfId="1908" xr:uid="{00000000-0005-0000-0000-000054250000}"/>
    <cellStyle name="Percentuale 59" xfId="1909" xr:uid="{00000000-0005-0000-0000-000055250000}"/>
    <cellStyle name="Percentuale 59 2" xfId="1910" xr:uid="{00000000-0005-0000-0000-000056250000}"/>
    <cellStyle name="Percentuale 59 2 2" xfId="3208" xr:uid="{00000000-0005-0000-0000-000057250000}"/>
    <cellStyle name="Percentuale 59 3" xfId="1911" xr:uid="{00000000-0005-0000-0000-000058250000}"/>
    <cellStyle name="Percentuale 59 3 2" xfId="1912" xr:uid="{00000000-0005-0000-0000-000059250000}"/>
    <cellStyle name="Percentuale 59 3 3" xfId="1913" xr:uid="{00000000-0005-0000-0000-00005A250000}"/>
    <cellStyle name="Percentuale 59 3 3 2" xfId="3210" xr:uid="{00000000-0005-0000-0000-00005B250000}"/>
    <cellStyle name="Percentuale 59 3 4" xfId="3209" xr:uid="{00000000-0005-0000-0000-00005C250000}"/>
    <cellStyle name="Percentuale 59 4" xfId="1914" xr:uid="{00000000-0005-0000-0000-00005D250000}"/>
    <cellStyle name="Percentuale 59 4 2" xfId="1915" xr:uid="{00000000-0005-0000-0000-00005E250000}"/>
    <cellStyle name="Percentuale 59 4 2 2" xfId="3212" xr:uid="{00000000-0005-0000-0000-00005F250000}"/>
    <cellStyle name="Percentuale 59 4 3" xfId="3211" xr:uid="{00000000-0005-0000-0000-000060250000}"/>
    <cellStyle name="Percentuale 59 5" xfId="1916" xr:uid="{00000000-0005-0000-0000-000061250000}"/>
    <cellStyle name="Percentuale 6" xfId="1917" xr:uid="{00000000-0005-0000-0000-000062250000}"/>
    <cellStyle name="Percentuale 6 2" xfId="1918" xr:uid="{00000000-0005-0000-0000-000063250000}"/>
    <cellStyle name="Percentuale 6 2 2" xfId="3213" xr:uid="{00000000-0005-0000-0000-000064250000}"/>
    <cellStyle name="Percentuale 6 3" xfId="1919" xr:uid="{00000000-0005-0000-0000-000065250000}"/>
    <cellStyle name="Percentuale 6 3 2" xfId="1920" xr:uid="{00000000-0005-0000-0000-000066250000}"/>
    <cellStyle name="Percentuale 6 3 3" xfId="1921" xr:uid="{00000000-0005-0000-0000-000067250000}"/>
    <cellStyle name="Percentuale 6 3 3 2" xfId="3215" xr:uid="{00000000-0005-0000-0000-000068250000}"/>
    <cellStyle name="Percentuale 6 3 4" xfId="3214" xr:uid="{00000000-0005-0000-0000-000069250000}"/>
    <cellStyle name="Percentuale 6 4" xfId="1922" xr:uid="{00000000-0005-0000-0000-00006A250000}"/>
    <cellStyle name="Percentuale 6 4 2" xfId="1923" xr:uid="{00000000-0005-0000-0000-00006B250000}"/>
    <cellStyle name="Percentuale 6 4 2 2" xfId="3217" xr:uid="{00000000-0005-0000-0000-00006C250000}"/>
    <cellStyle name="Percentuale 6 4 3" xfId="3216" xr:uid="{00000000-0005-0000-0000-00006D250000}"/>
    <cellStyle name="Percentuale 6 5" xfId="1924" xr:uid="{00000000-0005-0000-0000-00006E250000}"/>
    <cellStyle name="Percentuale 60" xfId="1925" xr:uid="{00000000-0005-0000-0000-00006F250000}"/>
    <cellStyle name="Percentuale 60 2" xfId="1926" xr:uid="{00000000-0005-0000-0000-000070250000}"/>
    <cellStyle name="Percentuale 60 2 2" xfId="3218" xr:uid="{00000000-0005-0000-0000-000071250000}"/>
    <cellStyle name="Percentuale 60 3" xfId="1927" xr:uid="{00000000-0005-0000-0000-000072250000}"/>
    <cellStyle name="Percentuale 60 3 2" xfId="1928" xr:uid="{00000000-0005-0000-0000-000073250000}"/>
    <cellStyle name="Percentuale 60 3 3" xfId="1929" xr:uid="{00000000-0005-0000-0000-000074250000}"/>
    <cellStyle name="Percentuale 60 3 3 2" xfId="3220" xr:uid="{00000000-0005-0000-0000-000075250000}"/>
    <cellStyle name="Percentuale 60 3 4" xfId="3219" xr:uid="{00000000-0005-0000-0000-000076250000}"/>
    <cellStyle name="Percentuale 60 4" xfId="1930" xr:uid="{00000000-0005-0000-0000-000077250000}"/>
    <cellStyle name="Percentuale 60 4 2" xfId="1931" xr:uid="{00000000-0005-0000-0000-000078250000}"/>
    <cellStyle name="Percentuale 60 4 2 2" xfId="3222" xr:uid="{00000000-0005-0000-0000-000079250000}"/>
    <cellStyle name="Percentuale 60 4 3" xfId="3221" xr:uid="{00000000-0005-0000-0000-00007A250000}"/>
    <cellStyle name="Percentuale 60 5" xfId="1932" xr:uid="{00000000-0005-0000-0000-00007B250000}"/>
    <cellStyle name="Percentuale 61" xfId="1933" xr:uid="{00000000-0005-0000-0000-00007C250000}"/>
    <cellStyle name="Percentuale 61 2" xfId="1934" xr:uid="{00000000-0005-0000-0000-00007D250000}"/>
    <cellStyle name="Percentuale 61 2 2" xfId="3223" xr:uid="{00000000-0005-0000-0000-00007E250000}"/>
    <cellStyle name="Percentuale 61 3" xfId="1935" xr:uid="{00000000-0005-0000-0000-00007F250000}"/>
    <cellStyle name="Percentuale 61 3 2" xfId="1936" xr:uid="{00000000-0005-0000-0000-000080250000}"/>
    <cellStyle name="Percentuale 61 3 3" xfId="1937" xr:uid="{00000000-0005-0000-0000-000081250000}"/>
    <cellStyle name="Percentuale 61 3 3 2" xfId="3225" xr:uid="{00000000-0005-0000-0000-000082250000}"/>
    <cellStyle name="Percentuale 61 3 4" xfId="3224" xr:uid="{00000000-0005-0000-0000-000083250000}"/>
    <cellStyle name="Percentuale 61 4" xfId="1938" xr:uid="{00000000-0005-0000-0000-000084250000}"/>
    <cellStyle name="Percentuale 61 4 2" xfId="1939" xr:uid="{00000000-0005-0000-0000-000085250000}"/>
    <cellStyle name="Percentuale 61 4 2 2" xfId="3227" xr:uid="{00000000-0005-0000-0000-000086250000}"/>
    <cellStyle name="Percentuale 61 4 3" xfId="3226" xr:uid="{00000000-0005-0000-0000-000087250000}"/>
    <cellStyle name="Percentuale 61 5" xfId="1940" xr:uid="{00000000-0005-0000-0000-000088250000}"/>
    <cellStyle name="Percentuale 62" xfId="1941" xr:uid="{00000000-0005-0000-0000-000089250000}"/>
    <cellStyle name="Percentuale 62 2" xfId="3228" xr:uid="{00000000-0005-0000-0000-00008A250000}"/>
    <cellStyle name="Percentuale 63" xfId="1942" xr:uid="{00000000-0005-0000-0000-00008B250000}"/>
    <cellStyle name="Percentuale 63 2" xfId="3229" xr:uid="{00000000-0005-0000-0000-00008C250000}"/>
    <cellStyle name="Percentuale 64" xfId="1943" xr:uid="{00000000-0005-0000-0000-00008D250000}"/>
    <cellStyle name="Percentuale 64 2" xfId="3230" xr:uid="{00000000-0005-0000-0000-00008E250000}"/>
    <cellStyle name="Percentuale 65" xfId="1944" xr:uid="{00000000-0005-0000-0000-00008F250000}"/>
    <cellStyle name="Percentuale 65 2" xfId="3231" xr:uid="{00000000-0005-0000-0000-000090250000}"/>
    <cellStyle name="Percentuale 66" xfId="1945" xr:uid="{00000000-0005-0000-0000-000091250000}"/>
    <cellStyle name="Percentuale 66 2" xfId="3232" xr:uid="{00000000-0005-0000-0000-000092250000}"/>
    <cellStyle name="Percentuale 67" xfId="1946" xr:uid="{00000000-0005-0000-0000-000093250000}"/>
    <cellStyle name="Percentuale 67 2" xfId="3233" xr:uid="{00000000-0005-0000-0000-000094250000}"/>
    <cellStyle name="Percentuale 68" xfId="1947" xr:uid="{00000000-0005-0000-0000-000095250000}"/>
    <cellStyle name="Percentuale 68 2" xfId="1948" xr:uid="{00000000-0005-0000-0000-000096250000}"/>
    <cellStyle name="Percentuale 68 2 2" xfId="3234" xr:uid="{00000000-0005-0000-0000-000097250000}"/>
    <cellStyle name="Percentuale 68 3" xfId="1949" xr:uid="{00000000-0005-0000-0000-000098250000}"/>
    <cellStyle name="Percentuale 68 3 2" xfId="1950" xr:uid="{00000000-0005-0000-0000-000099250000}"/>
    <cellStyle name="Percentuale 68 3 3" xfId="1951" xr:uid="{00000000-0005-0000-0000-00009A250000}"/>
    <cellStyle name="Percentuale 68 3 3 2" xfId="3236" xr:uid="{00000000-0005-0000-0000-00009B250000}"/>
    <cellStyle name="Percentuale 68 3 4" xfId="3235" xr:uid="{00000000-0005-0000-0000-00009C250000}"/>
    <cellStyle name="Percentuale 68 4" xfId="1952" xr:uid="{00000000-0005-0000-0000-00009D250000}"/>
    <cellStyle name="Percentuale 68 4 2" xfId="1953" xr:uid="{00000000-0005-0000-0000-00009E250000}"/>
    <cellStyle name="Percentuale 68 4 2 2" xfId="3238" xr:uid="{00000000-0005-0000-0000-00009F250000}"/>
    <cellStyle name="Percentuale 68 4 3" xfId="3237" xr:uid="{00000000-0005-0000-0000-0000A0250000}"/>
    <cellStyle name="Percentuale 68 5" xfId="1954" xr:uid="{00000000-0005-0000-0000-0000A1250000}"/>
    <cellStyle name="Percentuale 69" xfId="1955" xr:uid="{00000000-0005-0000-0000-0000A2250000}"/>
    <cellStyle name="Percentuale 69 2" xfId="1956" xr:uid="{00000000-0005-0000-0000-0000A3250000}"/>
    <cellStyle name="Percentuale 69 2 2" xfId="3239" xr:uid="{00000000-0005-0000-0000-0000A4250000}"/>
    <cellStyle name="Percentuale 69 3" xfId="1957" xr:uid="{00000000-0005-0000-0000-0000A5250000}"/>
    <cellStyle name="Percentuale 69 3 2" xfId="1958" xr:uid="{00000000-0005-0000-0000-0000A6250000}"/>
    <cellStyle name="Percentuale 69 3 3" xfId="1959" xr:uid="{00000000-0005-0000-0000-0000A7250000}"/>
    <cellStyle name="Percentuale 69 3 3 2" xfId="3241" xr:uid="{00000000-0005-0000-0000-0000A8250000}"/>
    <cellStyle name="Percentuale 69 3 4" xfId="3240" xr:uid="{00000000-0005-0000-0000-0000A9250000}"/>
    <cellStyle name="Percentuale 69 4" xfId="1960" xr:uid="{00000000-0005-0000-0000-0000AA250000}"/>
    <cellStyle name="Percentuale 69 4 2" xfId="1961" xr:uid="{00000000-0005-0000-0000-0000AB250000}"/>
    <cellStyle name="Percentuale 69 4 2 2" xfId="3243" xr:uid="{00000000-0005-0000-0000-0000AC250000}"/>
    <cellStyle name="Percentuale 69 4 3" xfId="3242" xr:uid="{00000000-0005-0000-0000-0000AD250000}"/>
    <cellStyle name="Percentuale 69 5" xfId="1962" xr:uid="{00000000-0005-0000-0000-0000AE250000}"/>
    <cellStyle name="Percentuale 7" xfId="1963" xr:uid="{00000000-0005-0000-0000-0000AF250000}"/>
    <cellStyle name="Percentuale 7 2" xfId="1964" xr:uid="{00000000-0005-0000-0000-0000B0250000}"/>
    <cellStyle name="Percentuale 7 2 2" xfId="3244" xr:uid="{00000000-0005-0000-0000-0000B1250000}"/>
    <cellStyle name="Percentuale 7 3" xfId="1965" xr:uid="{00000000-0005-0000-0000-0000B2250000}"/>
    <cellStyle name="Percentuale 7 3 2" xfId="1966" xr:uid="{00000000-0005-0000-0000-0000B3250000}"/>
    <cellStyle name="Percentuale 7 3 3" xfId="1967" xr:uid="{00000000-0005-0000-0000-0000B4250000}"/>
    <cellStyle name="Percentuale 7 3 3 2" xfId="3246" xr:uid="{00000000-0005-0000-0000-0000B5250000}"/>
    <cellStyle name="Percentuale 7 3 4" xfId="3245" xr:uid="{00000000-0005-0000-0000-0000B6250000}"/>
    <cellStyle name="Percentuale 7 4" xfId="1968" xr:uid="{00000000-0005-0000-0000-0000B7250000}"/>
    <cellStyle name="Percentuale 7 4 2" xfId="1969" xr:uid="{00000000-0005-0000-0000-0000B8250000}"/>
    <cellStyle name="Percentuale 7 4 2 2" xfId="3248" xr:uid="{00000000-0005-0000-0000-0000B9250000}"/>
    <cellStyle name="Percentuale 7 4 3" xfId="3247" xr:uid="{00000000-0005-0000-0000-0000BA250000}"/>
    <cellStyle name="Percentuale 7 5" xfId="1970" xr:uid="{00000000-0005-0000-0000-0000BB250000}"/>
    <cellStyle name="Percentuale 8" xfId="1971" xr:uid="{00000000-0005-0000-0000-0000BC250000}"/>
    <cellStyle name="Percentuale 8 2" xfId="1972" xr:uid="{00000000-0005-0000-0000-0000BD250000}"/>
    <cellStyle name="Percentuale 8 2 2" xfId="3249" xr:uid="{00000000-0005-0000-0000-0000BE250000}"/>
    <cellStyle name="Percentuale 8 3" xfId="1973" xr:uid="{00000000-0005-0000-0000-0000BF250000}"/>
    <cellStyle name="Percentuale 8 3 2" xfId="1974" xr:uid="{00000000-0005-0000-0000-0000C0250000}"/>
    <cellStyle name="Percentuale 8 3 3" xfId="1975" xr:uid="{00000000-0005-0000-0000-0000C1250000}"/>
    <cellStyle name="Percentuale 8 3 3 2" xfId="3251" xr:uid="{00000000-0005-0000-0000-0000C2250000}"/>
    <cellStyle name="Percentuale 8 3 4" xfId="3250" xr:uid="{00000000-0005-0000-0000-0000C3250000}"/>
    <cellStyle name="Percentuale 8 4" xfId="1976" xr:uid="{00000000-0005-0000-0000-0000C4250000}"/>
    <cellStyle name="Percentuale 8 4 2" xfId="1977" xr:uid="{00000000-0005-0000-0000-0000C5250000}"/>
    <cellStyle name="Percentuale 8 4 2 2" xfId="3253" xr:uid="{00000000-0005-0000-0000-0000C6250000}"/>
    <cellStyle name="Percentuale 8 4 3" xfId="3252" xr:uid="{00000000-0005-0000-0000-0000C7250000}"/>
    <cellStyle name="Percentuale 8 5" xfId="1978" xr:uid="{00000000-0005-0000-0000-0000C8250000}"/>
    <cellStyle name="Percentuale 9" xfId="1979" xr:uid="{00000000-0005-0000-0000-0000C9250000}"/>
    <cellStyle name="Percentuale 9 2" xfId="1980" xr:uid="{00000000-0005-0000-0000-0000CA250000}"/>
    <cellStyle name="Percentuale 9 2 2" xfId="3254" xr:uid="{00000000-0005-0000-0000-0000CB250000}"/>
    <cellStyle name="Percentuale 9 3" xfId="1981" xr:uid="{00000000-0005-0000-0000-0000CC250000}"/>
    <cellStyle name="Percentuale 9 3 2" xfId="1982" xr:uid="{00000000-0005-0000-0000-0000CD250000}"/>
    <cellStyle name="Percentuale 9 3 3" xfId="1983" xr:uid="{00000000-0005-0000-0000-0000CE250000}"/>
    <cellStyle name="Percentuale 9 3 3 2" xfId="3256" xr:uid="{00000000-0005-0000-0000-0000CF250000}"/>
    <cellStyle name="Percentuale 9 3 4" xfId="3255" xr:uid="{00000000-0005-0000-0000-0000D0250000}"/>
    <cellStyle name="Percentuale 9 4" xfId="1984" xr:uid="{00000000-0005-0000-0000-0000D1250000}"/>
    <cellStyle name="Percentuale 9 4 2" xfId="1985" xr:uid="{00000000-0005-0000-0000-0000D2250000}"/>
    <cellStyle name="Percentuale 9 4 2 2" xfId="3258" xr:uid="{00000000-0005-0000-0000-0000D3250000}"/>
    <cellStyle name="Percentuale 9 4 3" xfId="3257" xr:uid="{00000000-0005-0000-0000-0000D4250000}"/>
    <cellStyle name="Percentuale 9 5" xfId="1986" xr:uid="{00000000-0005-0000-0000-0000D5250000}"/>
    <cellStyle name="Procent" xfId="1473" builtinId="5"/>
    <cellStyle name="Procent 10" xfId="4001" xr:uid="{00000000-0005-0000-0000-0000D7250000}"/>
    <cellStyle name="Procent 10 2" xfId="4002" xr:uid="{00000000-0005-0000-0000-0000D8250000}"/>
    <cellStyle name="Procent 10 2 2" xfId="4626" xr:uid="{00000000-0005-0000-0000-0000D9250000}"/>
    <cellStyle name="Procent 10 2 2 2" xfId="7794" xr:uid="{00000000-0005-0000-0000-0000DA250000}"/>
    <cellStyle name="Procent 10 2 2 2 2" xfId="10549" xr:uid="{00000000-0005-0000-0000-0000DB250000}"/>
    <cellStyle name="Procent 10 2 2 3" xfId="9187" xr:uid="{00000000-0005-0000-0000-0000DC250000}"/>
    <cellStyle name="Procent 10 2 3" xfId="7170" xr:uid="{00000000-0005-0000-0000-0000DD250000}"/>
    <cellStyle name="Procent 10 2 3 2" xfId="9925" xr:uid="{00000000-0005-0000-0000-0000DE250000}"/>
    <cellStyle name="Procent 10 2 4" xfId="8563" xr:uid="{00000000-0005-0000-0000-0000DF250000}"/>
    <cellStyle name="Procent 10 3" xfId="4003" xr:uid="{00000000-0005-0000-0000-0000E0250000}"/>
    <cellStyle name="Procent 10 3 2" xfId="4627" xr:uid="{00000000-0005-0000-0000-0000E1250000}"/>
    <cellStyle name="Procent 10 3 2 2" xfId="7795" xr:uid="{00000000-0005-0000-0000-0000E2250000}"/>
    <cellStyle name="Procent 10 3 2 2 2" xfId="10550" xr:uid="{00000000-0005-0000-0000-0000E3250000}"/>
    <cellStyle name="Procent 10 3 2 3" xfId="9188" xr:uid="{00000000-0005-0000-0000-0000E4250000}"/>
    <cellStyle name="Procent 10 3 3" xfId="7171" xr:uid="{00000000-0005-0000-0000-0000E5250000}"/>
    <cellStyle name="Procent 10 3 3 2" xfId="9926" xr:uid="{00000000-0005-0000-0000-0000E6250000}"/>
    <cellStyle name="Procent 10 3 4" xfId="8564" xr:uid="{00000000-0005-0000-0000-0000E7250000}"/>
    <cellStyle name="Procent 10 4" xfId="4004" xr:uid="{00000000-0005-0000-0000-0000E8250000}"/>
    <cellStyle name="Procent 10 4 2" xfId="4628" xr:uid="{00000000-0005-0000-0000-0000E9250000}"/>
    <cellStyle name="Procent 10 4 2 2" xfId="7796" xr:uid="{00000000-0005-0000-0000-0000EA250000}"/>
    <cellStyle name="Procent 10 4 2 2 2" xfId="10551" xr:uid="{00000000-0005-0000-0000-0000EB250000}"/>
    <cellStyle name="Procent 10 4 2 3" xfId="9189" xr:uid="{00000000-0005-0000-0000-0000EC250000}"/>
    <cellStyle name="Procent 10 4 3" xfId="7172" xr:uid="{00000000-0005-0000-0000-0000ED250000}"/>
    <cellStyle name="Procent 10 4 3 2" xfId="9927" xr:uid="{00000000-0005-0000-0000-0000EE250000}"/>
    <cellStyle name="Procent 10 4 4" xfId="8565" xr:uid="{00000000-0005-0000-0000-0000EF250000}"/>
    <cellStyle name="Procent 10 5" xfId="4625" xr:uid="{00000000-0005-0000-0000-0000F0250000}"/>
    <cellStyle name="Procent 10 5 2" xfId="7793" xr:uid="{00000000-0005-0000-0000-0000F1250000}"/>
    <cellStyle name="Procent 10 5 2 2" xfId="10548" xr:uid="{00000000-0005-0000-0000-0000F2250000}"/>
    <cellStyle name="Procent 10 5 3" xfId="9186" xr:uid="{00000000-0005-0000-0000-0000F3250000}"/>
    <cellStyle name="Procent 10 6" xfId="7169" xr:uid="{00000000-0005-0000-0000-0000F4250000}"/>
    <cellStyle name="Procent 10 6 2" xfId="9924" xr:uid="{00000000-0005-0000-0000-0000F5250000}"/>
    <cellStyle name="Procent 10 7" xfId="8562" xr:uid="{00000000-0005-0000-0000-0000F6250000}"/>
    <cellStyle name="Procent 11" xfId="4005" xr:uid="{00000000-0005-0000-0000-0000F7250000}"/>
    <cellStyle name="Procent 11 2" xfId="4629" xr:uid="{00000000-0005-0000-0000-0000F8250000}"/>
    <cellStyle name="Procent 11 2 2" xfId="7797" xr:uid="{00000000-0005-0000-0000-0000F9250000}"/>
    <cellStyle name="Procent 11 2 2 2" xfId="10552" xr:uid="{00000000-0005-0000-0000-0000FA250000}"/>
    <cellStyle name="Procent 11 2 3" xfId="9190" xr:uid="{00000000-0005-0000-0000-0000FB250000}"/>
    <cellStyle name="Procent 11 3" xfId="7173" xr:uid="{00000000-0005-0000-0000-0000FC250000}"/>
    <cellStyle name="Procent 11 3 2" xfId="9928" xr:uid="{00000000-0005-0000-0000-0000FD250000}"/>
    <cellStyle name="Procent 11 4" xfId="8566" xr:uid="{00000000-0005-0000-0000-0000FE250000}"/>
    <cellStyle name="Procent 12" xfId="3514" xr:uid="{00000000-0005-0000-0000-0000FF250000}"/>
    <cellStyle name="Procent 12 2" xfId="4155" xr:uid="{00000000-0005-0000-0000-000000260000}"/>
    <cellStyle name="Procent 12 2 2" xfId="7323" xr:uid="{00000000-0005-0000-0000-000001260000}"/>
    <cellStyle name="Procent 12 2 2 2" xfId="10078" xr:uid="{00000000-0005-0000-0000-000002260000}"/>
    <cellStyle name="Procent 12 2 3" xfId="8716" xr:uid="{00000000-0005-0000-0000-000003260000}"/>
    <cellStyle name="Procent 12 3" xfId="6712" xr:uid="{00000000-0005-0000-0000-000004260000}"/>
    <cellStyle name="Procent 12 3 2" xfId="9467" xr:uid="{00000000-0005-0000-0000-000005260000}"/>
    <cellStyle name="Procent 12 4" xfId="8100" xr:uid="{00000000-0005-0000-0000-000006260000}"/>
    <cellStyle name="Procent 13" xfId="4730" xr:uid="{00000000-0005-0000-0000-000007260000}"/>
    <cellStyle name="Procent 2" xfId="1987" xr:uid="{00000000-0005-0000-0000-000008260000}"/>
    <cellStyle name="Procent 2 10" xfId="4006" xr:uid="{00000000-0005-0000-0000-000009260000}"/>
    <cellStyle name="Procent 2 10 2" xfId="4007" xr:uid="{00000000-0005-0000-0000-00000A260000}"/>
    <cellStyle name="Procent 2 10 2 2" xfId="4631" xr:uid="{00000000-0005-0000-0000-00000B260000}"/>
    <cellStyle name="Procent 2 10 2 2 2" xfId="7799" xr:uid="{00000000-0005-0000-0000-00000C260000}"/>
    <cellStyle name="Procent 2 10 2 2 2 2" xfId="10554" xr:uid="{00000000-0005-0000-0000-00000D260000}"/>
    <cellStyle name="Procent 2 10 2 2 3" xfId="9192" xr:uid="{00000000-0005-0000-0000-00000E260000}"/>
    <cellStyle name="Procent 2 10 2 3" xfId="7175" xr:uid="{00000000-0005-0000-0000-00000F260000}"/>
    <cellStyle name="Procent 2 10 2 3 2" xfId="9930" xr:uid="{00000000-0005-0000-0000-000010260000}"/>
    <cellStyle name="Procent 2 10 2 4" xfId="8568" xr:uid="{00000000-0005-0000-0000-000011260000}"/>
    <cellStyle name="Procent 2 10 3" xfId="4630" xr:uid="{00000000-0005-0000-0000-000012260000}"/>
    <cellStyle name="Procent 2 10 3 2" xfId="7798" xr:uid="{00000000-0005-0000-0000-000013260000}"/>
    <cellStyle name="Procent 2 10 3 2 2" xfId="10553" xr:uid="{00000000-0005-0000-0000-000014260000}"/>
    <cellStyle name="Procent 2 10 3 3" xfId="9191" xr:uid="{00000000-0005-0000-0000-000015260000}"/>
    <cellStyle name="Procent 2 10 4" xfId="7174" xr:uid="{00000000-0005-0000-0000-000016260000}"/>
    <cellStyle name="Procent 2 10 4 2" xfId="9929" xr:uid="{00000000-0005-0000-0000-000017260000}"/>
    <cellStyle name="Procent 2 10 5" xfId="8567" xr:uid="{00000000-0005-0000-0000-000018260000}"/>
    <cellStyle name="Procent 2 11" xfId="4008" xr:uid="{00000000-0005-0000-0000-000019260000}"/>
    <cellStyle name="Procent 2 11 2" xfId="4632" xr:uid="{00000000-0005-0000-0000-00001A260000}"/>
    <cellStyle name="Procent 2 11 2 2" xfId="7800" xr:uid="{00000000-0005-0000-0000-00001B260000}"/>
    <cellStyle name="Procent 2 11 2 2 2" xfId="10555" xr:uid="{00000000-0005-0000-0000-00001C260000}"/>
    <cellStyle name="Procent 2 11 2 3" xfId="9193" xr:uid="{00000000-0005-0000-0000-00001D260000}"/>
    <cellStyle name="Procent 2 11 3" xfId="7176" xr:uid="{00000000-0005-0000-0000-00001E260000}"/>
    <cellStyle name="Procent 2 11 3 2" xfId="9931" xr:uid="{00000000-0005-0000-0000-00001F260000}"/>
    <cellStyle name="Procent 2 11 4" xfId="8569" xr:uid="{00000000-0005-0000-0000-000020260000}"/>
    <cellStyle name="Procent 2 12" xfId="4009" xr:uid="{00000000-0005-0000-0000-000021260000}"/>
    <cellStyle name="Procent 2 12 2" xfId="4633" xr:uid="{00000000-0005-0000-0000-000022260000}"/>
    <cellStyle name="Procent 2 12 2 2" xfId="7801" xr:uid="{00000000-0005-0000-0000-000023260000}"/>
    <cellStyle name="Procent 2 12 2 2 2" xfId="10556" xr:uid="{00000000-0005-0000-0000-000024260000}"/>
    <cellStyle name="Procent 2 12 2 3" xfId="9194" xr:uid="{00000000-0005-0000-0000-000025260000}"/>
    <cellStyle name="Procent 2 12 3" xfId="7177" xr:uid="{00000000-0005-0000-0000-000026260000}"/>
    <cellStyle name="Procent 2 12 3 2" xfId="9932" xr:uid="{00000000-0005-0000-0000-000027260000}"/>
    <cellStyle name="Procent 2 12 4" xfId="8570" xr:uid="{00000000-0005-0000-0000-000028260000}"/>
    <cellStyle name="Procent 2 13" xfId="4010" xr:uid="{00000000-0005-0000-0000-000029260000}"/>
    <cellStyle name="Procent 2 13 2" xfId="4634" xr:uid="{00000000-0005-0000-0000-00002A260000}"/>
    <cellStyle name="Procent 2 13 2 2" xfId="7802" xr:uid="{00000000-0005-0000-0000-00002B260000}"/>
    <cellStyle name="Procent 2 13 2 2 2" xfId="10557" xr:uid="{00000000-0005-0000-0000-00002C260000}"/>
    <cellStyle name="Procent 2 13 2 3" xfId="9195" xr:uid="{00000000-0005-0000-0000-00002D260000}"/>
    <cellStyle name="Procent 2 13 3" xfId="7178" xr:uid="{00000000-0005-0000-0000-00002E260000}"/>
    <cellStyle name="Procent 2 13 3 2" xfId="9933" xr:uid="{00000000-0005-0000-0000-00002F260000}"/>
    <cellStyle name="Procent 2 13 4" xfId="8571" xr:uid="{00000000-0005-0000-0000-000030260000}"/>
    <cellStyle name="Procent 2 14" xfId="3511" xr:uid="{00000000-0005-0000-0000-000031260000}"/>
    <cellStyle name="Procent 2 14 2" xfId="4152" xr:uid="{00000000-0005-0000-0000-000032260000}"/>
    <cellStyle name="Procent 2 14 2 2" xfId="7320" xr:uid="{00000000-0005-0000-0000-000033260000}"/>
    <cellStyle name="Procent 2 14 2 2 2" xfId="10075" xr:uid="{00000000-0005-0000-0000-000034260000}"/>
    <cellStyle name="Procent 2 14 2 3" xfId="8713" xr:uid="{00000000-0005-0000-0000-000035260000}"/>
    <cellStyle name="Procent 2 14 3" xfId="6709" xr:uid="{00000000-0005-0000-0000-000036260000}"/>
    <cellStyle name="Procent 2 14 3 2" xfId="9464" xr:uid="{00000000-0005-0000-0000-000037260000}"/>
    <cellStyle name="Procent 2 14 4" xfId="8097" xr:uid="{00000000-0005-0000-0000-000038260000}"/>
    <cellStyle name="Procent 2 15" xfId="4109" xr:uid="{00000000-0005-0000-0000-000039260000}"/>
    <cellStyle name="Procent 2 15 2" xfId="7277" xr:uid="{00000000-0005-0000-0000-00003A260000}"/>
    <cellStyle name="Procent 2 15 2 2" xfId="10032" xr:uid="{00000000-0005-0000-0000-00003B260000}"/>
    <cellStyle name="Procent 2 15 3" xfId="8670" xr:uid="{00000000-0005-0000-0000-00003C260000}"/>
    <cellStyle name="Procent 2 16" xfId="3452" xr:uid="{00000000-0005-0000-0000-00003D260000}"/>
    <cellStyle name="Procent 2 16 2" xfId="6666" xr:uid="{00000000-0005-0000-0000-00003E260000}"/>
    <cellStyle name="Procent 2 16 2 2" xfId="9421" xr:uid="{00000000-0005-0000-0000-00003F260000}"/>
    <cellStyle name="Procent 2 16 3" xfId="8053" xr:uid="{00000000-0005-0000-0000-000040260000}"/>
    <cellStyle name="Procent 2 2" xfId="3259" xr:uid="{00000000-0005-0000-0000-000041260000}"/>
    <cellStyle name="Procent 2 2 2" xfId="3482" xr:uid="{00000000-0005-0000-0000-000042260000}"/>
    <cellStyle name="Procent 2 2 2 2" xfId="4013" xr:uid="{00000000-0005-0000-0000-000043260000}"/>
    <cellStyle name="Procent 2 2 2 2 2" xfId="4637" xr:uid="{00000000-0005-0000-0000-000044260000}"/>
    <cellStyle name="Procent 2 2 2 2 2 2" xfId="7805" xr:uid="{00000000-0005-0000-0000-000045260000}"/>
    <cellStyle name="Procent 2 2 2 2 2 2 2" xfId="10560" xr:uid="{00000000-0005-0000-0000-000046260000}"/>
    <cellStyle name="Procent 2 2 2 2 2 3" xfId="9198" xr:uid="{00000000-0005-0000-0000-000047260000}"/>
    <cellStyle name="Procent 2 2 2 2 3" xfId="7181" xr:uid="{00000000-0005-0000-0000-000048260000}"/>
    <cellStyle name="Procent 2 2 2 2 3 2" xfId="9936" xr:uid="{00000000-0005-0000-0000-000049260000}"/>
    <cellStyle name="Procent 2 2 2 2 4" xfId="8574" xr:uid="{00000000-0005-0000-0000-00004A260000}"/>
    <cellStyle name="Procent 2 2 2 3" xfId="4014" xr:uid="{00000000-0005-0000-0000-00004B260000}"/>
    <cellStyle name="Procent 2 2 2 3 2" xfId="4638" xr:uid="{00000000-0005-0000-0000-00004C260000}"/>
    <cellStyle name="Procent 2 2 2 3 2 2" xfId="7806" xr:uid="{00000000-0005-0000-0000-00004D260000}"/>
    <cellStyle name="Procent 2 2 2 3 2 2 2" xfId="10561" xr:uid="{00000000-0005-0000-0000-00004E260000}"/>
    <cellStyle name="Procent 2 2 2 3 2 3" xfId="9199" xr:uid="{00000000-0005-0000-0000-00004F260000}"/>
    <cellStyle name="Procent 2 2 2 3 3" xfId="7182" xr:uid="{00000000-0005-0000-0000-000050260000}"/>
    <cellStyle name="Procent 2 2 2 3 3 2" xfId="9937" xr:uid="{00000000-0005-0000-0000-000051260000}"/>
    <cellStyle name="Procent 2 2 2 3 4" xfId="8575" xr:uid="{00000000-0005-0000-0000-000052260000}"/>
    <cellStyle name="Procent 2 2 2 4" xfId="4015" xr:uid="{00000000-0005-0000-0000-000053260000}"/>
    <cellStyle name="Procent 2 2 2 4 2" xfId="4639" xr:uid="{00000000-0005-0000-0000-000054260000}"/>
    <cellStyle name="Procent 2 2 2 4 2 2" xfId="7807" xr:uid="{00000000-0005-0000-0000-000055260000}"/>
    <cellStyle name="Procent 2 2 2 4 2 2 2" xfId="10562" xr:uid="{00000000-0005-0000-0000-000056260000}"/>
    <cellStyle name="Procent 2 2 2 4 2 3" xfId="9200" xr:uid="{00000000-0005-0000-0000-000057260000}"/>
    <cellStyle name="Procent 2 2 2 4 3" xfId="7183" xr:uid="{00000000-0005-0000-0000-000058260000}"/>
    <cellStyle name="Procent 2 2 2 4 3 2" xfId="9938" xr:uid="{00000000-0005-0000-0000-000059260000}"/>
    <cellStyle name="Procent 2 2 2 4 4" xfId="8576" xr:uid="{00000000-0005-0000-0000-00005A260000}"/>
    <cellStyle name="Procent 2 2 2 5" xfId="4012" xr:uid="{00000000-0005-0000-0000-00005B260000}"/>
    <cellStyle name="Procent 2 2 2 5 2" xfId="4636" xr:uid="{00000000-0005-0000-0000-00005C260000}"/>
    <cellStyle name="Procent 2 2 2 5 2 2" xfId="7804" xr:uid="{00000000-0005-0000-0000-00005D260000}"/>
    <cellStyle name="Procent 2 2 2 5 2 2 2" xfId="10559" xr:uid="{00000000-0005-0000-0000-00005E260000}"/>
    <cellStyle name="Procent 2 2 2 5 2 3" xfId="9197" xr:uid="{00000000-0005-0000-0000-00005F260000}"/>
    <cellStyle name="Procent 2 2 2 5 3" xfId="7180" xr:uid="{00000000-0005-0000-0000-000060260000}"/>
    <cellStyle name="Procent 2 2 2 5 3 2" xfId="9935" xr:uid="{00000000-0005-0000-0000-000061260000}"/>
    <cellStyle name="Procent 2 2 2 5 4" xfId="8573" xr:uid="{00000000-0005-0000-0000-000062260000}"/>
    <cellStyle name="Procent 2 2 2 6" xfId="4133" xr:uid="{00000000-0005-0000-0000-000063260000}"/>
    <cellStyle name="Procent 2 2 2 6 2" xfId="7301" xr:uid="{00000000-0005-0000-0000-000064260000}"/>
    <cellStyle name="Procent 2 2 2 6 2 2" xfId="10056" xr:uid="{00000000-0005-0000-0000-000065260000}"/>
    <cellStyle name="Procent 2 2 2 6 3" xfId="8694" xr:uid="{00000000-0005-0000-0000-000066260000}"/>
    <cellStyle name="Procent 2 2 2 7" xfId="6690" xr:uid="{00000000-0005-0000-0000-000067260000}"/>
    <cellStyle name="Procent 2 2 2 7 2" xfId="9445" xr:uid="{00000000-0005-0000-0000-000068260000}"/>
    <cellStyle name="Procent 2 2 2 8" xfId="8078" xr:uid="{00000000-0005-0000-0000-000069260000}"/>
    <cellStyle name="Procent 2 2 3" xfId="3498" xr:uid="{00000000-0005-0000-0000-00006A260000}"/>
    <cellStyle name="Procent 2 2 3 2" xfId="4016" xr:uid="{00000000-0005-0000-0000-00006B260000}"/>
    <cellStyle name="Procent 2 2 3 2 2" xfId="4640" xr:uid="{00000000-0005-0000-0000-00006C260000}"/>
    <cellStyle name="Procent 2 2 3 2 2 2" xfId="7808" xr:uid="{00000000-0005-0000-0000-00006D260000}"/>
    <cellStyle name="Procent 2 2 3 2 2 2 2" xfId="10563" xr:uid="{00000000-0005-0000-0000-00006E260000}"/>
    <cellStyle name="Procent 2 2 3 2 2 3" xfId="9201" xr:uid="{00000000-0005-0000-0000-00006F260000}"/>
    <cellStyle name="Procent 2 2 3 2 3" xfId="7184" xr:uid="{00000000-0005-0000-0000-000070260000}"/>
    <cellStyle name="Procent 2 2 3 2 3 2" xfId="9939" xr:uid="{00000000-0005-0000-0000-000071260000}"/>
    <cellStyle name="Procent 2 2 3 2 4" xfId="8577" xr:uid="{00000000-0005-0000-0000-000072260000}"/>
    <cellStyle name="Procent 2 2 3 3" xfId="4149" xr:uid="{00000000-0005-0000-0000-000073260000}"/>
    <cellStyle name="Procent 2 2 3 3 2" xfId="7317" xr:uid="{00000000-0005-0000-0000-000074260000}"/>
    <cellStyle name="Procent 2 2 3 3 2 2" xfId="10072" xr:uid="{00000000-0005-0000-0000-000075260000}"/>
    <cellStyle name="Procent 2 2 3 3 3" xfId="8710" xr:uid="{00000000-0005-0000-0000-000076260000}"/>
    <cellStyle name="Procent 2 2 3 4" xfId="6706" xr:uid="{00000000-0005-0000-0000-000077260000}"/>
    <cellStyle name="Procent 2 2 3 4 2" xfId="9461" xr:uid="{00000000-0005-0000-0000-000078260000}"/>
    <cellStyle name="Procent 2 2 3 5" xfId="8094" xr:uid="{00000000-0005-0000-0000-000079260000}"/>
    <cellStyle name="Procent 2 2 4" xfId="4017" xr:uid="{00000000-0005-0000-0000-00007A260000}"/>
    <cellStyle name="Procent 2 2 4 2" xfId="4641" xr:uid="{00000000-0005-0000-0000-00007B260000}"/>
    <cellStyle name="Procent 2 2 4 2 2" xfId="7809" xr:uid="{00000000-0005-0000-0000-00007C260000}"/>
    <cellStyle name="Procent 2 2 4 2 2 2" xfId="10564" xr:uid="{00000000-0005-0000-0000-00007D260000}"/>
    <cellStyle name="Procent 2 2 4 2 3" xfId="9202" xr:uid="{00000000-0005-0000-0000-00007E260000}"/>
    <cellStyle name="Procent 2 2 4 3" xfId="7185" xr:uid="{00000000-0005-0000-0000-00007F260000}"/>
    <cellStyle name="Procent 2 2 4 3 2" xfId="9940" xr:uid="{00000000-0005-0000-0000-000080260000}"/>
    <cellStyle name="Procent 2 2 4 4" xfId="8578" xr:uid="{00000000-0005-0000-0000-000081260000}"/>
    <cellStyle name="Procent 2 2 5" xfId="4018" xr:uid="{00000000-0005-0000-0000-000082260000}"/>
    <cellStyle name="Procent 2 2 5 2" xfId="4642" xr:uid="{00000000-0005-0000-0000-000083260000}"/>
    <cellStyle name="Procent 2 2 5 2 2" xfId="7810" xr:uid="{00000000-0005-0000-0000-000084260000}"/>
    <cellStyle name="Procent 2 2 5 2 2 2" xfId="10565" xr:uid="{00000000-0005-0000-0000-000085260000}"/>
    <cellStyle name="Procent 2 2 5 2 3" xfId="9203" xr:uid="{00000000-0005-0000-0000-000086260000}"/>
    <cellStyle name="Procent 2 2 5 3" xfId="7186" xr:uid="{00000000-0005-0000-0000-000087260000}"/>
    <cellStyle name="Procent 2 2 5 3 2" xfId="9941" xr:uid="{00000000-0005-0000-0000-000088260000}"/>
    <cellStyle name="Procent 2 2 5 4" xfId="8579" xr:uid="{00000000-0005-0000-0000-000089260000}"/>
    <cellStyle name="Procent 2 2 6" xfId="4019" xr:uid="{00000000-0005-0000-0000-00008A260000}"/>
    <cellStyle name="Procent 2 2 6 2" xfId="4643" xr:uid="{00000000-0005-0000-0000-00008B260000}"/>
    <cellStyle name="Procent 2 2 6 2 2" xfId="7811" xr:uid="{00000000-0005-0000-0000-00008C260000}"/>
    <cellStyle name="Procent 2 2 6 2 2 2" xfId="10566" xr:uid="{00000000-0005-0000-0000-00008D260000}"/>
    <cellStyle name="Procent 2 2 6 2 3" xfId="9204" xr:uid="{00000000-0005-0000-0000-00008E260000}"/>
    <cellStyle name="Procent 2 2 6 3" xfId="7187" xr:uid="{00000000-0005-0000-0000-00008F260000}"/>
    <cellStyle name="Procent 2 2 6 3 2" xfId="9942" xr:uid="{00000000-0005-0000-0000-000090260000}"/>
    <cellStyle name="Procent 2 2 6 4" xfId="8580" xr:uid="{00000000-0005-0000-0000-000091260000}"/>
    <cellStyle name="Procent 2 2 7" xfId="4011" xr:uid="{00000000-0005-0000-0000-000092260000}"/>
    <cellStyle name="Procent 2 2 7 2" xfId="4635" xr:uid="{00000000-0005-0000-0000-000093260000}"/>
    <cellStyle name="Procent 2 2 7 2 2" xfId="7803" xr:uid="{00000000-0005-0000-0000-000094260000}"/>
    <cellStyle name="Procent 2 2 7 2 2 2" xfId="10558" xr:uid="{00000000-0005-0000-0000-000095260000}"/>
    <cellStyle name="Procent 2 2 7 2 3" xfId="9196" xr:uid="{00000000-0005-0000-0000-000096260000}"/>
    <cellStyle name="Procent 2 2 7 3" xfId="7179" xr:uid="{00000000-0005-0000-0000-000097260000}"/>
    <cellStyle name="Procent 2 2 7 3 2" xfId="9934" xr:uid="{00000000-0005-0000-0000-000098260000}"/>
    <cellStyle name="Procent 2 2 7 4" xfId="8572" xr:uid="{00000000-0005-0000-0000-000099260000}"/>
    <cellStyle name="Procent 2 2 8" xfId="4117" xr:uid="{00000000-0005-0000-0000-00009A260000}"/>
    <cellStyle name="Procent 2 2 8 2" xfId="7285" xr:uid="{00000000-0005-0000-0000-00009B260000}"/>
    <cellStyle name="Procent 2 2 8 2 2" xfId="10040" xr:uid="{00000000-0005-0000-0000-00009C260000}"/>
    <cellStyle name="Procent 2 2 8 3" xfId="8678" xr:uid="{00000000-0005-0000-0000-00009D260000}"/>
    <cellStyle name="Procent 2 2 9" xfId="3466" xr:uid="{00000000-0005-0000-0000-00009E260000}"/>
    <cellStyle name="Procent 2 2 9 2" xfId="6674" xr:uid="{00000000-0005-0000-0000-00009F260000}"/>
    <cellStyle name="Procent 2 2 9 2 2" xfId="9429" xr:uid="{00000000-0005-0000-0000-0000A0260000}"/>
    <cellStyle name="Procent 2 2 9 3" xfId="8062" xr:uid="{00000000-0005-0000-0000-0000A1260000}"/>
    <cellStyle name="Procent 2 3" xfId="3474" xr:uid="{00000000-0005-0000-0000-0000A2260000}"/>
    <cellStyle name="Procent 2 3 10" xfId="8070" xr:uid="{00000000-0005-0000-0000-0000A3260000}"/>
    <cellStyle name="Procent 2 3 2" xfId="4021" xr:uid="{00000000-0005-0000-0000-0000A4260000}"/>
    <cellStyle name="Procent 2 3 2 2" xfId="4022" xr:uid="{00000000-0005-0000-0000-0000A5260000}"/>
    <cellStyle name="Procent 2 3 2 2 2" xfId="4646" xr:uid="{00000000-0005-0000-0000-0000A6260000}"/>
    <cellStyle name="Procent 2 3 2 2 2 2" xfId="7814" xr:uid="{00000000-0005-0000-0000-0000A7260000}"/>
    <cellStyle name="Procent 2 3 2 2 2 2 2" xfId="10569" xr:uid="{00000000-0005-0000-0000-0000A8260000}"/>
    <cellStyle name="Procent 2 3 2 2 2 3" xfId="9207" xr:uid="{00000000-0005-0000-0000-0000A9260000}"/>
    <cellStyle name="Procent 2 3 2 2 3" xfId="7190" xr:uid="{00000000-0005-0000-0000-0000AA260000}"/>
    <cellStyle name="Procent 2 3 2 2 3 2" xfId="9945" xr:uid="{00000000-0005-0000-0000-0000AB260000}"/>
    <cellStyle name="Procent 2 3 2 2 4" xfId="8583" xr:uid="{00000000-0005-0000-0000-0000AC260000}"/>
    <cellStyle name="Procent 2 3 2 3" xfId="4023" xr:uid="{00000000-0005-0000-0000-0000AD260000}"/>
    <cellStyle name="Procent 2 3 2 3 2" xfId="4647" xr:uid="{00000000-0005-0000-0000-0000AE260000}"/>
    <cellStyle name="Procent 2 3 2 3 2 2" xfId="7815" xr:uid="{00000000-0005-0000-0000-0000AF260000}"/>
    <cellStyle name="Procent 2 3 2 3 2 2 2" xfId="10570" xr:uid="{00000000-0005-0000-0000-0000B0260000}"/>
    <cellStyle name="Procent 2 3 2 3 2 3" xfId="9208" xr:uid="{00000000-0005-0000-0000-0000B1260000}"/>
    <cellStyle name="Procent 2 3 2 3 3" xfId="7191" xr:uid="{00000000-0005-0000-0000-0000B2260000}"/>
    <cellStyle name="Procent 2 3 2 3 3 2" xfId="9946" xr:uid="{00000000-0005-0000-0000-0000B3260000}"/>
    <cellStyle name="Procent 2 3 2 3 4" xfId="8584" xr:uid="{00000000-0005-0000-0000-0000B4260000}"/>
    <cellStyle name="Procent 2 3 2 4" xfId="4645" xr:uid="{00000000-0005-0000-0000-0000B5260000}"/>
    <cellStyle name="Procent 2 3 2 4 2" xfId="7813" xr:uid="{00000000-0005-0000-0000-0000B6260000}"/>
    <cellStyle name="Procent 2 3 2 4 2 2" xfId="10568" xr:uid="{00000000-0005-0000-0000-0000B7260000}"/>
    <cellStyle name="Procent 2 3 2 4 3" xfId="9206" xr:uid="{00000000-0005-0000-0000-0000B8260000}"/>
    <cellStyle name="Procent 2 3 2 5" xfId="7189" xr:uid="{00000000-0005-0000-0000-0000B9260000}"/>
    <cellStyle name="Procent 2 3 2 5 2" xfId="9944" xr:uid="{00000000-0005-0000-0000-0000BA260000}"/>
    <cellStyle name="Procent 2 3 2 6" xfId="8582" xr:uid="{00000000-0005-0000-0000-0000BB260000}"/>
    <cellStyle name="Procent 2 3 3" xfId="4024" xr:uid="{00000000-0005-0000-0000-0000BC260000}"/>
    <cellStyle name="Procent 2 3 3 2" xfId="4648" xr:uid="{00000000-0005-0000-0000-0000BD260000}"/>
    <cellStyle name="Procent 2 3 3 2 2" xfId="7816" xr:uid="{00000000-0005-0000-0000-0000BE260000}"/>
    <cellStyle name="Procent 2 3 3 2 2 2" xfId="10571" xr:uid="{00000000-0005-0000-0000-0000BF260000}"/>
    <cellStyle name="Procent 2 3 3 2 3" xfId="9209" xr:uid="{00000000-0005-0000-0000-0000C0260000}"/>
    <cellStyle name="Procent 2 3 3 3" xfId="7192" xr:uid="{00000000-0005-0000-0000-0000C1260000}"/>
    <cellStyle name="Procent 2 3 3 3 2" xfId="9947" xr:uid="{00000000-0005-0000-0000-0000C2260000}"/>
    <cellStyle name="Procent 2 3 3 4" xfId="8585" xr:uid="{00000000-0005-0000-0000-0000C3260000}"/>
    <cellStyle name="Procent 2 3 4" xfId="4025" xr:uid="{00000000-0005-0000-0000-0000C4260000}"/>
    <cellStyle name="Procent 2 3 4 2" xfId="4649" xr:uid="{00000000-0005-0000-0000-0000C5260000}"/>
    <cellStyle name="Procent 2 3 4 2 2" xfId="7817" xr:uid="{00000000-0005-0000-0000-0000C6260000}"/>
    <cellStyle name="Procent 2 3 4 2 2 2" xfId="10572" xr:uid="{00000000-0005-0000-0000-0000C7260000}"/>
    <cellStyle name="Procent 2 3 4 2 3" xfId="9210" xr:uid="{00000000-0005-0000-0000-0000C8260000}"/>
    <cellStyle name="Procent 2 3 4 3" xfId="7193" xr:uid="{00000000-0005-0000-0000-0000C9260000}"/>
    <cellStyle name="Procent 2 3 4 3 2" xfId="9948" xr:uid="{00000000-0005-0000-0000-0000CA260000}"/>
    <cellStyle name="Procent 2 3 4 4" xfId="8586" xr:uid="{00000000-0005-0000-0000-0000CB260000}"/>
    <cellStyle name="Procent 2 3 5" xfId="4026" xr:uid="{00000000-0005-0000-0000-0000CC260000}"/>
    <cellStyle name="Procent 2 3 5 2" xfId="4650" xr:uid="{00000000-0005-0000-0000-0000CD260000}"/>
    <cellStyle name="Procent 2 3 5 2 2" xfId="7818" xr:uid="{00000000-0005-0000-0000-0000CE260000}"/>
    <cellStyle name="Procent 2 3 5 2 2 2" xfId="10573" xr:uid="{00000000-0005-0000-0000-0000CF260000}"/>
    <cellStyle name="Procent 2 3 5 2 3" xfId="9211" xr:uid="{00000000-0005-0000-0000-0000D0260000}"/>
    <cellStyle name="Procent 2 3 5 3" xfId="7194" xr:uid="{00000000-0005-0000-0000-0000D1260000}"/>
    <cellStyle name="Procent 2 3 5 3 2" xfId="9949" xr:uid="{00000000-0005-0000-0000-0000D2260000}"/>
    <cellStyle name="Procent 2 3 5 4" xfId="8587" xr:uid="{00000000-0005-0000-0000-0000D3260000}"/>
    <cellStyle name="Procent 2 3 6" xfId="4027" xr:uid="{00000000-0005-0000-0000-0000D4260000}"/>
    <cellStyle name="Procent 2 3 6 2" xfId="4651" xr:uid="{00000000-0005-0000-0000-0000D5260000}"/>
    <cellStyle name="Procent 2 3 6 2 2" xfId="7819" xr:uid="{00000000-0005-0000-0000-0000D6260000}"/>
    <cellStyle name="Procent 2 3 6 2 2 2" xfId="10574" xr:uid="{00000000-0005-0000-0000-0000D7260000}"/>
    <cellStyle name="Procent 2 3 6 2 3" xfId="9212" xr:uid="{00000000-0005-0000-0000-0000D8260000}"/>
    <cellStyle name="Procent 2 3 6 3" xfId="7195" xr:uid="{00000000-0005-0000-0000-0000D9260000}"/>
    <cellStyle name="Procent 2 3 6 3 2" xfId="9950" xr:uid="{00000000-0005-0000-0000-0000DA260000}"/>
    <cellStyle name="Procent 2 3 6 4" xfId="8588" xr:uid="{00000000-0005-0000-0000-0000DB260000}"/>
    <cellStyle name="Procent 2 3 7" xfId="4020" xr:uid="{00000000-0005-0000-0000-0000DC260000}"/>
    <cellStyle name="Procent 2 3 7 2" xfId="4644" xr:uid="{00000000-0005-0000-0000-0000DD260000}"/>
    <cellStyle name="Procent 2 3 7 2 2" xfId="7812" xr:uid="{00000000-0005-0000-0000-0000DE260000}"/>
    <cellStyle name="Procent 2 3 7 2 2 2" xfId="10567" xr:uid="{00000000-0005-0000-0000-0000DF260000}"/>
    <cellStyle name="Procent 2 3 7 2 3" xfId="9205" xr:uid="{00000000-0005-0000-0000-0000E0260000}"/>
    <cellStyle name="Procent 2 3 7 3" xfId="7188" xr:uid="{00000000-0005-0000-0000-0000E1260000}"/>
    <cellStyle name="Procent 2 3 7 3 2" xfId="9943" xr:uid="{00000000-0005-0000-0000-0000E2260000}"/>
    <cellStyle name="Procent 2 3 7 4" xfId="8581" xr:uid="{00000000-0005-0000-0000-0000E3260000}"/>
    <cellStyle name="Procent 2 3 8" xfId="4125" xr:uid="{00000000-0005-0000-0000-0000E4260000}"/>
    <cellStyle name="Procent 2 3 8 2" xfId="7293" xr:uid="{00000000-0005-0000-0000-0000E5260000}"/>
    <cellStyle name="Procent 2 3 8 2 2" xfId="10048" xr:uid="{00000000-0005-0000-0000-0000E6260000}"/>
    <cellStyle name="Procent 2 3 8 3" xfId="8686" xr:uid="{00000000-0005-0000-0000-0000E7260000}"/>
    <cellStyle name="Procent 2 3 9" xfId="6682" xr:uid="{00000000-0005-0000-0000-0000E8260000}"/>
    <cellStyle name="Procent 2 3 9 2" xfId="9437" xr:uid="{00000000-0005-0000-0000-0000E9260000}"/>
    <cellStyle name="Procent 2 4" xfId="3490" xr:uid="{00000000-0005-0000-0000-0000EA260000}"/>
    <cellStyle name="Procent 2 4 10" xfId="8086" xr:uid="{00000000-0005-0000-0000-0000EB260000}"/>
    <cellStyle name="Procent 2 4 2" xfId="4029" xr:uid="{00000000-0005-0000-0000-0000EC260000}"/>
    <cellStyle name="Procent 2 4 2 2" xfId="4030" xr:uid="{00000000-0005-0000-0000-0000ED260000}"/>
    <cellStyle name="Procent 2 4 2 2 2" xfId="4654" xr:uid="{00000000-0005-0000-0000-0000EE260000}"/>
    <cellStyle name="Procent 2 4 2 2 2 2" xfId="7822" xr:uid="{00000000-0005-0000-0000-0000EF260000}"/>
    <cellStyle name="Procent 2 4 2 2 2 2 2" xfId="10577" xr:uid="{00000000-0005-0000-0000-0000F0260000}"/>
    <cellStyle name="Procent 2 4 2 2 2 3" xfId="9215" xr:uid="{00000000-0005-0000-0000-0000F1260000}"/>
    <cellStyle name="Procent 2 4 2 2 3" xfId="7198" xr:uid="{00000000-0005-0000-0000-0000F2260000}"/>
    <cellStyle name="Procent 2 4 2 2 3 2" xfId="9953" xr:uid="{00000000-0005-0000-0000-0000F3260000}"/>
    <cellStyle name="Procent 2 4 2 2 4" xfId="8591" xr:uid="{00000000-0005-0000-0000-0000F4260000}"/>
    <cellStyle name="Procent 2 4 2 3" xfId="4031" xr:uid="{00000000-0005-0000-0000-0000F5260000}"/>
    <cellStyle name="Procent 2 4 2 3 2" xfId="4655" xr:uid="{00000000-0005-0000-0000-0000F6260000}"/>
    <cellStyle name="Procent 2 4 2 3 2 2" xfId="7823" xr:uid="{00000000-0005-0000-0000-0000F7260000}"/>
    <cellStyle name="Procent 2 4 2 3 2 2 2" xfId="10578" xr:uid="{00000000-0005-0000-0000-0000F8260000}"/>
    <cellStyle name="Procent 2 4 2 3 2 3" xfId="9216" xr:uid="{00000000-0005-0000-0000-0000F9260000}"/>
    <cellStyle name="Procent 2 4 2 3 3" xfId="7199" xr:uid="{00000000-0005-0000-0000-0000FA260000}"/>
    <cellStyle name="Procent 2 4 2 3 3 2" xfId="9954" xr:uid="{00000000-0005-0000-0000-0000FB260000}"/>
    <cellStyle name="Procent 2 4 2 3 4" xfId="8592" xr:uid="{00000000-0005-0000-0000-0000FC260000}"/>
    <cellStyle name="Procent 2 4 2 4" xfId="4653" xr:uid="{00000000-0005-0000-0000-0000FD260000}"/>
    <cellStyle name="Procent 2 4 2 4 2" xfId="7821" xr:uid="{00000000-0005-0000-0000-0000FE260000}"/>
    <cellStyle name="Procent 2 4 2 4 2 2" xfId="10576" xr:uid="{00000000-0005-0000-0000-0000FF260000}"/>
    <cellStyle name="Procent 2 4 2 4 3" xfId="9214" xr:uid="{00000000-0005-0000-0000-000000270000}"/>
    <cellStyle name="Procent 2 4 2 5" xfId="7197" xr:uid="{00000000-0005-0000-0000-000001270000}"/>
    <cellStyle name="Procent 2 4 2 5 2" xfId="9952" xr:uid="{00000000-0005-0000-0000-000002270000}"/>
    <cellStyle name="Procent 2 4 2 6" xfId="8590" xr:uid="{00000000-0005-0000-0000-000003270000}"/>
    <cellStyle name="Procent 2 4 3" xfId="4032" xr:uid="{00000000-0005-0000-0000-000004270000}"/>
    <cellStyle name="Procent 2 4 3 2" xfId="4656" xr:uid="{00000000-0005-0000-0000-000005270000}"/>
    <cellStyle name="Procent 2 4 3 2 2" xfId="7824" xr:uid="{00000000-0005-0000-0000-000006270000}"/>
    <cellStyle name="Procent 2 4 3 2 2 2" xfId="10579" xr:uid="{00000000-0005-0000-0000-000007270000}"/>
    <cellStyle name="Procent 2 4 3 2 3" xfId="9217" xr:uid="{00000000-0005-0000-0000-000008270000}"/>
    <cellStyle name="Procent 2 4 3 3" xfId="7200" xr:uid="{00000000-0005-0000-0000-000009270000}"/>
    <cellStyle name="Procent 2 4 3 3 2" xfId="9955" xr:uid="{00000000-0005-0000-0000-00000A270000}"/>
    <cellStyle name="Procent 2 4 3 4" xfId="8593" xr:uid="{00000000-0005-0000-0000-00000B270000}"/>
    <cellStyle name="Procent 2 4 4" xfId="4033" xr:uid="{00000000-0005-0000-0000-00000C270000}"/>
    <cellStyle name="Procent 2 4 4 2" xfId="4657" xr:uid="{00000000-0005-0000-0000-00000D270000}"/>
    <cellStyle name="Procent 2 4 4 2 2" xfId="7825" xr:uid="{00000000-0005-0000-0000-00000E270000}"/>
    <cellStyle name="Procent 2 4 4 2 2 2" xfId="10580" xr:uid="{00000000-0005-0000-0000-00000F270000}"/>
    <cellStyle name="Procent 2 4 4 2 3" xfId="9218" xr:uid="{00000000-0005-0000-0000-000010270000}"/>
    <cellStyle name="Procent 2 4 4 3" xfId="7201" xr:uid="{00000000-0005-0000-0000-000011270000}"/>
    <cellStyle name="Procent 2 4 4 3 2" xfId="9956" xr:uid="{00000000-0005-0000-0000-000012270000}"/>
    <cellStyle name="Procent 2 4 4 4" xfId="8594" xr:uid="{00000000-0005-0000-0000-000013270000}"/>
    <cellStyle name="Procent 2 4 5" xfId="4034" xr:uid="{00000000-0005-0000-0000-000014270000}"/>
    <cellStyle name="Procent 2 4 5 2" xfId="4658" xr:uid="{00000000-0005-0000-0000-000015270000}"/>
    <cellStyle name="Procent 2 4 5 2 2" xfId="7826" xr:uid="{00000000-0005-0000-0000-000016270000}"/>
    <cellStyle name="Procent 2 4 5 2 2 2" xfId="10581" xr:uid="{00000000-0005-0000-0000-000017270000}"/>
    <cellStyle name="Procent 2 4 5 2 3" xfId="9219" xr:uid="{00000000-0005-0000-0000-000018270000}"/>
    <cellStyle name="Procent 2 4 5 3" xfId="7202" xr:uid="{00000000-0005-0000-0000-000019270000}"/>
    <cellStyle name="Procent 2 4 5 3 2" xfId="9957" xr:uid="{00000000-0005-0000-0000-00001A270000}"/>
    <cellStyle name="Procent 2 4 5 4" xfId="8595" xr:uid="{00000000-0005-0000-0000-00001B270000}"/>
    <cellStyle name="Procent 2 4 6" xfId="4035" xr:uid="{00000000-0005-0000-0000-00001C270000}"/>
    <cellStyle name="Procent 2 4 6 2" xfId="4659" xr:uid="{00000000-0005-0000-0000-00001D270000}"/>
    <cellStyle name="Procent 2 4 6 2 2" xfId="7827" xr:uid="{00000000-0005-0000-0000-00001E270000}"/>
    <cellStyle name="Procent 2 4 6 2 2 2" xfId="10582" xr:uid="{00000000-0005-0000-0000-00001F270000}"/>
    <cellStyle name="Procent 2 4 6 2 3" xfId="9220" xr:uid="{00000000-0005-0000-0000-000020270000}"/>
    <cellStyle name="Procent 2 4 6 3" xfId="7203" xr:uid="{00000000-0005-0000-0000-000021270000}"/>
    <cellStyle name="Procent 2 4 6 3 2" xfId="9958" xr:uid="{00000000-0005-0000-0000-000022270000}"/>
    <cellStyle name="Procent 2 4 6 4" xfId="8596" xr:uid="{00000000-0005-0000-0000-000023270000}"/>
    <cellStyle name="Procent 2 4 7" xfId="4028" xr:uid="{00000000-0005-0000-0000-000024270000}"/>
    <cellStyle name="Procent 2 4 7 2" xfId="4652" xr:uid="{00000000-0005-0000-0000-000025270000}"/>
    <cellStyle name="Procent 2 4 7 2 2" xfId="7820" xr:uid="{00000000-0005-0000-0000-000026270000}"/>
    <cellStyle name="Procent 2 4 7 2 2 2" xfId="10575" xr:uid="{00000000-0005-0000-0000-000027270000}"/>
    <cellStyle name="Procent 2 4 7 2 3" xfId="9213" xr:uid="{00000000-0005-0000-0000-000028270000}"/>
    <cellStyle name="Procent 2 4 7 3" xfId="7196" xr:uid="{00000000-0005-0000-0000-000029270000}"/>
    <cellStyle name="Procent 2 4 7 3 2" xfId="9951" xr:uid="{00000000-0005-0000-0000-00002A270000}"/>
    <cellStyle name="Procent 2 4 7 4" xfId="8589" xr:uid="{00000000-0005-0000-0000-00002B270000}"/>
    <cellStyle name="Procent 2 4 8" xfId="4141" xr:uid="{00000000-0005-0000-0000-00002C270000}"/>
    <cellStyle name="Procent 2 4 8 2" xfId="7309" xr:uid="{00000000-0005-0000-0000-00002D270000}"/>
    <cellStyle name="Procent 2 4 8 2 2" xfId="10064" xr:uid="{00000000-0005-0000-0000-00002E270000}"/>
    <cellStyle name="Procent 2 4 8 3" xfId="8702" xr:uid="{00000000-0005-0000-0000-00002F270000}"/>
    <cellStyle name="Procent 2 4 9" xfId="6698" xr:uid="{00000000-0005-0000-0000-000030270000}"/>
    <cellStyle name="Procent 2 4 9 2" xfId="9453" xr:uid="{00000000-0005-0000-0000-000031270000}"/>
    <cellStyle name="Procent 2 5" xfId="3383" xr:uid="{00000000-0005-0000-0000-000032270000}"/>
    <cellStyle name="Procent 2 5 2" xfId="4037" xr:uid="{00000000-0005-0000-0000-000033270000}"/>
    <cellStyle name="Procent 2 5 2 2" xfId="4038" xr:uid="{00000000-0005-0000-0000-000034270000}"/>
    <cellStyle name="Procent 2 5 2 2 2" xfId="4662" xr:uid="{00000000-0005-0000-0000-000035270000}"/>
    <cellStyle name="Procent 2 5 2 2 2 2" xfId="7830" xr:uid="{00000000-0005-0000-0000-000036270000}"/>
    <cellStyle name="Procent 2 5 2 2 2 2 2" xfId="10585" xr:uid="{00000000-0005-0000-0000-000037270000}"/>
    <cellStyle name="Procent 2 5 2 2 2 3" xfId="9223" xr:uid="{00000000-0005-0000-0000-000038270000}"/>
    <cellStyle name="Procent 2 5 2 2 3" xfId="7206" xr:uid="{00000000-0005-0000-0000-000039270000}"/>
    <cellStyle name="Procent 2 5 2 2 3 2" xfId="9961" xr:uid="{00000000-0005-0000-0000-00003A270000}"/>
    <cellStyle name="Procent 2 5 2 2 4" xfId="8599" xr:uid="{00000000-0005-0000-0000-00003B270000}"/>
    <cellStyle name="Procent 2 5 2 3" xfId="4039" xr:uid="{00000000-0005-0000-0000-00003C270000}"/>
    <cellStyle name="Procent 2 5 2 3 2" xfId="4663" xr:uid="{00000000-0005-0000-0000-00003D270000}"/>
    <cellStyle name="Procent 2 5 2 3 2 2" xfId="7831" xr:uid="{00000000-0005-0000-0000-00003E270000}"/>
    <cellStyle name="Procent 2 5 2 3 2 2 2" xfId="10586" xr:uid="{00000000-0005-0000-0000-00003F270000}"/>
    <cellStyle name="Procent 2 5 2 3 2 3" xfId="9224" xr:uid="{00000000-0005-0000-0000-000040270000}"/>
    <cellStyle name="Procent 2 5 2 3 3" xfId="7207" xr:uid="{00000000-0005-0000-0000-000041270000}"/>
    <cellStyle name="Procent 2 5 2 3 3 2" xfId="9962" xr:uid="{00000000-0005-0000-0000-000042270000}"/>
    <cellStyle name="Procent 2 5 2 3 4" xfId="8600" xr:uid="{00000000-0005-0000-0000-000043270000}"/>
    <cellStyle name="Procent 2 5 2 4" xfId="4661" xr:uid="{00000000-0005-0000-0000-000044270000}"/>
    <cellStyle name="Procent 2 5 2 4 2" xfId="7829" xr:uid="{00000000-0005-0000-0000-000045270000}"/>
    <cellStyle name="Procent 2 5 2 4 2 2" xfId="10584" xr:uid="{00000000-0005-0000-0000-000046270000}"/>
    <cellStyle name="Procent 2 5 2 4 3" xfId="9222" xr:uid="{00000000-0005-0000-0000-000047270000}"/>
    <cellStyle name="Procent 2 5 2 5" xfId="7205" xr:uid="{00000000-0005-0000-0000-000048270000}"/>
    <cellStyle name="Procent 2 5 2 5 2" xfId="9960" xr:uid="{00000000-0005-0000-0000-000049270000}"/>
    <cellStyle name="Procent 2 5 2 6" xfId="8598" xr:uid="{00000000-0005-0000-0000-00004A270000}"/>
    <cellStyle name="Procent 2 5 3" xfId="4040" xr:uid="{00000000-0005-0000-0000-00004B270000}"/>
    <cellStyle name="Procent 2 5 3 2" xfId="4664" xr:uid="{00000000-0005-0000-0000-00004C270000}"/>
    <cellStyle name="Procent 2 5 3 2 2" xfId="7832" xr:uid="{00000000-0005-0000-0000-00004D270000}"/>
    <cellStyle name="Procent 2 5 3 2 2 2" xfId="10587" xr:uid="{00000000-0005-0000-0000-00004E270000}"/>
    <cellStyle name="Procent 2 5 3 2 3" xfId="9225" xr:uid="{00000000-0005-0000-0000-00004F270000}"/>
    <cellStyle name="Procent 2 5 3 3" xfId="7208" xr:uid="{00000000-0005-0000-0000-000050270000}"/>
    <cellStyle name="Procent 2 5 3 3 2" xfId="9963" xr:uid="{00000000-0005-0000-0000-000051270000}"/>
    <cellStyle name="Procent 2 5 3 4" xfId="8601" xr:uid="{00000000-0005-0000-0000-000052270000}"/>
    <cellStyle name="Procent 2 5 4" xfId="4041" xr:uid="{00000000-0005-0000-0000-000053270000}"/>
    <cellStyle name="Procent 2 5 4 2" xfId="4665" xr:uid="{00000000-0005-0000-0000-000054270000}"/>
    <cellStyle name="Procent 2 5 4 2 2" xfId="7833" xr:uid="{00000000-0005-0000-0000-000055270000}"/>
    <cellStyle name="Procent 2 5 4 2 2 2" xfId="10588" xr:uid="{00000000-0005-0000-0000-000056270000}"/>
    <cellStyle name="Procent 2 5 4 2 3" xfId="9226" xr:uid="{00000000-0005-0000-0000-000057270000}"/>
    <cellStyle name="Procent 2 5 4 3" xfId="7209" xr:uid="{00000000-0005-0000-0000-000058270000}"/>
    <cellStyle name="Procent 2 5 4 3 2" xfId="9964" xr:uid="{00000000-0005-0000-0000-000059270000}"/>
    <cellStyle name="Procent 2 5 4 4" xfId="8602" xr:uid="{00000000-0005-0000-0000-00005A270000}"/>
    <cellStyle name="Procent 2 5 5" xfId="4042" xr:uid="{00000000-0005-0000-0000-00005B270000}"/>
    <cellStyle name="Procent 2 5 5 2" xfId="4666" xr:uid="{00000000-0005-0000-0000-00005C270000}"/>
    <cellStyle name="Procent 2 5 5 2 2" xfId="7834" xr:uid="{00000000-0005-0000-0000-00005D270000}"/>
    <cellStyle name="Procent 2 5 5 2 2 2" xfId="10589" xr:uid="{00000000-0005-0000-0000-00005E270000}"/>
    <cellStyle name="Procent 2 5 5 2 3" xfId="9227" xr:uid="{00000000-0005-0000-0000-00005F270000}"/>
    <cellStyle name="Procent 2 5 5 3" xfId="7210" xr:uid="{00000000-0005-0000-0000-000060270000}"/>
    <cellStyle name="Procent 2 5 5 3 2" xfId="9965" xr:uid="{00000000-0005-0000-0000-000061270000}"/>
    <cellStyle name="Procent 2 5 5 4" xfId="8603" xr:uid="{00000000-0005-0000-0000-000062270000}"/>
    <cellStyle name="Procent 2 5 6" xfId="4036" xr:uid="{00000000-0005-0000-0000-000063270000}"/>
    <cellStyle name="Procent 2 5 6 2" xfId="4660" xr:uid="{00000000-0005-0000-0000-000064270000}"/>
    <cellStyle name="Procent 2 5 6 2 2" xfId="7828" xr:uid="{00000000-0005-0000-0000-000065270000}"/>
    <cellStyle name="Procent 2 5 6 2 2 2" xfId="10583" xr:uid="{00000000-0005-0000-0000-000066270000}"/>
    <cellStyle name="Procent 2 5 6 2 3" xfId="9221" xr:uid="{00000000-0005-0000-0000-000067270000}"/>
    <cellStyle name="Procent 2 5 6 3" xfId="7204" xr:uid="{00000000-0005-0000-0000-000068270000}"/>
    <cellStyle name="Procent 2 5 6 3 2" xfId="9959" xr:uid="{00000000-0005-0000-0000-000069270000}"/>
    <cellStyle name="Procent 2 5 6 4" xfId="8597" xr:uid="{00000000-0005-0000-0000-00006A270000}"/>
    <cellStyle name="Procent 2 6" xfId="4043" xr:uid="{00000000-0005-0000-0000-00006B270000}"/>
    <cellStyle name="Procent 2 6 2" xfId="4044" xr:uid="{00000000-0005-0000-0000-00006C270000}"/>
    <cellStyle name="Procent 2 6 2 2" xfId="4045" xr:uid="{00000000-0005-0000-0000-00006D270000}"/>
    <cellStyle name="Procent 2 6 2 2 2" xfId="4669" xr:uid="{00000000-0005-0000-0000-00006E270000}"/>
    <cellStyle name="Procent 2 6 2 2 2 2" xfId="7837" xr:uid="{00000000-0005-0000-0000-00006F270000}"/>
    <cellStyle name="Procent 2 6 2 2 2 2 2" xfId="10592" xr:uid="{00000000-0005-0000-0000-000070270000}"/>
    <cellStyle name="Procent 2 6 2 2 2 3" xfId="9230" xr:uid="{00000000-0005-0000-0000-000071270000}"/>
    <cellStyle name="Procent 2 6 2 2 3" xfId="7213" xr:uid="{00000000-0005-0000-0000-000072270000}"/>
    <cellStyle name="Procent 2 6 2 2 3 2" xfId="9968" xr:uid="{00000000-0005-0000-0000-000073270000}"/>
    <cellStyle name="Procent 2 6 2 2 4" xfId="8606" xr:uid="{00000000-0005-0000-0000-000074270000}"/>
    <cellStyle name="Procent 2 6 2 3" xfId="4046" xr:uid="{00000000-0005-0000-0000-000075270000}"/>
    <cellStyle name="Procent 2 6 2 3 2" xfId="4670" xr:uid="{00000000-0005-0000-0000-000076270000}"/>
    <cellStyle name="Procent 2 6 2 3 2 2" xfId="7838" xr:uid="{00000000-0005-0000-0000-000077270000}"/>
    <cellStyle name="Procent 2 6 2 3 2 2 2" xfId="10593" xr:uid="{00000000-0005-0000-0000-000078270000}"/>
    <cellStyle name="Procent 2 6 2 3 2 3" xfId="9231" xr:uid="{00000000-0005-0000-0000-000079270000}"/>
    <cellStyle name="Procent 2 6 2 3 3" xfId="7214" xr:uid="{00000000-0005-0000-0000-00007A270000}"/>
    <cellStyle name="Procent 2 6 2 3 3 2" xfId="9969" xr:uid="{00000000-0005-0000-0000-00007B270000}"/>
    <cellStyle name="Procent 2 6 2 3 4" xfId="8607" xr:uid="{00000000-0005-0000-0000-00007C270000}"/>
    <cellStyle name="Procent 2 6 2 4" xfId="4668" xr:uid="{00000000-0005-0000-0000-00007D270000}"/>
    <cellStyle name="Procent 2 6 2 4 2" xfId="7836" xr:uid="{00000000-0005-0000-0000-00007E270000}"/>
    <cellStyle name="Procent 2 6 2 4 2 2" xfId="10591" xr:uid="{00000000-0005-0000-0000-00007F270000}"/>
    <cellStyle name="Procent 2 6 2 4 3" xfId="9229" xr:uid="{00000000-0005-0000-0000-000080270000}"/>
    <cellStyle name="Procent 2 6 2 5" xfId="7212" xr:uid="{00000000-0005-0000-0000-000081270000}"/>
    <cellStyle name="Procent 2 6 2 5 2" xfId="9967" xr:uid="{00000000-0005-0000-0000-000082270000}"/>
    <cellStyle name="Procent 2 6 2 6" xfId="8605" xr:uid="{00000000-0005-0000-0000-000083270000}"/>
    <cellStyle name="Procent 2 6 3" xfId="4047" xr:uid="{00000000-0005-0000-0000-000084270000}"/>
    <cellStyle name="Procent 2 6 3 2" xfId="4671" xr:uid="{00000000-0005-0000-0000-000085270000}"/>
    <cellStyle name="Procent 2 6 3 2 2" xfId="7839" xr:uid="{00000000-0005-0000-0000-000086270000}"/>
    <cellStyle name="Procent 2 6 3 2 2 2" xfId="10594" xr:uid="{00000000-0005-0000-0000-000087270000}"/>
    <cellStyle name="Procent 2 6 3 2 3" xfId="9232" xr:uid="{00000000-0005-0000-0000-000088270000}"/>
    <cellStyle name="Procent 2 6 3 3" xfId="7215" xr:uid="{00000000-0005-0000-0000-000089270000}"/>
    <cellStyle name="Procent 2 6 3 3 2" xfId="9970" xr:uid="{00000000-0005-0000-0000-00008A270000}"/>
    <cellStyle name="Procent 2 6 3 4" xfId="8608" xr:uid="{00000000-0005-0000-0000-00008B270000}"/>
    <cellStyle name="Procent 2 6 4" xfId="4048" xr:uid="{00000000-0005-0000-0000-00008C270000}"/>
    <cellStyle name="Procent 2 6 4 2" xfId="4672" xr:uid="{00000000-0005-0000-0000-00008D270000}"/>
    <cellStyle name="Procent 2 6 4 2 2" xfId="7840" xr:uid="{00000000-0005-0000-0000-00008E270000}"/>
    <cellStyle name="Procent 2 6 4 2 2 2" xfId="10595" xr:uid="{00000000-0005-0000-0000-00008F270000}"/>
    <cellStyle name="Procent 2 6 4 2 3" xfId="9233" xr:uid="{00000000-0005-0000-0000-000090270000}"/>
    <cellStyle name="Procent 2 6 4 3" xfId="7216" xr:uid="{00000000-0005-0000-0000-000091270000}"/>
    <cellStyle name="Procent 2 6 4 3 2" xfId="9971" xr:uid="{00000000-0005-0000-0000-000092270000}"/>
    <cellStyle name="Procent 2 6 4 4" xfId="8609" xr:uid="{00000000-0005-0000-0000-000093270000}"/>
    <cellStyle name="Procent 2 6 5" xfId="4049" xr:uid="{00000000-0005-0000-0000-000094270000}"/>
    <cellStyle name="Procent 2 6 5 2" xfId="4673" xr:uid="{00000000-0005-0000-0000-000095270000}"/>
    <cellStyle name="Procent 2 6 5 2 2" xfId="7841" xr:uid="{00000000-0005-0000-0000-000096270000}"/>
    <cellStyle name="Procent 2 6 5 2 2 2" xfId="10596" xr:uid="{00000000-0005-0000-0000-000097270000}"/>
    <cellStyle name="Procent 2 6 5 2 3" xfId="9234" xr:uid="{00000000-0005-0000-0000-000098270000}"/>
    <cellStyle name="Procent 2 6 5 3" xfId="7217" xr:uid="{00000000-0005-0000-0000-000099270000}"/>
    <cellStyle name="Procent 2 6 5 3 2" xfId="9972" xr:uid="{00000000-0005-0000-0000-00009A270000}"/>
    <cellStyle name="Procent 2 6 5 4" xfId="8610" xr:uid="{00000000-0005-0000-0000-00009B270000}"/>
    <cellStyle name="Procent 2 6 6" xfId="4667" xr:uid="{00000000-0005-0000-0000-00009C270000}"/>
    <cellStyle name="Procent 2 6 6 2" xfId="7835" xr:uid="{00000000-0005-0000-0000-00009D270000}"/>
    <cellStyle name="Procent 2 6 6 2 2" xfId="10590" xr:uid="{00000000-0005-0000-0000-00009E270000}"/>
    <cellStyle name="Procent 2 6 6 3" xfId="9228" xr:uid="{00000000-0005-0000-0000-00009F270000}"/>
    <cellStyle name="Procent 2 6 7" xfId="7211" xr:uid="{00000000-0005-0000-0000-0000A0270000}"/>
    <cellStyle name="Procent 2 6 7 2" xfId="9966" xr:uid="{00000000-0005-0000-0000-0000A1270000}"/>
    <cellStyle name="Procent 2 6 8" xfId="8604" xr:uid="{00000000-0005-0000-0000-0000A2270000}"/>
    <cellStyle name="Procent 2 7" xfId="4050" xr:uid="{00000000-0005-0000-0000-0000A3270000}"/>
    <cellStyle name="Procent 2 7 2" xfId="4051" xr:uid="{00000000-0005-0000-0000-0000A4270000}"/>
    <cellStyle name="Procent 2 7 2 2" xfId="4052" xr:uid="{00000000-0005-0000-0000-0000A5270000}"/>
    <cellStyle name="Procent 2 7 2 2 2" xfId="4676" xr:uid="{00000000-0005-0000-0000-0000A6270000}"/>
    <cellStyle name="Procent 2 7 2 2 2 2" xfId="7844" xr:uid="{00000000-0005-0000-0000-0000A7270000}"/>
    <cellStyle name="Procent 2 7 2 2 2 2 2" xfId="10599" xr:uid="{00000000-0005-0000-0000-0000A8270000}"/>
    <cellStyle name="Procent 2 7 2 2 2 3" xfId="9237" xr:uid="{00000000-0005-0000-0000-0000A9270000}"/>
    <cellStyle name="Procent 2 7 2 2 3" xfId="7220" xr:uid="{00000000-0005-0000-0000-0000AA270000}"/>
    <cellStyle name="Procent 2 7 2 2 3 2" xfId="9975" xr:uid="{00000000-0005-0000-0000-0000AB270000}"/>
    <cellStyle name="Procent 2 7 2 2 4" xfId="8613" xr:uid="{00000000-0005-0000-0000-0000AC270000}"/>
    <cellStyle name="Procent 2 7 2 3" xfId="4053" xr:uid="{00000000-0005-0000-0000-0000AD270000}"/>
    <cellStyle name="Procent 2 7 2 3 2" xfId="4677" xr:uid="{00000000-0005-0000-0000-0000AE270000}"/>
    <cellStyle name="Procent 2 7 2 3 2 2" xfId="7845" xr:uid="{00000000-0005-0000-0000-0000AF270000}"/>
    <cellStyle name="Procent 2 7 2 3 2 2 2" xfId="10600" xr:uid="{00000000-0005-0000-0000-0000B0270000}"/>
    <cellStyle name="Procent 2 7 2 3 2 3" xfId="9238" xr:uid="{00000000-0005-0000-0000-0000B1270000}"/>
    <cellStyle name="Procent 2 7 2 3 3" xfId="7221" xr:uid="{00000000-0005-0000-0000-0000B2270000}"/>
    <cellStyle name="Procent 2 7 2 3 3 2" xfId="9976" xr:uid="{00000000-0005-0000-0000-0000B3270000}"/>
    <cellStyle name="Procent 2 7 2 3 4" xfId="8614" xr:uid="{00000000-0005-0000-0000-0000B4270000}"/>
    <cellStyle name="Procent 2 7 2 4" xfId="4675" xr:uid="{00000000-0005-0000-0000-0000B5270000}"/>
    <cellStyle name="Procent 2 7 2 4 2" xfId="7843" xr:uid="{00000000-0005-0000-0000-0000B6270000}"/>
    <cellStyle name="Procent 2 7 2 4 2 2" xfId="10598" xr:uid="{00000000-0005-0000-0000-0000B7270000}"/>
    <cellStyle name="Procent 2 7 2 4 3" xfId="9236" xr:uid="{00000000-0005-0000-0000-0000B8270000}"/>
    <cellStyle name="Procent 2 7 2 5" xfId="7219" xr:uid="{00000000-0005-0000-0000-0000B9270000}"/>
    <cellStyle name="Procent 2 7 2 5 2" xfId="9974" xr:uid="{00000000-0005-0000-0000-0000BA270000}"/>
    <cellStyle name="Procent 2 7 2 6" xfId="8612" xr:uid="{00000000-0005-0000-0000-0000BB270000}"/>
    <cellStyle name="Procent 2 7 3" xfId="4054" xr:uid="{00000000-0005-0000-0000-0000BC270000}"/>
    <cellStyle name="Procent 2 7 3 2" xfId="4678" xr:uid="{00000000-0005-0000-0000-0000BD270000}"/>
    <cellStyle name="Procent 2 7 3 2 2" xfId="7846" xr:uid="{00000000-0005-0000-0000-0000BE270000}"/>
    <cellStyle name="Procent 2 7 3 2 2 2" xfId="10601" xr:uid="{00000000-0005-0000-0000-0000BF270000}"/>
    <cellStyle name="Procent 2 7 3 2 3" xfId="9239" xr:uid="{00000000-0005-0000-0000-0000C0270000}"/>
    <cellStyle name="Procent 2 7 3 3" xfId="7222" xr:uid="{00000000-0005-0000-0000-0000C1270000}"/>
    <cellStyle name="Procent 2 7 3 3 2" xfId="9977" xr:uid="{00000000-0005-0000-0000-0000C2270000}"/>
    <cellStyle name="Procent 2 7 3 4" xfId="8615" xr:uid="{00000000-0005-0000-0000-0000C3270000}"/>
    <cellStyle name="Procent 2 7 4" xfId="4055" xr:uid="{00000000-0005-0000-0000-0000C4270000}"/>
    <cellStyle name="Procent 2 7 4 2" xfId="4679" xr:uid="{00000000-0005-0000-0000-0000C5270000}"/>
    <cellStyle name="Procent 2 7 4 2 2" xfId="7847" xr:uid="{00000000-0005-0000-0000-0000C6270000}"/>
    <cellStyle name="Procent 2 7 4 2 2 2" xfId="10602" xr:uid="{00000000-0005-0000-0000-0000C7270000}"/>
    <cellStyle name="Procent 2 7 4 2 3" xfId="9240" xr:uid="{00000000-0005-0000-0000-0000C8270000}"/>
    <cellStyle name="Procent 2 7 4 3" xfId="7223" xr:uid="{00000000-0005-0000-0000-0000C9270000}"/>
    <cellStyle name="Procent 2 7 4 3 2" xfId="9978" xr:uid="{00000000-0005-0000-0000-0000CA270000}"/>
    <cellStyle name="Procent 2 7 4 4" xfId="8616" xr:uid="{00000000-0005-0000-0000-0000CB270000}"/>
    <cellStyle name="Procent 2 7 5" xfId="4056" xr:uid="{00000000-0005-0000-0000-0000CC270000}"/>
    <cellStyle name="Procent 2 7 5 2" xfId="4680" xr:uid="{00000000-0005-0000-0000-0000CD270000}"/>
    <cellStyle name="Procent 2 7 5 2 2" xfId="7848" xr:uid="{00000000-0005-0000-0000-0000CE270000}"/>
    <cellStyle name="Procent 2 7 5 2 2 2" xfId="10603" xr:uid="{00000000-0005-0000-0000-0000CF270000}"/>
    <cellStyle name="Procent 2 7 5 2 3" xfId="9241" xr:uid="{00000000-0005-0000-0000-0000D0270000}"/>
    <cellStyle name="Procent 2 7 5 3" xfId="7224" xr:uid="{00000000-0005-0000-0000-0000D1270000}"/>
    <cellStyle name="Procent 2 7 5 3 2" xfId="9979" xr:uid="{00000000-0005-0000-0000-0000D2270000}"/>
    <cellStyle name="Procent 2 7 5 4" xfId="8617" xr:uid="{00000000-0005-0000-0000-0000D3270000}"/>
    <cellStyle name="Procent 2 7 6" xfId="4674" xr:uid="{00000000-0005-0000-0000-0000D4270000}"/>
    <cellStyle name="Procent 2 7 6 2" xfId="7842" xr:uid="{00000000-0005-0000-0000-0000D5270000}"/>
    <cellStyle name="Procent 2 7 6 2 2" xfId="10597" xr:uid="{00000000-0005-0000-0000-0000D6270000}"/>
    <cellStyle name="Procent 2 7 6 3" xfId="9235" xr:uid="{00000000-0005-0000-0000-0000D7270000}"/>
    <cellStyle name="Procent 2 7 7" xfId="7218" xr:uid="{00000000-0005-0000-0000-0000D8270000}"/>
    <cellStyle name="Procent 2 7 7 2" xfId="9973" xr:uid="{00000000-0005-0000-0000-0000D9270000}"/>
    <cellStyle name="Procent 2 7 8" xfId="8611" xr:uid="{00000000-0005-0000-0000-0000DA270000}"/>
    <cellStyle name="Procent 2 8" xfId="4057" xr:uid="{00000000-0005-0000-0000-0000DB270000}"/>
    <cellStyle name="Procent 2 8 2" xfId="4058" xr:uid="{00000000-0005-0000-0000-0000DC270000}"/>
    <cellStyle name="Procent 2 8 2 2" xfId="4059" xr:uid="{00000000-0005-0000-0000-0000DD270000}"/>
    <cellStyle name="Procent 2 8 2 2 2" xfId="4683" xr:uid="{00000000-0005-0000-0000-0000DE270000}"/>
    <cellStyle name="Procent 2 8 2 2 2 2" xfId="7851" xr:uid="{00000000-0005-0000-0000-0000DF270000}"/>
    <cellStyle name="Procent 2 8 2 2 2 2 2" xfId="10606" xr:uid="{00000000-0005-0000-0000-0000E0270000}"/>
    <cellStyle name="Procent 2 8 2 2 2 3" xfId="9244" xr:uid="{00000000-0005-0000-0000-0000E1270000}"/>
    <cellStyle name="Procent 2 8 2 2 3" xfId="7227" xr:uid="{00000000-0005-0000-0000-0000E2270000}"/>
    <cellStyle name="Procent 2 8 2 2 3 2" xfId="9982" xr:uid="{00000000-0005-0000-0000-0000E3270000}"/>
    <cellStyle name="Procent 2 8 2 2 4" xfId="8620" xr:uid="{00000000-0005-0000-0000-0000E4270000}"/>
    <cellStyle name="Procent 2 8 2 3" xfId="4060" xr:uid="{00000000-0005-0000-0000-0000E5270000}"/>
    <cellStyle name="Procent 2 8 2 3 2" xfId="4684" xr:uid="{00000000-0005-0000-0000-0000E6270000}"/>
    <cellStyle name="Procent 2 8 2 3 2 2" xfId="7852" xr:uid="{00000000-0005-0000-0000-0000E7270000}"/>
    <cellStyle name="Procent 2 8 2 3 2 2 2" xfId="10607" xr:uid="{00000000-0005-0000-0000-0000E8270000}"/>
    <cellStyle name="Procent 2 8 2 3 2 3" xfId="9245" xr:uid="{00000000-0005-0000-0000-0000E9270000}"/>
    <cellStyle name="Procent 2 8 2 3 3" xfId="7228" xr:uid="{00000000-0005-0000-0000-0000EA270000}"/>
    <cellStyle name="Procent 2 8 2 3 3 2" xfId="9983" xr:uid="{00000000-0005-0000-0000-0000EB270000}"/>
    <cellStyle name="Procent 2 8 2 3 4" xfId="8621" xr:uid="{00000000-0005-0000-0000-0000EC270000}"/>
    <cellStyle name="Procent 2 8 2 4" xfId="4682" xr:uid="{00000000-0005-0000-0000-0000ED270000}"/>
    <cellStyle name="Procent 2 8 2 4 2" xfId="7850" xr:uid="{00000000-0005-0000-0000-0000EE270000}"/>
    <cellStyle name="Procent 2 8 2 4 2 2" xfId="10605" xr:uid="{00000000-0005-0000-0000-0000EF270000}"/>
    <cellStyle name="Procent 2 8 2 4 3" xfId="9243" xr:uid="{00000000-0005-0000-0000-0000F0270000}"/>
    <cellStyle name="Procent 2 8 2 5" xfId="7226" xr:uid="{00000000-0005-0000-0000-0000F1270000}"/>
    <cellStyle name="Procent 2 8 2 5 2" xfId="9981" xr:uid="{00000000-0005-0000-0000-0000F2270000}"/>
    <cellStyle name="Procent 2 8 2 6" xfId="8619" xr:uid="{00000000-0005-0000-0000-0000F3270000}"/>
    <cellStyle name="Procent 2 8 3" xfId="4061" xr:uid="{00000000-0005-0000-0000-0000F4270000}"/>
    <cellStyle name="Procent 2 8 3 2" xfId="4685" xr:uid="{00000000-0005-0000-0000-0000F5270000}"/>
    <cellStyle name="Procent 2 8 3 2 2" xfId="7853" xr:uid="{00000000-0005-0000-0000-0000F6270000}"/>
    <cellStyle name="Procent 2 8 3 2 2 2" xfId="10608" xr:uid="{00000000-0005-0000-0000-0000F7270000}"/>
    <cellStyle name="Procent 2 8 3 2 3" xfId="9246" xr:uid="{00000000-0005-0000-0000-0000F8270000}"/>
    <cellStyle name="Procent 2 8 3 3" xfId="7229" xr:uid="{00000000-0005-0000-0000-0000F9270000}"/>
    <cellStyle name="Procent 2 8 3 3 2" xfId="9984" xr:uid="{00000000-0005-0000-0000-0000FA270000}"/>
    <cellStyle name="Procent 2 8 3 4" xfId="8622" xr:uid="{00000000-0005-0000-0000-0000FB270000}"/>
    <cellStyle name="Procent 2 8 4" xfId="4062" xr:uid="{00000000-0005-0000-0000-0000FC270000}"/>
    <cellStyle name="Procent 2 8 4 2" xfId="4686" xr:uid="{00000000-0005-0000-0000-0000FD270000}"/>
    <cellStyle name="Procent 2 8 4 2 2" xfId="7854" xr:uid="{00000000-0005-0000-0000-0000FE270000}"/>
    <cellStyle name="Procent 2 8 4 2 2 2" xfId="10609" xr:uid="{00000000-0005-0000-0000-0000FF270000}"/>
    <cellStyle name="Procent 2 8 4 2 3" xfId="9247" xr:uid="{00000000-0005-0000-0000-000000280000}"/>
    <cellStyle name="Procent 2 8 4 3" xfId="7230" xr:uid="{00000000-0005-0000-0000-000001280000}"/>
    <cellStyle name="Procent 2 8 4 3 2" xfId="9985" xr:uid="{00000000-0005-0000-0000-000002280000}"/>
    <cellStyle name="Procent 2 8 4 4" xfId="8623" xr:uid="{00000000-0005-0000-0000-000003280000}"/>
    <cellStyle name="Procent 2 8 5" xfId="4063" xr:uid="{00000000-0005-0000-0000-000004280000}"/>
    <cellStyle name="Procent 2 8 5 2" xfId="4687" xr:uid="{00000000-0005-0000-0000-000005280000}"/>
    <cellStyle name="Procent 2 8 5 2 2" xfId="7855" xr:uid="{00000000-0005-0000-0000-000006280000}"/>
    <cellStyle name="Procent 2 8 5 2 2 2" xfId="10610" xr:uid="{00000000-0005-0000-0000-000007280000}"/>
    <cellStyle name="Procent 2 8 5 2 3" xfId="9248" xr:uid="{00000000-0005-0000-0000-000008280000}"/>
    <cellStyle name="Procent 2 8 5 3" xfId="7231" xr:uid="{00000000-0005-0000-0000-000009280000}"/>
    <cellStyle name="Procent 2 8 5 3 2" xfId="9986" xr:uid="{00000000-0005-0000-0000-00000A280000}"/>
    <cellStyle name="Procent 2 8 5 4" xfId="8624" xr:uid="{00000000-0005-0000-0000-00000B280000}"/>
    <cellStyle name="Procent 2 8 6" xfId="4681" xr:uid="{00000000-0005-0000-0000-00000C280000}"/>
    <cellStyle name="Procent 2 8 6 2" xfId="7849" xr:uid="{00000000-0005-0000-0000-00000D280000}"/>
    <cellStyle name="Procent 2 8 6 2 2" xfId="10604" xr:uid="{00000000-0005-0000-0000-00000E280000}"/>
    <cellStyle name="Procent 2 8 6 3" xfId="9242" xr:uid="{00000000-0005-0000-0000-00000F280000}"/>
    <cellStyle name="Procent 2 8 7" xfId="7225" xr:uid="{00000000-0005-0000-0000-000010280000}"/>
    <cellStyle name="Procent 2 8 7 2" xfId="9980" xr:uid="{00000000-0005-0000-0000-000011280000}"/>
    <cellStyle name="Procent 2 8 8" xfId="8618" xr:uid="{00000000-0005-0000-0000-000012280000}"/>
    <cellStyle name="Procent 2 9" xfId="4064" xr:uid="{00000000-0005-0000-0000-000013280000}"/>
    <cellStyle name="Procent 2 9 2" xfId="4065" xr:uid="{00000000-0005-0000-0000-000014280000}"/>
    <cellStyle name="Procent 2 9 2 2" xfId="4689" xr:uid="{00000000-0005-0000-0000-000015280000}"/>
    <cellStyle name="Procent 2 9 2 2 2" xfId="7857" xr:uid="{00000000-0005-0000-0000-000016280000}"/>
    <cellStyle name="Procent 2 9 2 2 2 2" xfId="10612" xr:uid="{00000000-0005-0000-0000-000017280000}"/>
    <cellStyle name="Procent 2 9 2 2 3" xfId="9250" xr:uid="{00000000-0005-0000-0000-000018280000}"/>
    <cellStyle name="Procent 2 9 2 3" xfId="7233" xr:uid="{00000000-0005-0000-0000-000019280000}"/>
    <cellStyle name="Procent 2 9 2 3 2" xfId="9988" xr:uid="{00000000-0005-0000-0000-00001A280000}"/>
    <cellStyle name="Procent 2 9 2 4" xfId="8626" xr:uid="{00000000-0005-0000-0000-00001B280000}"/>
    <cellStyle name="Procent 2 9 3" xfId="4066" xr:uid="{00000000-0005-0000-0000-00001C280000}"/>
    <cellStyle name="Procent 2 9 3 2" xfId="4690" xr:uid="{00000000-0005-0000-0000-00001D280000}"/>
    <cellStyle name="Procent 2 9 3 2 2" xfId="7858" xr:uid="{00000000-0005-0000-0000-00001E280000}"/>
    <cellStyle name="Procent 2 9 3 2 2 2" xfId="10613" xr:uid="{00000000-0005-0000-0000-00001F280000}"/>
    <cellStyle name="Procent 2 9 3 2 3" xfId="9251" xr:uid="{00000000-0005-0000-0000-000020280000}"/>
    <cellStyle name="Procent 2 9 3 3" xfId="7234" xr:uid="{00000000-0005-0000-0000-000021280000}"/>
    <cellStyle name="Procent 2 9 3 3 2" xfId="9989" xr:uid="{00000000-0005-0000-0000-000022280000}"/>
    <cellStyle name="Procent 2 9 3 4" xfId="8627" xr:uid="{00000000-0005-0000-0000-000023280000}"/>
    <cellStyle name="Procent 2 9 4" xfId="4688" xr:uid="{00000000-0005-0000-0000-000024280000}"/>
    <cellStyle name="Procent 2 9 4 2" xfId="7856" xr:uid="{00000000-0005-0000-0000-000025280000}"/>
    <cellStyle name="Procent 2 9 4 2 2" xfId="10611" xr:uid="{00000000-0005-0000-0000-000026280000}"/>
    <cellStyle name="Procent 2 9 4 3" xfId="9249" xr:uid="{00000000-0005-0000-0000-000027280000}"/>
    <cellStyle name="Procent 2 9 5" xfId="7232" xr:uid="{00000000-0005-0000-0000-000028280000}"/>
    <cellStyle name="Procent 2 9 5 2" xfId="9987" xr:uid="{00000000-0005-0000-0000-000029280000}"/>
    <cellStyle name="Procent 2 9 6" xfId="8625" xr:uid="{00000000-0005-0000-0000-00002A280000}"/>
    <cellStyle name="Procent 3" xfId="1988" xr:uid="{00000000-0005-0000-0000-00002B280000}"/>
    <cellStyle name="Procent 3 2" xfId="1989" xr:uid="{00000000-0005-0000-0000-00002C280000}"/>
    <cellStyle name="Procent 3 2 2" xfId="3479" xr:uid="{00000000-0005-0000-0000-00002D280000}"/>
    <cellStyle name="Procent 3 2 2 2" xfId="4130" xr:uid="{00000000-0005-0000-0000-00002E280000}"/>
    <cellStyle name="Procent 3 2 2 2 2" xfId="7298" xr:uid="{00000000-0005-0000-0000-00002F280000}"/>
    <cellStyle name="Procent 3 2 2 2 2 2" xfId="10053" xr:uid="{00000000-0005-0000-0000-000030280000}"/>
    <cellStyle name="Procent 3 2 2 2 3" xfId="8691" xr:uid="{00000000-0005-0000-0000-000031280000}"/>
    <cellStyle name="Procent 3 2 2 3" xfId="6687" xr:uid="{00000000-0005-0000-0000-000032280000}"/>
    <cellStyle name="Procent 3 2 2 3 2" xfId="9442" xr:uid="{00000000-0005-0000-0000-000033280000}"/>
    <cellStyle name="Procent 3 2 2 4" xfId="8075" xr:uid="{00000000-0005-0000-0000-000034280000}"/>
    <cellStyle name="Procent 3 2 3" xfId="3495" xr:uid="{00000000-0005-0000-0000-000035280000}"/>
    <cellStyle name="Procent 3 2 3 2" xfId="4146" xr:uid="{00000000-0005-0000-0000-000036280000}"/>
    <cellStyle name="Procent 3 2 3 2 2" xfId="7314" xr:uid="{00000000-0005-0000-0000-000037280000}"/>
    <cellStyle name="Procent 3 2 3 2 2 2" xfId="10069" xr:uid="{00000000-0005-0000-0000-000038280000}"/>
    <cellStyle name="Procent 3 2 3 2 3" xfId="8707" xr:uid="{00000000-0005-0000-0000-000039280000}"/>
    <cellStyle name="Procent 3 2 3 3" xfId="6703" xr:uid="{00000000-0005-0000-0000-00003A280000}"/>
    <cellStyle name="Procent 3 2 3 3 2" xfId="9458" xr:uid="{00000000-0005-0000-0000-00003B280000}"/>
    <cellStyle name="Procent 3 2 3 4" xfId="8091" xr:uid="{00000000-0005-0000-0000-00003C280000}"/>
    <cellStyle name="Procent 3 2 4" xfId="4114" xr:uid="{00000000-0005-0000-0000-00003D280000}"/>
    <cellStyle name="Procent 3 2 4 2" xfId="7282" xr:uid="{00000000-0005-0000-0000-00003E280000}"/>
    <cellStyle name="Procent 3 2 4 2 2" xfId="10037" xr:uid="{00000000-0005-0000-0000-00003F280000}"/>
    <cellStyle name="Procent 3 2 4 3" xfId="8675" xr:uid="{00000000-0005-0000-0000-000040280000}"/>
    <cellStyle name="Procent 3 2 5" xfId="3463" xr:uid="{00000000-0005-0000-0000-000041280000}"/>
    <cellStyle name="Procent 3 2 5 2" xfId="6671" xr:uid="{00000000-0005-0000-0000-000042280000}"/>
    <cellStyle name="Procent 3 2 5 2 2" xfId="9426" xr:uid="{00000000-0005-0000-0000-000043280000}"/>
    <cellStyle name="Procent 3 2 5 3" xfId="8059" xr:uid="{00000000-0005-0000-0000-000044280000}"/>
    <cellStyle name="Procent 3 3" xfId="3471" xr:uid="{00000000-0005-0000-0000-000045280000}"/>
    <cellStyle name="Procent 3 3 2" xfId="4122" xr:uid="{00000000-0005-0000-0000-000046280000}"/>
    <cellStyle name="Procent 3 3 2 2" xfId="7290" xr:uid="{00000000-0005-0000-0000-000047280000}"/>
    <cellStyle name="Procent 3 3 2 2 2" xfId="10045" xr:uid="{00000000-0005-0000-0000-000048280000}"/>
    <cellStyle name="Procent 3 3 2 3" xfId="8683" xr:uid="{00000000-0005-0000-0000-000049280000}"/>
    <cellStyle name="Procent 3 3 3" xfId="6679" xr:uid="{00000000-0005-0000-0000-00004A280000}"/>
    <cellStyle name="Procent 3 3 3 2" xfId="9434" xr:uid="{00000000-0005-0000-0000-00004B280000}"/>
    <cellStyle name="Procent 3 3 4" xfId="8067" xr:uid="{00000000-0005-0000-0000-00004C280000}"/>
    <cellStyle name="Procent 3 4" xfId="3487" xr:uid="{00000000-0005-0000-0000-00004D280000}"/>
    <cellStyle name="Procent 3 4 2" xfId="4138" xr:uid="{00000000-0005-0000-0000-00004E280000}"/>
    <cellStyle name="Procent 3 4 2 2" xfId="7306" xr:uid="{00000000-0005-0000-0000-00004F280000}"/>
    <cellStyle name="Procent 3 4 2 2 2" xfId="10061" xr:uid="{00000000-0005-0000-0000-000050280000}"/>
    <cellStyle name="Procent 3 4 2 3" xfId="8699" xr:uid="{00000000-0005-0000-0000-000051280000}"/>
    <cellStyle name="Procent 3 4 3" xfId="6695" xr:uid="{00000000-0005-0000-0000-000052280000}"/>
    <cellStyle name="Procent 3 4 3 2" xfId="9450" xr:uid="{00000000-0005-0000-0000-000053280000}"/>
    <cellStyle name="Procent 3 4 4" xfId="8083" xr:uid="{00000000-0005-0000-0000-000054280000}"/>
    <cellStyle name="Procent 3 5" xfId="3508" xr:uid="{00000000-0005-0000-0000-000055280000}"/>
    <cellStyle name="Procent 3 6" xfId="4106" xr:uid="{00000000-0005-0000-0000-000056280000}"/>
    <cellStyle name="Procent 3 6 2" xfId="7274" xr:uid="{00000000-0005-0000-0000-000057280000}"/>
    <cellStyle name="Procent 3 6 2 2" xfId="10029" xr:uid="{00000000-0005-0000-0000-000058280000}"/>
    <cellStyle name="Procent 3 6 3" xfId="8667" xr:uid="{00000000-0005-0000-0000-000059280000}"/>
    <cellStyle name="Procent 3 7" xfId="3387" xr:uid="{00000000-0005-0000-0000-00005A280000}"/>
    <cellStyle name="Procent 3 7 2" xfId="6655" xr:uid="{00000000-0005-0000-0000-00005B280000}"/>
    <cellStyle name="Procent 3 7 2 2" xfId="9418" xr:uid="{00000000-0005-0000-0000-00005C280000}"/>
    <cellStyle name="Procent 3 7 3" xfId="8047" xr:uid="{00000000-0005-0000-0000-00005D280000}"/>
    <cellStyle name="Procent 4" xfId="1990" xr:uid="{00000000-0005-0000-0000-00005E280000}"/>
    <cellStyle name="Procent 4 10" xfId="7951" xr:uid="{00000000-0005-0000-0000-00005F280000}"/>
    <cellStyle name="Procent 4 2" xfId="3260" xr:uid="{00000000-0005-0000-0000-000060280000}"/>
    <cellStyle name="Procent 4 2 2" xfId="3309" xr:uid="{00000000-0005-0000-0000-000061280000}"/>
    <cellStyle name="Procent 4 2 2 2" xfId="4693" xr:uid="{00000000-0005-0000-0000-000062280000}"/>
    <cellStyle name="Procent 4 2 2 2 2" xfId="7861" xr:uid="{00000000-0005-0000-0000-000063280000}"/>
    <cellStyle name="Procent 4 2 2 2 2 2" xfId="10616" xr:uid="{00000000-0005-0000-0000-000064280000}"/>
    <cellStyle name="Procent 4 2 2 2 3" xfId="9254" xr:uid="{00000000-0005-0000-0000-000065280000}"/>
    <cellStyle name="Procent 4 2 2 3" xfId="4069" xr:uid="{00000000-0005-0000-0000-000066280000}"/>
    <cellStyle name="Procent 4 2 2 3 2" xfId="7237" xr:uid="{00000000-0005-0000-0000-000067280000}"/>
    <cellStyle name="Procent 4 2 2 3 2 2" xfId="9992" xr:uid="{00000000-0005-0000-0000-000068280000}"/>
    <cellStyle name="Procent 4 2 2 3 3" xfId="8630" xr:uid="{00000000-0005-0000-0000-000069280000}"/>
    <cellStyle name="Procent 4 2 2 4" xfId="6618" xr:uid="{00000000-0005-0000-0000-00006A280000}"/>
    <cellStyle name="Procent 4 2 2 4 2" xfId="9382" xr:uid="{00000000-0005-0000-0000-00006B280000}"/>
    <cellStyle name="Procent 4 2 2 5" xfId="8011" xr:uid="{00000000-0005-0000-0000-00006C280000}"/>
    <cellStyle name="Procent 4 2 3" xfId="4070" xr:uid="{00000000-0005-0000-0000-00006D280000}"/>
    <cellStyle name="Procent 4 2 3 2" xfId="4694" xr:uid="{00000000-0005-0000-0000-00006E280000}"/>
    <cellStyle name="Procent 4 2 3 2 2" xfId="7862" xr:uid="{00000000-0005-0000-0000-00006F280000}"/>
    <cellStyle name="Procent 4 2 3 2 2 2" xfId="10617" xr:uid="{00000000-0005-0000-0000-000070280000}"/>
    <cellStyle name="Procent 4 2 3 2 3" xfId="9255" xr:uid="{00000000-0005-0000-0000-000071280000}"/>
    <cellStyle name="Procent 4 2 3 3" xfId="7238" xr:uid="{00000000-0005-0000-0000-000072280000}"/>
    <cellStyle name="Procent 4 2 3 3 2" xfId="9993" xr:uid="{00000000-0005-0000-0000-000073280000}"/>
    <cellStyle name="Procent 4 2 3 4" xfId="8631" xr:uid="{00000000-0005-0000-0000-000074280000}"/>
    <cellStyle name="Procent 4 2 4" xfId="4692" xr:uid="{00000000-0005-0000-0000-000075280000}"/>
    <cellStyle name="Procent 4 2 4 2" xfId="7860" xr:uid="{00000000-0005-0000-0000-000076280000}"/>
    <cellStyle name="Procent 4 2 4 2 2" xfId="10615" xr:uid="{00000000-0005-0000-0000-000077280000}"/>
    <cellStyle name="Procent 4 2 4 3" xfId="9253" xr:uid="{00000000-0005-0000-0000-000078280000}"/>
    <cellStyle name="Procent 4 2 5" xfId="4068" xr:uid="{00000000-0005-0000-0000-000079280000}"/>
    <cellStyle name="Procent 4 2 5 2" xfId="7236" xr:uid="{00000000-0005-0000-0000-00007A280000}"/>
    <cellStyle name="Procent 4 2 5 2 2" xfId="9991" xr:uid="{00000000-0005-0000-0000-00007B280000}"/>
    <cellStyle name="Procent 4 2 5 3" xfId="8629" xr:uid="{00000000-0005-0000-0000-00007C280000}"/>
    <cellStyle name="Procent 4 2 6" xfId="5675" xr:uid="{00000000-0005-0000-0000-00007D280000}"/>
    <cellStyle name="Procent 4 2 6 2" xfId="9325" xr:uid="{00000000-0005-0000-0000-00007E280000}"/>
    <cellStyle name="Procent 4 2 7" xfId="6597" xr:uid="{00000000-0005-0000-0000-00007F280000}"/>
    <cellStyle name="Procent 4 2 7 2" xfId="9361" xr:uid="{00000000-0005-0000-0000-000080280000}"/>
    <cellStyle name="Procent 4 2 8" xfId="7991" xr:uid="{00000000-0005-0000-0000-000081280000}"/>
    <cellStyle name="Procent 4 3" xfId="3290" xr:uid="{00000000-0005-0000-0000-000082280000}"/>
    <cellStyle name="Procent 4 3 2" xfId="4695" xr:uid="{00000000-0005-0000-0000-000083280000}"/>
    <cellStyle name="Procent 4 3 2 2" xfId="7863" xr:uid="{00000000-0005-0000-0000-000084280000}"/>
    <cellStyle name="Procent 4 3 2 2 2" xfId="10618" xr:uid="{00000000-0005-0000-0000-000085280000}"/>
    <cellStyle name="Procent 4 3 2 3" xfId="9256" xr:uid="{00000000-0005-0000-0000-000086280000}"/>
    <cellStyle name="Procent 4 3 3" xfId="4071" xr:uid="{00000000-0005-0000-0000-000087280000}"/>
    <cellStyle name="Procent 4 3 3 2" xfId="7239" xr:uid="{00000000-0005-0000-0000-000088280000}"/>
    <cellStyle name="Procent 4 3 3 2 2" xfId="9994" xr:uid="{00000000-0005-0000-0000-000089280000}"/>
    <cellStyle name="Procent 4 3 3 3" xfId="8632" xr:uid="{00000000-0005-0000-0000-00008A280000}"/>
    <cellStyle name="Procent 4 3 4" xfId="6608" xr:uid="{00000000-0005-0000-0000-00008B280000}"/>
    <cellStyle name="Procent 4 3 4 2" xfId="9372" xr:uid="{00000000-0005-0000-0000-00008C280000}"/>
    <cellStyle name="Procent 4 3 5" xfId="8001" xr:uid="{00000000-0005-0000-0000-00008D280000}"/>
    <cellStyle name="Procent 4 4" xfId="4072" xr:uid="{00000000-0005-0000-0000-00008E280000}"/>
    <cellStyle name="Procent 4 4 2" xfId="4696" xr:uid="{00000000-0005-0000-0000-00008F280000}"/>
    <cellStyle name="Procent 4 4 2 2" xfId="7864" xr:uid="{00000000-0005-0000-0000-000090280000}"/>
    <cellStyle name="Procent 4 4 2 2 2" xfId="10619" xr:uid="{00000000-0005-0000-0000-000091280000}"/>
    <cellStyle name="Procent 4 4 2 3" xfId="9257" xr:uid="{00000000-0005-0000-0000-000092280000}"/>
    <cellStyle name="Procent 4 4 3" xfId="7240" xr:uid="{00000000-0005-0000-0000-000093280000}"/>
    <cellStyle name="Procent 4 4 3 2" xfId="9995" xr:uid="{00000000-0005-0000-0000-000094280000}"/>
    <cellStyle name="Procent 4 4 4" xfId="8633" xr:uid="{00000000-0005-0000-0000-000095280000}"/>
    <cellStyle name="Procent 4 5" xfId="4073" xr:uid="{00000000-0005-0000-0000-000096280000}"/>
    <cellStyle name="Procent 4 5 2" xfId="4697" xr:uid="{00000000-0005-0000-0000-000097280000}"/>
    <cellStyle name="Procent 4 5 2 2" xfId="7865" xr:uid="{00000000-0005-0000-0000-000098280000}"/>
    <cellStyle name="Procent 4 5 2 2 2" xfId="10620" xr:uid="{00000000-0005-0000-0000-000099280000}"/>
    <cellStyle name="Procent 4 5 2 3" xfId="9258" xr:uid="{00000000-0005-0000-0000-00009A280000}"/>
    <cellStyle name="Procent 4 5 3" xfId="7241" xr:uid="{00000000-0005-0000-0000-00009B280000}"/>
    <cellStyle name="Procent 4 5 3 2" xfId="9996" xr:uid="{00000000-0005-0000-0000-00009C280000}"/>
    <cellStyle name="Procent 4 5 4" xfId="8634" xr:uid="{00000000-0005-0000-0000-00009D280000}"/>
    <cellStyle name="Procent 4 6" xfId="4691" xr:uid="{00000000-0005-0000-0000-00009E280000}"/>
    <cellStyle name="Procent 4 6 2" xfId="7859" xr:uid="{00000000-0005-0000-0000-00009F280000}"/>
    <cellStyle name="Procent 4 6 2 2" xfId="10614" xr:uid="{00000000-0005-0000-0000-0000A0280000}"/>
    <cellStyle name="Procent 4 6 3" xfId="9252" xr:uid="{00000000-0005-0000-0000-0000A1280000}"/>
    <cellStyle name="Procent 4 7" xfId="4067" xr:uid="{00000000-0005-0000-0000-0000A2280000}"/>
    <cellStyle name="Procent 4 7 2" xfId="7235" xr:uid="{00000000-0005-0000-0000-0000A3280000}"/>
    <cellStyle name="Procent 4 7 2 2" xfId="9990" xr:uid="{00000000-0005-0000-0000-0000A4280000}"/>
    <cellStyle name="Procent 4 7 3" xfId="8628" xr:uid="{00000000-0005-0000-0000-0000A5280000}"/>
    <cellStyle name="Procent 4 8" xfId="5306" xr:uid="{00000000-0005-0000-0000-0000A6280000}"/>
    <cellStyle name="Procent 4 8 2" xfId="9311" xr:uid="{00000000-0005-0000-0000-0000A7280000}"/>
    <cellStyle name="Procent 4 9" xfId="6228" xr:uid="{00000000-0005-0000-0000-0000A8280000}"/>
    <cellStyle name="Procent 4 9 2" xfId="9344" xr:uid="{00000000-0005-0000-0000-0000A9280000}"/>
    <cellStyle name="Procent 5" xfId="3313" xr:uid="{00000000-0005-0000-0000-0000AA280000}"/>
    <cellStyle name="Procent 5 2" xfId="4075" xr:uid="{00000000-0005-0000-0000-0000AB280000}"/>
    <cellStyle name="Procent 5 2 2" xfId="4076" xr:uid="{00000000-0005-0000-0000-0000AC280000}"/>
    <cellStyle name="Procent 5 2 2 2" xfId="4700" xr:uid="{00000000-0005-0000-0000-0000AD280000}"/>
    <cellStyle name="Procent 5 2 2 2 2" xfId="7868" xr:uid="{00000000-0005-0000-0000-0000AE280000}"/>
    <cellStyle name="Procent 5 2 2 2 2 2" xfId="10623" xr:uid="{00000000-0005-0000-0000-0000AF280000}"/>
    <cellStyle name="Procent 5 2 2 2 3" xfId="9261" xr:uid="{00000000-0005-0000-0000-0000B0280000}"/>
    <cellStyle name="Procent 5 2 2 3" xfId="7244" xr:uid="{00000000-0005-0000-0000-0000B1280000}"/>
    <cellStyle name="Procent 5 2 2 3 2" xfId="9999" xr:uid="{00000000-0005-0000-0000-0000B2280000}"/>
    <cellStyle name="Procent 5 2 2 4" xfId="8637" xr:uid="{00000000-0005-0000-0000-0000B3280000}"/>
    <cellStyle name="Procent 5 2 3" xfId="4077" xr:uid="{00000000-0005-0000-0000-0000B4280000}"/>
    <cellStyle name="Procent 5 2 3 2" xfId="4701" xr:uid="{00000000-0005-0000-0000-0000B5280000}"/>
    <cellStyle name="Procent 5 2 3 2 2" xfId="7869" xr:uid="{00000000-0005-0000-0000-0000B6280000}"/>
    <cellStyle name="Procent 5 2 3 2 2 2" xfId="10624" xr:uid="{00000000-0005-0000-0000-0000B7280000}"/>
    <cellStyle name="Procent 5 2 3 2 3" xfId="9262" xr:uid="{00000000-0005-0000-0000-0000B8280000}"/>
    <cellStyle name="Procent 5 2 3 3" xfId="7245" xr:uid="{00000000-0005-0000-0000-0000B9280000}"/>
    <cellStyle name="Procent 5 2 3 3 2" xfId="10000" xr:uid="{00000000-0005-0000-0000-0000BA280000}"/>
    <cellStyle name="Procent 5 2 3 4" xfId="8638" xr:uid="{00000000-0005-0000-0000-0000BB280000}"/>
    <cellStyle name="Procent 5 2 4" xfId="4699" xr:uid="{00000000-0005-0000-0000-0000BC280000}"/>
    <cellStyle name="Procent 5 2 4 2" xfId="7867" xr:uid="{00000000-0005-0000-0000-0000BD280000}"/>
    <cellStyle name="Procent 5 2 4 2 2" xfId="10622" xr:uid="{00000000-0005-0000-0000-0000BE280000}"/>
    <cellStyle name="Procent 5 2 4 3" xfId="9260" xr:uid="{00000000-0005-0000-0000-0000BF280000}"/>
    <cellStyle name="Procent 5 2 5" xfId="7243" xr:uid="{00000000-0005-0000-0000-0000C0280000}"/>
    <cellStyle name="Procent 5 2 5 2" xfId="9998" xr:uid="{00000000-0005-0000-0000-0000C1280000}"/>
    <cellStyle name="Procent 5 2 6" xfId="8636" xr:uid="{00000000-0005-0000-0000-0000C2280000}"/>
    <cellStyle name="Procent 5 3" xfId="4078" xr:uid="{00000000-0005-0000-0000-0000C3280000}"/>
    <cellStyle name="Procent 5 3 2" xfId="4702" xr:uid="{00000000-0005-0000-0000-0000C4280000}"/>
    <cellStyle name="Procent 5 3 2 2" xfId="7870" xr:uid="{00000000-0005-0000-0000-0000C5280000}"/>
    <cellStyle name="Procent 5 3 2 2 2" xfId="10625" xr:uid="{00000000-0005-0000-0000-0000C6280000}"/>
    <cellStyle name="Procent 5 3 2 3" xfId="9263" xr:uid="{00000000-0005-0000-0000-0000C7280000}"/>
    <cellStyle name="Procent 5 3 3" xfId="7246" xr:uid="{00000000-0005-0000-0000-0000C8280000}"/>
    <cellStyle name="Procent 5 3 3 2" xfId="10001" xr:uid="{00000000-0005-0000-0000-0000C9280000}"/>
    <cellStyle name="Procent 5 3 4" xfId="8639" xr:uid="{00000000-0005-0000-0000-0000CA280000}"/>
    <cellStyle name="Procent 5 4" xfId="4079" xr:uid="{00000000-0005-0000-0000-0000CB280000}"/>
    <cellStyle name="Procent 5 4 2" xfId="4703" xr:uid="{00000000-0005-0000-0000-0000CC280000}"/>
    <cellStyle name="Procent 5 4 2 2" xfId="7871" xr:uid="{00000000-0005-0000-0000-0000CD280000}"/>
    <cellStyle name="Procent 5 4 2 2 2" xfId="10626" xr:uid="{00000000-0005-0000-0000-0000CE280000}"/>
    <cellStyle name="Procent 5 4 2 3" xfId="9264" xr:uid="{00000000-0005-0000-0000-0000CF280000}"/>
    <cellStyle name="Procent 5 4 3" xfId="7247" xr:uid="{00000000-0005-0000-0000-0000D0280000}"/>
    <cellStyle name="Procent 5 4 3 2" xfId="10002" xr:uid="{00000000-0005-0000-0000-0000D1280000}"/>
    <cellStyle name="Procent 5 4 4" xfId="8640" xr:uid="{00000000-0005-0000-0000-0000D2280000}"/>
    <cellStyle name="Procent 5 5" xfId="4080" xr:uid="{00000000-0005-0000-0000-0000D3280000}"/>
    <cellStyle name="Procent 5 5 2" xfId="4704" xr:uid="{00000000-0005-0000-0000-0000D4280000}"/>
    <cellStyle name="Procent 5 5 2 2" xfId="7872" xr:uid="{00000000-0005-0000-0000-0000D5280000}"/>
    <cellStyle name="Procent 5 5 2 2 2" xfId="10627" xr:uid="{00000000-0005-0000-0000-0000D6280000}"/>
    <cellStyle name="Procent 5 5 2 3" xfId="9265" xr:uid="{00000000-0005-0000-0000-0000D7280000}"/>
    <cellStyle name="Procent 5 5 3" xfId="7248" xr:uid="{00000000-0005-0000-0000-0000D8280000}"/>
    <cellStyle name="Procent 5 5 3 2" xfId="10003" xr:uid="{00000000-0005-0000-0000-0000D9280000}"/>
    <cellStyle name="Procent 5 5 4" xfId="8641" xr:uid="{00000000-0005-0000-0000-0000DA280000}"/>
    <cellStyle name="Procent 5 6" xfId="4698" xr:uid="{00000000-0005-0000-0000-0000DB280000}"/>
    <cellStyle name="Procent 5 6 2" xfId="7866" xr:uid="{00000000-0005-0000-0000-0000DC280000}"/>
    <cellStyle name="Procent 5 6 2 2" xfId="10621" xr:uid="{00000000-0005-0000-0000-0000DD280000}"/>
    <cellStyle name="Procent 5 6 3" xfId="9259" xr:uid="{00000000-0005-0000-0000-0000DE280000}"/>
    <cellStyle name="Procent 5 7" xfId="4074" xr:uid="{00000000-0005-0000-0000-0000DF280000}"/>
    <cellStyle name="Procent 5 7 2" xfId="7242" xr:uid="{00000000-0005-0000-0000-0000E0280000}"/>
    <cellStyle name="Procent 5 7 2 2" xfId="9997" xr:uid="{00000000-0005-0000-0000-0000E1280000}"/>
    <cellStyle name="Procent 5 7 3" xfId="8635" xr:uid="{00000000-0005-0000-0000-0000E2280000}"/>
    <cellStyle name="Procent 5 8" xfId="6622" xr:uid="{00000000-0005-0000-0000-0000E3280000}"/>
    <cellStyle name="Procent 5 8 2" xfId="9386" xr:uid="{00000000-0005-0000-0000-0000E4280000}"/>
    <cellStyle name="Procent 5 9" xfId="8015" xr:uid="{00000000-0005-0000-0000-0000E5280000}"/>
    <cellStyle name="Procent 6" xfId="3364" xr:uid="{00000000-0005-0000-0000-0000E6280000}"/>
    <cellStyle name="Procent 6 2" xfId="4081" xr:uid="{00000000-0005-0000-0000-0000E7280000}"/>
    <cellStyle name="Procent 6 2 2" xfId="4082" xr:uid="{00000000-0005-0000-0000-0000E8280000}"/>
    <cellStyle name="Procent 6 2 2 2" xfId="4707" xr:uid="{00000000-0005-0000-0000-0000E9280000}"/>
    <cellStyle name="Procent 6 2 2 2 2" xfId="7875" xr:uid="{00000000-0005-0000-0000-0000EA280000}"/>
    <cellStyle name="Procent 6 2 2 2 2 2" xfId="10630" xr:uid="{00000000-0005-0000-0000-0000EB280000}"/>
    <cellStyle name="Procent 6 2 2 2 3" xfId="9268" xr:uid="{00000000-0005-0000-0000-0000EC280000}"/>
    <cellStyle name="Procent 6 2 2 3" xfId="7250" xr:uid="{00000000-0005-0000-0000-0000ED280000}"/>
    <cellStyle name="Procent 6 2 2 3 2" xfId="10005" xr:uid="{00000000-0005-0000-0000-0000EE280000}"/>
    <cellStyle name="Procent 6 2 2 4" xfId="8643" xr:uid="{00000000-0005-0000-0000-0000EF280000}"/>
    <cellStyle name="Procent 6 2 3" xfId="4083" xr:uid="{00000000-0005-0000-0000-0000F0280000}"/>
    <cellStyle name="Procent 6 2 3 2" xfId="4708" xr:uid="{00000000-0005-0000-0000-0000F1280000}"/>
    <cellStyle name="Procent 6 2 3 2 2" xfId="7876" xr:uid="{00000000-0005-0000-0000-0000F2280000}"/>
    <cellStyle name="Procent 6 2 3 2 2 2" xfId="10631" xr:uid="{00000000-0005-0000-0000-0000F3280000}"/>
    <cellStyle name="Procent 6 2 3 2 3" xfId="9269" xr:uid="{00000000-0005-0000-0000-0000F4280000}"/>
    <cellStyle name="Procent 6 2 3 3" xfId="7251" xr:uid="{00000000-0005-0000-0000-0000F5280000}"/>
    <cellStyle name="Procent 6 2 3 3 2" xfId="10006" xr:uid="{00000000-0005-0000-0000-0000F6280000}"/>
    <cellStyle name="Procent 6 2 3 4" xfId="8644" xr:uid="{00000000-0005-0000-0000-0000F7280000}"/>
    <cellStyle name="Procent 6 2 4" xfId="4706" xr:uid="{00000000-0005-0000-0000-0000F8280000}"/>
    <cellStyle name="Procent 6 2 4 2" xfId="7874" xr:uid="{00000000-0005-0000-0000-0000F9280000}"/>
    <cellStyle name="Procent 6 2 4 2 2" xfId="10629" xr:uid="{00000000-0005-0000-0000-0000FA280000}"/>
    <cellStyle name="Procent 6 2 4 3" xfId="9267" xr:uid="{00000000-0005-0000-0000-0000FB280000}"/>
    <cellStyle name="Procent 6 2 5" xfId="7249" xr:uid="{00000000-0005-0000-0000-0000FC280000}"/>
    <cellStyle name="Procent 6 2 5 2" xfId="10004" xr:uid="{00000000-0005-0000-0000-0000FD280000}"/>
    <cellStyle name="Procent 6 2 6" xfId="8642" xr:uid="{00000000-0005-0000-0000-0000FE280000}"/>
    <cellStyle name="Procent 6 3" xfId="4084" xr:uid="{00000000-0005-0000-0000-0000FF280000}"/>
    <cellStyle name="Procent 6 3 2" xfId="4709" xr:uid="{00000000-0005-0000-0000-000000290000}"/>
    <cellStyle name="Procent 6 3 2 2" xfId="7877" xr:uid="{00000000-0005-0000-0000-000001290000}"/>
    <cellStyle name="Procent 6 3 2 2 2" xfId="10632" xr:uid="{00000000-0005-0000-0000-000002290000}"/>
    <cellStyle name="Procent 6 3 2 3" xfId="9270" xr:uid="{00000000-0005-0000-0000-000003290000}"/>
    <cellStyle name="Procent 6 3 3" xfId="7252" xr:uid="{00000000-0005-0000-0000-000004290000}"/>
    <cellStyle name="Procent 6 3 3 2" xfId="10007" xr:uid="{00000000-0005-0000-0000-000005290000}"/>
    <cellStyle name="Procent 6 3 4" xfId="8645" xr:uid="{00000000-0005-0000-0000-000006290000}"/>
    <cellStyle name="Procent 6 4" xfId="4085" xr:uid="{00000000-0005-0000-0000-000007290000}"/>
    <cellStyle name="Procent 6 4 2" xfId="4710" xr:uid="{00000000-0005-0000-0000-000008290000}"/>
    <cellStyle name="Procent 6 4 2 2" xfId="7878" xr:uid="{00000000-0005-0000-0000-000009290000}"/>
    <cellStyle name="Procent 6 4 2 2 2" xfId="10633" xr:uid="{00000000-0005-0000-0000-00000A290000}"/>
    <cellStyle name="Procent 6 4 2 3" xfId="9271" xr:uid="{00000000-0005-0000-0000-00000B290000}"/>
    <cellStyle name="Procent 6 4 3" xfId="7253" xr:uid="{00000000-0005-0000-0000-00000C290000}"/>
    <cellStyle name="Procent 6 4 3 2" xfId="10008" xr:uid="{00000000-0005-0000-0000-00000D290000}"/>
    <cellStyle name="Procent 6 4 4" xfId="8646" xr:uid="{00000000-0005-0000-0000-00000E290000}"/>
    <cellStyle name="Procent 6 5" xfId="4086" xr:uid="{00000000-0005-0000-0000-00000F290000}"/>
    <cellStyle name="Procent 6 5 2" xfId="4711" xr:uid="{00000000-0005-0000-0000-000010290000}"/>
    <cellStyle name="Procent 6 5 2 2" xfId="7879" xr:uid="{00000000-0005-0000-0000-000011290000}"/>
    <cellStyle name="Procent 6 5 2 2 2" xfId="10634" xr:uid="{00000000-0005-0000-0000-000012290000}"/>
    <cellStyle name="Procent 6 5 2 3" xfId="9272" xr:uid="{00000000-0005-0000-0000-000013290000}"/>
    <cellStyle name="Procent 6 5 3" xfId="7254" xr:uid="{00000000-0005-0000-0000-000014290000}"/>
    <cellStyle name="Procent 6 5 3 2" xfId="10009" xr:uid="{00000000-0005-0000-0000-000015290000}"/>
    <cellStyle name="Procent 6 5 4" xfId="8647" xr:uid="{00000000-0005-0000-0000-000016290000}"/>
    <cellStyle name="Procent 6 6" xfId="4705" xr:uid="{00000000-0005-0000-0000-000017290000}"/>
    <cellStyle name="Procent 6 6 2" xfId="7873" xr:uid="{00000000-0005-0000-0000-000018290000}"/>
    <cellStyle name="Procent 6 6 2 2" xfId="10628" xr:uid="{00000000-0005-0000-0000-000019290000}"/>
    <cellStyle name="Procent 6 6 3" xfId="9266" xr:uid="{00000000-0005-0000-0000-00001A290000}"/>
    <cellStyle name="Procent 6 7" xfId="6648" xr:uid="{00000000-0005-0000-0000-00001B290000}"/>
    <cellStyle name="Procent 6 7 2" xfId="9412" xr:uid="{00000000-0005-0000-0000-00001C290000}"/>
    <cellStyle name="Procent 6 8" xfId="8041" xr:uid="{00000000-0005-0000-0000-00001D290000}"/>
    <cellStyle name="Procent 7" xfId="4087" xr:uid="{00000000-0005-0000-0000-00001E290000}"/>
    <cellStyle name="Procent 7 2" xfId="4088" xr:uid="{00000000-0005-0000-0000-00001F290000}"/>
    <cellStyle name="Procent 7 2 2" xfId="4089" xr:uid="{00000000-0005-0000-0000-000020290000}"/>
    <cellStyle name="Procent 7 2 2 2" xfId="4714" xr:uid="{00000000-0005-0000-0000-000021290000}"/>
    <cellStyle name="Procent 7 2 2 2 2" xfId="7882" xr:uid="{00000000-0005-0000-0000-000022290000}"/>
    <cellStyle name="Procent 7 2 2 2 2 2" xfId="10637" xr:uid="{00000000-0005-0000-0000-000023290000}"/>
    <cellStyle name="Procent 7 2 2 2 3" xfId="9275" xr:uid="{00000000-0005-0000-0000-000024290000}"/>
    <cellStyle name="Procent 7 2 2 3" xfId="7257" xr:uid="{00000000-0005-0000-0000-000025290000}"/>
    <cellStyle name="Procent 7 2 2 3 2" xfId="10012" xr:uid="{00000000-0005-0000-0000-000026290000}"/>
    <cellStyle name="Procent 7 2 2 4" xfId="8650" xr:uid="{00000000-0005-0000-0000-000027290000}"/>
    <cellStyle name="Procent 7 2 3" xfId="4090" xr:uid="{00000000-0005-0000-0000-000028290000}"/>
    <cellStyle name="Procent 7 2 3 2" xfId="4715" xr:uid="{00000000-0005-0000-0000-000029290000}"/>
    <cellStyle name="Procent 7 2 3 2 2" xfId="7883" xr:uid="{00000000-0005-0000-0000-00002A290000}"/>
    <cellStyle name="Procent 7 2 3 2 2 2" xfId="10638" xr:uid="{00000000-0005-0000-0000-00002B290000}"/>
    <cellStyle name="Procent 7 2 3 2 3" xfId="9276" xr:uid="{00000000-0005-0000-0000-00002C290000}"/>
    <cellStyle name="Procent 7 2 3 3" xfId="7258" xr:uid="{00000000-0005-0000-0000-00002D290000}"/>
    <cellStyle name="Procent 7 2 3 3 2" xfId="10013" xr:uid="{00000000-0005-0000-0000-00002E290000}"/>
    <cellStyle name="Procent 7 2 3 4" xfId="8651" xr:uid="{00000000-0005-0000-0000-00002F290000}"/>
    <cellStyle name="Procent 7 2 4" xfId="4713" xr:uid="{00000000-0005-0000-0000-000030290000}"/>
    <cellStyle name="Procent 7 2 4 2" xfId="7881" xr:uid="{00000000-0005-0000-0000-000031290000}"/>
    <cellStyle name="Procent 7 2 4 2 2" xfId="10636" xr:uid="{00000000-0005-0000-0000-000032290000}"/>
    <cellStyle name="Procent 7 2 4 3" xfId="9274" xr:uid="{00000000-0005-0000-0000-000033290000}"/>
    <cellStyle name="Procent 7 2 5" xfId="7256" xr:uid="{00000000-0005-0000-0000-000034290000}"/>
    <cellStyle name="Procent 7 2 5 2" xfId="10011" xr:uid="{00000000-0005-0000-0000-000035290000}"/>
    <cellStyle name="Procent 7 2 6" xfId="8649" xr:uid="{00000000-0005-0000-0000-000036290000}"/>
    <cellStyle name="Procent 7 3" xfId="4091" xr:uid="{00000000-0005-0000-0000-000037290000}"/>
    <cellStyle name="Procent 7 3 2" xfId="4716" xr:uid="{00000000-0005-0000-0000-000038290000}"/>
    <cellStyle name="Procent 7 3 2 2" xfId="7884" xr:uid="{00000000-0005-0000-0000-000039290000}"/>
    <cellStyle name="Procent 7 3 2 2 2" xfId="10639" xr:uid="{00000000-0005-0000-0000-00003A290000}"/>
    <cellStyle name="Procent 7 3 2 3" xfId="9277" xr:uid="{00000000-0005-0000-0000-00003B290000}"/>
    <cellStyle name="Procent 7 3 3" xfId="7259" xr:uid="{00000000-0005-0000-0000-00003C290000}"/>
    <cellStyle name="Procent 7 3 3 2" xfId="10014" xr:uid="{00000000-0005-0000-0000-00003D290000}"/>
    <cellStyle name="Procent 7 3 4" xfId="8652" xr:uid="{00000000-0005-0000-0000-00003E290000}"/>
    <cellStyle name="Procent 7 4" xfId="4092" xr:uid="{00000000-0005-0000-0000-00003F290000}"/>
    <cellStyle name="Procent 7 4 2" xfId="4717" xr:uid="{00000000-0005-0000-0000-000040290000}"/>
    <cellStyle name="Procent 7 4 2 2" xfId="7885" xr:uid="{00000000-0005-0000-0000-000041290000}"/>
    <cellStyle name="Procent 7 4 2 2 2" xfId="10640" xr:uid="{00000000-0005-0000-0000-000042290000}"/>
    <cellStyle name="Procent 7 4 2 3" xfId="9278" xr:uid="{00000000-0005-0000-0000-000043290000}"/>
    <cellStyle name="Procent 7 4 3" xfId="7260" xr:uid="{00000000-0005-0000-0000-000044290000}"/>
    <cellStyle name="Procent 7 4 3 2" xfId="10015" xr:uid="{00000000-0005-0000-0000-000045290000}"/>
    <cellStyle name="Procent 7 4 4" xfId="8653" xr:uid="{00000000-0005-0000-0000-000046290000}"/>
    <cellStyle name="Procent 7 5" xfId="4093" xr:uid="{00000000-0005-0000-0000-000047290000}"/>
    <cellStyle name="Procent 7 5 2" xfId="4718" xr:uid="{00000000-0005-0000-0000-000048290000}"/>
    <cellStyle name="Procent 7 5 2 2" xfId="7886" xr:uid="{00000000-0005-0000-0000-000049290000}"/>
    <cellStyle name="Procent 7 5 2 2 2" xfId="10641" xr:uid="{00000000-0005-0000-0000-00004A290000}"/>
    <cellStyle name="Procent 7 5 2 3" xfId="9279" xr:uid="{00000000-0005-0000-0000-00004B290000}"/>
    <cellStyle name="Procent 7 5 3" xfId="7261" xr:uid="{00000000-0005-0000-0000-00004C290000}"/>
    <cellStyle name="Procent 7 5 3 2" xfId="10016" xr:uid="{00000000-0005-0000-0000-00004D290000}"/>
    <cellStyle name="Procent 7 5 4" xfId="8654" xr:uid="{00000000-0005-0000-0000-00004E290000}"/>
    <cellStyle name="Procent 7 6" xfId="4712" xr:uid="{00000000-0005-0000-0000-00004F290000}"/>
    <cellStyle name="Procent 7 6 2" xfId="7880" xr:uid="{00000000-0005-0000-0000-000050290000}"/>
    <cellStyle name="Procent 7 6 2 2" xfId="10635" xr:uid="{00000000-0005-0000-0000-000051290000}"/>
    <cellStyle name="Procent 7 6 3" xfId="9273" xr:uid="{00000000-0005-0000-0000-000052290000}"/>
    <cellStyle name="Procent 7 7" xfId="7255" xr:uid="{00000000-0005-0000-0000-000053290000}"/>
    <cellStyle name="Procent 7 7 2" xfId="10010" xr:uid="{00000000-0005-0000-0000-000054290000}"/>
    <cellStyle name="Procent 7 8" xfId="8648" xr:uid="{00000000-0005-0000-0000-000055290000}"/>
    <cellStyle name="Procent 8" xfId="4094" xr:uid="{00000000-0005-0000-0000-000056290000}"/>
    <cellStyle name="Procent 8 2" xfId="4095" xr:uid="{00000000-0005-0000-0000-000057290000}"/>
    <cellStyle name="Procent 8 2 2" xfId="4096" xr:uid="{00000000-0005-0000-0000-000058290000}"/>
    <cellStyle name="Procent 8 2 2 2" xfId="4721" xr:uid="{00000000-0005-0000-0000-000059290000}"/>
    <cellStyle name="Procent 8 2 2 2 2" xfId="7889" xr:uid="{00000000-0005-0000-0000-00005A290000}"/>
    <cellStyle name="Procent 8 2 2 2 2 2" xfId="10644" xr:uid="{00000000-0005-0000-0000-00005B290000}"/>
    <cellStyle name="Procent 8 2 2 2 3" xfId="9282" xr:uid="{00000000-0005-0000-0000-00005C290000}"/>
    <cellStyle name="Procent 8 2 2 3" xfId="7264" xr:uid="{00000000-0005-0000-0000-00005D290000}"/>
    <cellStyle name="Procent 8 2 2 3 2" xfId="10019" xr:uid="{00000000-0005-0000-0000-00005E290000}"/>
    <cellStyle name="Procent 8 2 2 4" xfId="8657" xr:uid="{00000000-0005-0000-0000-00005F290000}"/>
    <cellStyle name="Procent 8 2 3" xfId="4097" xr:uid="{00000000-0005-0000-0000-000060290000}"/>
    <cellStyle name="Procent 8 2 3 2" xfId="4722" xr:uid="{00000000-0005-0000-0000-000061290000}"/>
    <cellStyle name="Procent 8 2 3 2 2" xfId="7890" xr:uid="{00000000-0005-0000-0000-000062290000}"/>
    <cellStyle name="Procent 8 2 3 2 2 2" xfId="10645" xr:uid="{00000000-0005-0000-0000-000063290000}"/>
    <cellStyle name="Procent 8 2 3 2 3" xfId="9283" xr:uid="{00000000-0005-0000-0000-000064290000}"/>
    <cellStyle name="Procent 8 2 3 3" xfId="7265" xr:uid="{00000000-0005-0000-0000-000065290000}"/>
    <cellStyle name="Procent 8 2 3 3 2" xfId="10020" xr:uid="{00000000-0005-0000-0000-000066290000}"/>
    <cellStyle name="Procent 8 2 3 4" xfId="8658" xr:uid="{00000000-0005-0000-0000-000067290000}"/>
    <cellStyle name="Procent 8 2 4" xfId="4720" xr:uid="{00000000-0005-0000-0000-000068290000}"/>
    <cellStyle name="Procent 8 2 4 2" xfId="7888" xr:uid="{00000000-0005-0000-0000-000069290000}"/>
    <cellStyle name="Procent 8 2 4 2 2" xfId="10643" xr:uid="{00000000-0005-0000-0000-00006A290000}"/>
    <cellStyle name="Procent 8 2 4 3" xfId="9281" xr:uid="{00000000-0005-0000-0000-00006B290000}"/>
    <cellStyle name="Procent 8 2 5" xfId="7263" xr:uid="{00000000-0005-0000-0000-00006C290000}"/>
    <cellStyle name="Procent 8 2 5 2" xfId="10018" xr:uid="{00000000-0005-0000-0000-00006D290000}"/>
    <cellStyle name="Procent 8 2 6" xfId="8656" xr:uid="{00000000-0005-0000-0000-00006E290000}"/>
    <cellStyle name="Procent 8 3" xfId="4098" xr:uid="{00000000-0005-0000-0000-00006F290000}"/>
    <cellStyle name="Procent 8 3 2" xfId="4723" xr:uid="{00000000-0005-0000-0000-000070290000}"/>
    <cellStyle name="Procent 8 3 2 2" xfId="7891" xr:uid="{00000000-0005-0000-0000-000071290000}"/>
    <cellStyle name="Procent 8 3 2 2 2" xfId="10646" xr:uid="{00000000-0005-0000-0000-000072290000}"/>
    <cellStyle name="Procent 8 3 2 3" xfId="9284" xr:uid="{00000000-0005-0000-0000-000073290000}"/>
    <cellStyle name="Procent 8 3 3" xfId="7266" xr:uid="{00000000-0005-0000-0000-000074290000}"/>
    <cellStyle name="Procent 8 3 3 2" xfId="10021" xr:uid="{00000000-0005-0000-0000-000075290000}"/>
    <cellStyle name="Procent 8 3 4" xfId="8659" xr:uid="{00000000-0005-0000-0000-000076290000}"/>
    <cellStyle name="Procent 8 4" xfId="4099" xr:uid="{00000000-0005-0000-0000-000077290000}"/>
    <cellStyle name="Procent 8 4 2" xfId="4724" xr:uid="{00000000-0005-0000-0000-000078290000}"/>
    <cellStyle name="Procent 8 4 2 2" xfId="7892" xr:uid="{00000000-0005-0000-0000-000079290000}"/>
    <cellStyle name="Procent 8 4 2 2 2" xfId="10647" xr:uid="{00000000-0005-0000-0000-00007A290000}"/>
    <cellStyle name="Procent 8 4 2 3" xfId="9285" xr:uid="{00000000-0005-0000-0000-00007B290000}"/>
    <cellStyle name="Procent 8 4 3" xfId="7267" xr:uid="{00000000-0005-0000-0000-00007C290000}"/>
    <cellStyle name="Procent 8 4 3 2" xfId="10022" xr:uid="{00000000-0005-0000-0000-00007D290000}"/>
    <cellStyle name="Procent 8 4 4" xfId="8660" xr:uid="{00000000-0005-0000-0000-00007E290000}"/>
    <cellStyle name="Procent 8 5" xfId="4719" xr:uid="{00000000-0005-0000-0000-00007F290000}"/>
    <cellStyle name="Procent 8 5 2" xfId="7887" xr:uid="{00000000-0005-0000-0000-000080290000}"/>
    <cellStyle name="Procent 8 5 2 2" xfId="10642" xr:uid="{00000000-0005-0000-0000-000081290000}"/>
    <cellStyle name="Procent 8 5 3" xfId="9280" xr:uid="{00000000-0005-0000-0000-000082290000}"/>
    <cellStyle name="Procent 8 6" xfId="7262" xr:uid="{00000000-0005-0000-0000-000083290000}"/>
    <cellStyle name="Procent 8 6 2" xfId="10017" xr:uid="{00000000-0005-0000-0000-000084290000}"/>
    <cellStyle name="Procent 8 7" xfId="8655" xr:uid="{00000000-0005-0000-0000-000085290000}"/>
    <cellStyle name="Procent 9" xfId="4100" xr:uid="{00000000-0005-0000-0000-000086290000}"/>
    <cellStyle name="Procent 9 2" xfId="4101" xr:uid="{00000000-0005-0000-0000-000087290000}"/>
    <cellStyle name="Procent 9 2 2" xfId="4726" xr:uid="{00000000-0005-0000-0000-000088290000}"/>
    <cellStyle name="Procent 9 2 2 2" xfId="7894" xr:uid="{00000000-0005-0000-0000-000089290000}"/>
    <cellStyle name="Procent 9 2 2 2 2" xfId="10649" xr:uid="{00000000-0005-0000-0000-00008A290000}"/>
    <cellStyle name="Procent 9 2 2 3" xfId="9287" xr:uid="{00000000-0005-0000-0000-00008B290000}"/>
    <cellStyle name="Procent 9 2 3" xfId="7269" xr:uid="{00000000-0005-0000-0000-00008C290000}"/>
    <cellStyle name="Procent 9 2 3 2" xfId="10024" xr:uid="{00000000-0005-0000-0000-00008D290000}"/>
    <cellStyle name="Procent 9 2 4" xfId="8662" xr:uid="{00000000-0005-0000-0000-00008E290000}"/>
    <cellStyle name="Procent 9 3" xfId="4102" xr:uid="{00000000-0005-0000-0000-00008F290000}"/>
    <cellStyle name="Procent 9 3 2" xfId="4727" xr:uid="{00000000-0005-0000-0000-000090290000}"/>
    <cellStyle name="Procent 9 3 2 2" xfId="7895" xr:uid="{00000000-0005-0000-0000-000091290000}"/>
    <cellStyle name="Procent 9 3 2 2 2" xfId="10650" xr:uid="{00000000-0005-0000-0000-000092290000}"/>
    <cellStyle name="Procent 9 3 2 3" xfId="9288" xr:uid="{00000000-0005-0000-0000-000093290000}"/>
    <cellStyle name="Procent 9 3 3" xfId="7270" xr:uid="{00000000-0005-0000-0000-000094290000}"/>
    <cellStyle name="Procent 9 3 3 2" xfId="10025" xr:uid="{00000000-0005-0000-0000-000095290000}"/>
    <cellStyle name="Procent 9 3 4" xfId="8663" xr:uid="{00000000-0005-0000-0000-000096290000}"/>
    <cellStyle name="Procent 9 4" xfId="4725" xr:uid="{00000000-0005-0000-0000-000097290000}"/>
    <cellStyle name="Procent 9 4 2" xfId="7893" xr:uid="{00000000-0005-0000-0000-000098290000}"/>
    <cellStyle name="Procent 9 4 2 2" xfId="10648" xr:uid="{00000000-0005-0000-0000-000099290000}"/>
    <cellStyle name="Procent 9 4 3" xfId="9286" xr:uid="{00000000-0005-0000-0000-00009A290000}"/>
    <cellStyle name="Procent 9 5" xfId="7268" xr:uid="{00000000-0005-0000-0000-00009B290000}"/>
    <cellStyle name="Procent 9 5 2" xfId="10023" xr:uid="{00000000-0005-0000-0000-00009C290000}"/>
    <cellStyle name="Procent 9 6" xfId="8661" xr:uid="{00000000-0005-0000-0000-00009D290000}"/>
    <cellStyle name="Sammenkædet celle" xfId="3333" builtinId="24" customBuiltin="1"/>
    <cellStyle name="Standard_Sce_D_Extraction" xfId="1991" xr:uid="{00000000-0005-0000-0000-00009F290000}"/>
    <cellStyle name="Testo avviso" xfId="1992" xr:uid="{00000000-0005-0000-0000-0000A0290000}"/>
    <cellStyle name="Testo descrittivo" xfId="1993" xr:uid="{00000000-0005-0000-0000-0000A1290000}"/>
    <cellStyle name="Titel" xfId="3330" builtinId="15" customBuiltin="1"/>
    <cellStyle name="Titel 2" xfId="3453" xr:uid="{00000000-0005-0000-0000-0000A3290000}"/>
    <cellStyle name="Title 2" xfId="3454" xr:uid="{00000000-0005-0000-0000-0000A4290000}"/>
    <cellStyle name="Titolo" xfId="1994" xr:uid="{00000000-0005-0000-0000-0000A5290000}"/>
    <cellStyle name="Titolo 1" xfId="1995" xr:uid="{00000000-0005-0000-0000-0000A6290000}"/>
    <cellStyle name="Titolo 2" xfId="1996" xr:uid="{00000000-0005-0000-0000-0000A7290000}"/>
    <cellStyle name="Titolo 3" xfId="1997" xr:uid="{00000000-0005-0000-0000-0000A8290000}"/>
    <cellStyle name="Titolo 3 2" xfId="7952" xr:uid="{00000000-0005-0000-0000-0000A9290000}"/>
    <cellStyle name="Titolo 4" xfId="1998" xr:uid="{00000000-0005-0000-0000-0000AA290000}"/>
    <cellStyle name="Total" xfId="3337" builtinId="25" customBuiltin="1"/>
    <cellStyle name="Total 2" xfId="3455" xr:uid="{00000000-0005-0000-0000-0000AC290000}"/>
    <cellStyle name="Total 2 2" xfId="3524" xr:uid="{00000000-0005-0000-0000-0000AD290000}"/>
    <cellStyle name="Total 2 2 2" xfId="8108" xr:uid="{00000000-0005-0000-0000-0000AE290000}"/>
    <cellStyle name="Total 2 2 3" xfId="9301" xr:uid="{00000000-0005-0000-0000-0000AF290000}"/>
    <cellStyle name="Total 2 2 4" xfId="9347" xr:uid="{00000000-0005-0000-0000-0000B0290000}"/>
    <cellStyle name="Total 2 2 5" xfId="7956" xr:uid="{00000000-0005-0000-0000-0000B1290000}"/>
    <cellStyle name="Total 2 2 6" xfId="10660" xr:uid="{00000000-0005-0000-0000-0000B2290000}"/>
    <cellStyle name="Total 2 3" xfId="8054" xr:uid="{00000000-0005-0000-0000-0000B3290000}"/>
    <cellStyle name="Total 2 4" xfId="9318" xr:uid="{00000000-0005-0000-0000-0000B4290000}"/>
    <cellStyle name="Total 2 5" xfId="10680" xr:uid="{00000000-0005-0000-0000-0000B5290000}"/>
    <cellStyle name="Total 2 6" xfId="10677" xr:uid="{00000000-0005-0000-0000-0000B6290000}"/>
    <cellStyle name="Total 2 7" xfId="7913" xr:uid="{00000000-0005-0000-0000-0000B7290000}"/>
    <cellStyle name="Totale" xfId="1999" xr:uid="{00000000-0005-0000-0000-0000B8290000}"/>
    <cellStyle name="Totale 2" xfId="7953" xr:uid="{00000000-0005-0000-0000-0000B9290000}"/>
    <cellStyle name="Totale 3" xfId="9356" xr:uid="{00000000-0005-0000-0000-0000BA290000}"/>
    <cellStyle name="Totale 4" xfId="7940" xr:uid="{00000000-0005-0000-0000-0000BB290000}"/>
    <cellStyle name="Totale 5" xfId="7920" xr:uid="{00000000-0005-0000-0000-0000BC290000}"/>
    <cellStyle name="Totale 6" xfId="7934" xr:uid="{00000000-0005-0000-0000-0000BD290000}"/>
    <cellStyle name="Ugyldig" xfId="3331" builtinId="27" customBuiltin="1"/>
    <cellStyle name="Ugyldig 2" xfId="3318" xr:uid="{00000000-0005-0000-0000-0000BF290000}"/>
    <cellStyle name="Uncertain" xfId="2000" xr:uid="{00000000-0005-0000-0000-0000C0290000}"/>
    <cellStyle name="Valore non valido" xfId="2001" xr:uid="{00000000-0005-0000-0000-0000C1290000}"/>
    <cellStyle name="Valore valido" xfId="2002" xr:uid="{00000000-0005-0000-0000-0000C2290000}"/>
    <cellStyle name="Warning Text 2" xfId="3456" xr:uid="{00000000-0005-0000-0000-0000C3290000}"/>
    <cellStyle name="X08_Total Oil" xfId="3457" xr:uid="{00000000-0005-0000-0000-0000C4290000}"/>
    <cellStyle name="X12_Total Figs 1 dec" xfId="3458" xr:uid="{00000000-0005-0000-0000-0000C5290000}"/>
    <cellStyle name="Years" xfId="2003" xr:uid="{00000000-0005-0000-0000-0000C6290000}"/>
    <cellStyle name="Обычный_CRF2002 (1)" xfId="2004" xr:uid="{00000000-0005-0000-0000-0000C7290000}"/>
  </cellStyles>
  <dxfs count="44">
    <dxf>
      <fill>
        <patternFill>
          <bgColor theme="4" tint="0.79998168889431442"/>
        </patternFill>
      </fill>
    </dxf>
    <dxf>
      <fill>
        <patternFill>
          <bgColor theme="4" tint="0.79998168889431442"/>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14</xdr:col>
      <xdr:colOff>0</xdr:colOff>
      <xdr:row>14</xdr:row>
      <xdr:rowOff>0</xdr:rowOff>
    </xdr:from>
    <xdr:to>
      <xdr:col>23</xdr:col>
      <xdr:colOff>348279</xdr:colOff>
      <xdr:row>33</xdr:row>
      <xdr:rowOff>83483</xdr:rowOff>
    </xdr:to>
    <xdr:sp macro="" textlink="">
      <xdr:nvSpPr>
        <xdr:cNvPr id="2" name="TextBox 1">
          <a:extLst>
            <a:ext uri="{FF2B5EF4-FFF2-40B4-BE49-F238E27FC236}">
              <a16:creationId xmlns:a16="http://schemas.microsoft.com/office/drawing/2014/main" id="{727C6037-582B-4B42-A4E5-5075172862F4}"/>
            </a:ext>
          </a:extLst>
        </xdr:cNvPr>
        <xdr:cNvSpPr txBox="1"/>
      </xdr:nvSpPr>
      <xdr:spPr>
        <a:xfrm>
          <a:off x="7924800" y="2438400"/>
          <a:ext cx="5834679" cy="31600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Rafs 25 Jan 2018</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table contained in the TIMES-DK version was disabled because not clear its function. We can define emissions linked to the activity of refineries and to the activity of oil and gas extraction (flares), but so far, this is neglected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Martin Hagberg 2019-10-01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t>Activated table . In</a:t>
          </a:r>
          <a:r>
            <a:rPr lang="en-US" sz="1100" baseline="0"/>
            <a:t> other files there are SUP* fuel production technologies using fossil fuels that should give CO2 emissions.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Put "0" for WST because this waste fraction represents organic waste for biogas production.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r>
            <a:rPr lang="en-US" sz="1100" b="1">
              <a:solidFill>
                <a:schemeClr val="dk1"/>
              </a:solidFill>
              <a:effectLst/>
              <a:latin typeface="+mn-lt"/>
              <a:ea typeface="+mn-ea"/>
              <a:cs typeface="+mn-cs"/>
            </a:rPr>
            <a:t>Mibsi 11/10-19</a:t>
          </a:r>
          <a:endParaRPr lang="en-GB">
            <a:effectLst/>
          </a:endParaRPr>
        </a:p>
        <a:p>
          <a:pPr eaLnBrk="1" fontAlgn="auto" latinLnBrk="0" hangingPunct="1"/>
          <a:r>
            <a:rPr lang="en-GB" sz="1100">
              <a:solidFill>
                <a:schemeClr val="dk1"/>
              </a:solidFill>
              <a:effectLst/>
              <a:latin typeface="+mn-lt"/>
              <a:ea typeface="+mn-ea"/>
              <a:cs typeface="+mn-cs"/>
            </a:rPr>
            <a:t>The table is used from TIMES-DK,</a:t>
          </a:r>
          <a:r>
            <a:rPr lang="en-GB" sz="1100" baseline="0">
              <a:solidFill>
                <a:schemeClr val="dk1"/>
              </a:solidFill>
              <a:effectLst/>
              <a:latin typeface="+mn-lt"/>
              <a:ea typeface="+mn-ea"/>
              <a:cs typeface="+mn-cs"/>
            </a:rPr>
            <a:t> Simplified to have seperate SUP fuelsand allocated SUP emissions</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404591</xdr:colOff>
      <xdr:row>3</xdr:row>
      <xdr:rowOff>57150</xdr:rowOff>
    </xdr:to>
    <xdr:pic>
      <xdr:nvPicPr>
        <xdr:cNvPr id="2" name="Picture 1" descr="Picture">
          <a:extLst>
            <a:ext uri="{FF2B5EF4-FFF2-40B4-BE49-F238E27FC236}">
              <a16:creationId xmlns:a16="http://schemas.microsoft.com/office/drawing/2014/main" id="{83D4EB0F-B7BA-F844-AAE7-7E24EF634E15}"/>
            </a:ext>
          </a:extLst>
        </xdr:cNvPr>
        <xdr:cNvPicPr>
          <a:picLocks noChangeAspect="1"/>
        </xdr:cNvPicPr>
      </xdr:nvPicPr>
      <xdr:blipFill>
        <a:blip xmlns:r="http://schemas.openxmlformats.org/officeDocument/2006/relationships" r:embed="rId1"/>
        <a:stretch>
          <a:fillRect/>
        </a:stretch>
      </xdr:blipFill>
      <xdr:spPr>
        <a:xfrm>
          <a:off x="0" y="0"/>
          <a:ext cx="10501091" cy="628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xdr:row>
      <xdr:rowOff>9525</xdr:rowOff>
    </xdr:from>
    <xdr:to>
      <xdr:col>3</xdr:col>
      <xdr:colOff>19050</xdr:colOff>
      <xdr:row>99</xdr:row>
      <xdr:rowOff>66675</xdr:rowOff>
    </xdr:to>
    <xdr:pic>
      <xdr:nvPicPr>
        <xdr:cNvPr id="2" name="Bilde 1">
          <a:extLst>
            <a:ext uri="{FF2B5EF4-FFF2-40B4-BE49-F238E27FC236}">
              <a16:creationId xmlns:a16="http://schemas.microsoft.com/office/drawing/2014/main" id="{874F1AA5-9CF1-40D7-95F0-AAB6089FCE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80085"/>
          <a:ext cx="2396490" cy="15982950"/>
        </a:xfrm>
        <a:prstGeom prst="rect">
          <a:avLst/>
        </a:prstGeom>
        <a:solidFill>
          <a:schemeClr val="bg1"/>
        </a:solid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68580</xdr:colOff>
      <xdr:row>5</xdr:row>
      <xdr:rowOff>179070</xdr:rowOff>
    </xdr:from>
    <xdr:to>
      <xdr:col>20</xdr:col>
      <xdr:colOff>144780</xdr:colOff>
      <xdr:row>21</xdr:row>
      <xdr:rowOff>175260</xdr:rowOff>
    </xdr:to>
    <xdr:sp macro="" textlink="">
      <xdr:nvSpPr>
        <xdr:cNvPr id="2" name="TextBox 1">
          <a:extLst>
            <a:ext uri="{FF2B5EF4-FFF2-40B4-BE49-F238E27FC236}">
              <a16:creationId xmlns:a16="http://schemas.microsoft.com/office/drawing/2014/main" id="{80E12343-A1AD-4224-B25B-D30FBE4B67C2}"/>
            </a:ext>
          </a:extLst>
        </xdr:cNvPr>
        <xdr:cNvSpPr txBox="1"/>
      </xdr:nvSpPr>
      <xdr:spPr>
        <a:xfrm>
          <a:off x="8816340" y="1002030"/>
          <a:ext cx="382524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(25th April</a:t>
          </a:r>
          <a:r>
            <a:rPr lang="da-DK" sz="1100" b="1" baseline="0"/>
            <a:t> 2017):</a:t>
          </a:r>
        </a:p>
        <a:p>
          <a:endParaRPr lang="da-DK" sz="1100" b="1" baseline="0"/>
        </a:p>
        <a:p>
          <a:r>
            <a:rPr lang="da-DK" sz="1100" b="0" baseline="0"/>
            <a:t>The present sheet includes information taken from the excel workbook containing the inputs to the Balmorel model used by EA for the NETP 2016 project ("NETP 2050 graphs base" placed in the Dropbox folder). Fuel prices are extracted from a pivot table in the sheet: "Fuel-prices". The original unit is declared as OMONEY/GJ, OMONEY should refer to Euro 2015.</a:t>
          </a:r>
        </a:p>
        <a:p>
          <a:endParaRPr lang="da-DK" sz="1100" b="0" baseline="0"/>
        </a:p>
        <a:p>
          <a:r>
            <a:rPr lang="da-DK" sz="1100" b="0" baseline="0"/>
            <a:t>Fuel prices are given for two different cases: "01_grid-invest_11" and "01_grid-invest_8".</a:t>
          </a:r>
        </a:p>
        <a:p>
          <a:endParaRPr lang="da-DK" sz="1100" b="0" baseline="0"/>
        </a:p>
        <a:p>
          <a:r>
            <a:rPr lang="da-DK" sz="1100" b="0" baseline="0"/>
            <a:t>We agreed on using the </a:t>
          </a:r>
          <a:r>
            <a:rPr lang="da-DK" sz="1100" b="0" baseline="0">
              <a:solidFill>
                <a:schemeClr val="dk1"/>
              </a:solidFill>
              <a:effectLst/>
              <a:latin typeface="+mn-lt"/>
              <a:ea typeface="+mn-ea"/>
              <a:cs typeface="+mn-cs"/>
            </a:rPr>
            <a:t>"01_grid-invest_11" set </a:t>
          </a:r>
          <a:endParaRPr lang="da-DK" sz="1100" b="1" baseline="0"/>
        </a:p>
        <a:p>
          <a:endParaRPr lang="da-DK"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24493</xdr:colOff>
      <xdr:row>40</xdr:row>
      <xdr:rowOff>16328</xdr:rowOff>
    </xdr:from>
    <xdr:to>
      <xdr:col>13</xdr:col>
      <xdr:colOff>1300843</xdr:colOff>
      <xdr:row>52</xdr:row>
      <xdr:rowOff>16329</xdr:rowOff>
    </xdr:to>
    <xdr:sp macro="" textlink="">
      <xdr:nvSpPr>
        <xdr:cNvPr id="2" name="TextBox 1">
          <a:extLst>
            <a:ext uri="{FF2B5EF4-FFF2-40B4-BE49-F238E27FC236}">
              <a16:creationId xmlns:a16="http://schemas.microsoft.com/office/drawing/2014/main" id="{A8E6E792-0423-427E-AFF6-65D808879182}"/>
            </a:ext>
          </a:extLst>
        </xdr:cNvPr>
        <xdr:cNvSpPr txBox="1"/>
      </xdr:nvSpPr>
      <xdr:spPr>
        <a:xfrm>
          <a:off x="3148693" y="6721928"/>
          <a:ext cx="5596890" cy="2011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(25th April</a:t>
          </a:r>
          <a:r>
            <a:rPr lang="da-DK" sz="1100" b="1" baseline="0"/>
            <a:t> 2017):</a:t>
          </a:r>
        </a:p>
        <a:p>
          <a:endParaRPr lang="da-DK" sz="1100" b="1" baseline="0"/>
        </a:p>
        <a:p>
          <a:r>
            <a:rPr lang="da-DK" sz="1100" b="0" baseline="0"/>
            <a:t>The present sheet is taken directly from the Flex4RES database ("Data" excel workbook, sheet "39"). </a:t>
          </a:r>
        </a:p>
        <a:p>
          <a:endParaRPr lang="da-DK" sz="1100" b="1" baseline="0"/>
        </a:p>
        <a:p>
          <a:endParaRPr lang="da-DK" sz="1100" b="1" baseline="0"/>
        </a:p>
        <a:p>
          <a:endParaRPr lang="da-DK" sz="1100" baseline="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d.docs.live.net/TIMES%20models/TIMES-Nordic%20-%20Copy/VT_NO_SUP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d.docs.live.net/Mikkel/TIMES-DK/SubRES_TMPL/SubRes_ELC_Plants20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d.docs.live.net/Mikkel/TIMES-DK/SubRES_TMPL/SubRes_ELC_Plants202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d.docs.live.net/VEDA/VEDA_Models/Denmark/TIMES-DK_Updated_COMETS-XS/VT_DK_ELC.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d.docs.live.net/Users/bosac/Downloads/AZE_ghg_profile%20(1).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d.docs.live.net/C:/VEDA/VEDA_Models/TIMES-DK-TRA_20140623/TIMES-DK-TRA_20140623/Supply-Use_OilProduc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d.docs.live.net/RAMSES/Simuleringer/2012/2012-08-27/Rettelser_foretaget_i_DATA69_2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d.docs.live.net/EsApplNT/ESTAT-E5/Documents%20and%20Settings/meyered/Local%20Settings/Temporary%20Internet%20Files/OLK111/TMP/BALANC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d.docs.live.net/TIMES%20models/TIMES_AZ/VT_AZ_ELC.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d.docs.live.net/c0ee8d5d29f1698f/Desktop/GitHub/Bachelor_Git/TIMES-AZ/VT_AZ_EL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RAMSES/RAMSES%20Data.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d.docs.live.net/Lame12/f$/Documents%20and%20Settings/labriet/Local%20Settings/Temp/TMPL_RE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d.docs.live.net/TIMES%20models/TIMES-Nordic/VT_DK_SU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C:/Users/B003206/AppData/Local/Microsoft/Windows/Temporary%20Internet%20Files/Content.Outlook/I9492QGX/Alternativ%20Drivmiddelmodel%20v%20%203%200%20MHO%202014-12-0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EsApplNT/ESTAT-E5/TEMP/Common%20Reporting%20Format%20V1.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C:/VEDA/VEDA_Models/TIMES-DK-TRA_20140623/TIMES-DK-TRA_20140623/SubRES_TMPL/ad_beregningsmodel_version_2_1_maj_2013_(4)(1).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Wolfgang/c/temphold/TMPL_R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d.docs.live.net/Spot/Office/temphold/TMPL_R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C:/VEDA/VEDA_Models/Denmark/TIMES-DK_Power_master/_VT_DK_SUP_V1p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Oil &amp; Gas Extraction"/>
      <sheetName val="Refineries"/>
      <sheetName val="ETS_NETS_Prices"/>
      <sheetName val="Emis"/>
      <sheetName val="Fuel Tech"/>
    </sheetNames>
    <sheetDataSet>
      <sheetData sheetId="0" refreshError="1"/>
      <sheetData sheetId="1" refreshError="1"/>
      <sheetData sheetId="2" refreshError="1">
        <row r="19">
          <cell r="D19" t="str">
            <v>CRD</v>
          </cell>
        </row>
        <row r="20">
          <cell r="D20" t="str">
            <v>LPG</v>
          </cell>
        </row>
        <row r="21">
          <cell r="D21" t="str">
            <v>LVN</v>
          </cell>
        </row>
        <row r="22">
          <cell r="D22" t="str">
            <v>GSL</v>
          </cell>
        </row>
        <row r="23">
          <cell r="D23" t="str">
            <v>KER</v>
          </cell>
        </row>
        <row r="24">
          <cell r="D24" t="str">
            <v>DSL</v>
          </cell>
        </row>
        <row r="25">
          <cell r="D25" t="str">
            <v>HFO</v>
          </cell>
        </row>
        <row r="34">
          <cell r="D34" t="str">
            <v>SUPELC</v>
          </cell>
        </row>
        <row r="35">
          <cell r="D35" t="str">
            <v>SUPHETC</v>
          </cell>
        </row>
      </sheetData>
      <sheetData sheetId="3" refreshError="1"/>
      <sheetData sheetId="4" refreshError="1">
        <row r="4">
          <cell r="P4">
            <v>4.1868000000000002E-2</v>
          </cell>
        </row>
        <row r="30">
          <cell r="AD30">
            <v>0.75</v>
          </cell>
          <cell r="AE30">
            <v>0.25</v>
          </cell>
        </row>
      </sheetData>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by_sector"/>
      <sheetName val="Data_by_gas"/>
      <sheetName val="Summary Data"/>
      <sheetName val="ChartData"/>
    </sheetNames>
    <sheetDataSet>
      <sheetData sheetId="0"/>
      <sheetData sheetId="1">
        <row r="1">
          <cell r="A1" t="str">
            <v>GHG emissions, Gg CO2 equivalent</v>
          </cell>
          <cell r="B1" t="str">
            <v>1990</v>
          </cell>
          <cell r="C1" t="str">
            <v>1991</v>
          </cell>
          <cell r="D1" t="str">
            <v>1992</v>
          </cell>
          <cell r="E1" t="str">
            <v>1993</v>
          </cell>
          <cell r="F1" t="str">
            <v>1994</v>
          </cell>
          <cell r="G1" t="str">
            <v>1995</v>
          </cell>
          <cell r="H1" t="str">
            <v>1996</v>
          </cell>
          <cell r="I1" t="str">
            <v>1997</v>
          </cell>
          <cell r="J1" t="str">
            <v>1998</v>
          </cell>
          <cell r="K1" t="str">
            <v>1999</v>
          </cell>
          <cell r="L1" t="str">
            <v>2000</v>
          </cell>
          <cell r="M1" t="str">
            <v>2001</v>
          </cell>
          <cell r="N1" t="str">
            <v>2002</v>
          </cell>
          <cell r="O1" t="str">
            <v>2003</v>
          </cell>
          <cell r="P1" t="str">
            <v>2004</v>
          </cell>
          <cell r="Q1" t="str">
            <v>2005</v>
          </cell>
          <cell r="R1" t="str">
            <v>2006</v>
          </cell>
          <cell r="S1" t="str">
            <v>2007</v>
          </cell>
          <cell r="T1" t="str">
            <v>2008</v>
          </cell>
          <cell r="U1" t="str">
            <v>2009</v>
          </cell>
          <cell r="V1" t="str">
            <v>2010</v>
          </cell>
          <cell r="W1" t="str">
            <v>2011</v>
          </cell>
          <cell r="X1" t="str">
            <v>2012</v>
          </cell>
          <cell r="Y1" t="str">
            <v>2013</v>
          </cell>
          <cell r="Z1">
            <v>0</v>
          </cell>
        </row>
        <row r="3">
          <cell r="A3" t="str">
            <v>CO₂</v>
          </cell>
        </row>
        <row r="10">
          <cell r="A10" t="str">
            <v>Non-CO₂</v>
          </cell>
        </row>
        <row r="11">
          <cell r="A11" t="str">
            <v>Total GHG</v>
          </cell>
        </row>
        <row r="14">
          <cell r="A14" t="str">
            <v>CO₂</v>
          </cell>
        </row>
        <row r="21">
          <cell r="A21" t="str">
            <v>Non-CO₂</v>
          </cell>
        </row>
        <row r="22">
          <cell r="A22" t="str">
            <v>Total GHG</v>
          </cell>
        </row>
      </sheetData>
      <sheetData sheetId="2"/>
      <sheetData sheetId="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Fuel Tech"/>
      <sheetName val="BiomassCost"/>
      <sheetName val="MIN-IMP-EXP_Data"/>
      <sheetName val="Refinery_data"/>
      <sheetName val="Table1.A(a)s1"/>
      <sheetName val="Oversigt energibalance"/>
      <sheetName val="Produktion af primær energi"/>
    </sheetNames>
    <sheetDataSet>
      <sheetData sheetId="0"/>
      <sheetData sheetId="1"/>
      <sheetData sheetId="2"/>
      <sheetData sheetId="3"/>
      <sheetData sheetId="4"/>
      <sheetData sheetId="5"/>
      <sheetData sheetId="6"/>
      <sheetData sheetId="7"/>
      <sheetData sheetId="8"/>
      <sheetData sheetId="9">
        <row r="30">
          <cell r="G30">
            <v>72.400000000000006</v>
          </cell>
        </row>
        <row r="31">
          <cell r="G31">
            <v>10.6</v>
          </cell>
        </row>
        <row r="33">
          <cell r="G33">
            <v>101.7</v>
          </cell>
        </row>
        <row r="43">
          <cell r="G43">
            <v>207.6</v>
          </cell>
        </row>
      </sheetData>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4">
          <cell r="C4" t="str">
            <v>European Community</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MIN-IMP-EXP"/>
      <sheetName val="BiomassCost"/>
      <sheetName val="MIN-IMP-EXP_Data"/>
      <sheetName val="Refineries"/>
      <sheetName val="Refinery_data"/>
      <sheetName val="Fuel Tech"/>
      <sheetName val="Mining NGA&amp;CRD"/>
    </sheetNames>
    <sheetDataSet>
      <sheetData sheetId="0"/>
      <sheetData sheetId="1"/>
      <sheetData sheetId="2"/>
      <sheetData sheetId="3"/>
      <sheetData sheetId="4"/>
      <sheetData sheetId="5"/>
      <sheetData sheetId="6"/>
      <sheetData sheetId="7"/>
      <sheetData sheetId="8"/>
      <sheetData sheetId="9">
        <row r="13">
          <cell r="N13">
            <v>1970</v>
          </cell>
          <cell r="O13">
            <v>0</v>
          </cell>
          <cell r="P13">
            <v>1970</v>
          </cell>
          <cell r="Q13">
            <v>0</v>
          </cell>
        </row>
        <row r="14">
          <cell r="N14">
            <v>1971</v>
          </cell>
          <cell r="O14">
            <v>0</v>
          </cell>
          <cell r="P14">
            <v>1971</v>
          </cell>
          <cell r="Q14">
            <v>0</v>
          </cell>
        </row>
        <row r="15">
          <cell r="N15">
            <v>1972</v>
          </cell>
          <cell r="O15">
            <v>3.9063762799999999</v>
          </cell>
          <cell r="P15">
            <v>1972</v>
          </cell>
          <cell r="Q15">
            <v>0</v>
          </cell>
        </row>
        <row r="16">
          <cell r="N16">
            <v>1973</v>
          </cell>
          <cell r="O16">
            <v>5.6249426600000003</v>
          </cell>
          <cell r="P16">
            <v>1973</v>
          </cell>
          <cell r="Q16">
            <v>0</v>
          </cell>
        </row>
        <row r="17">
          <cell r="N17">
            <v>1974</v>
          </cell>
          <cell r="O17">
            <v>3.8189121299999997</v>
          </cell>
          <cell r="P17">
            <v>1974</v>
          </cell>
          <cell r="Q17">
            <v>0</v>
          </cell>
        </row>
        <row r="18">
          <cell r="N18">
            <v>1975</v>
          </cell>
          <cell r="O18">
            <v>6.938282844999998</v>
          </cell>
          <cell r="P18">
            <v>1975</v>
          </cell>
          <cell r="Q18">
            <v>0</v>
          </cell>
        </row>
        <row r="19">
          <cell r="N19">
            <v>1976</v>
          </cell>
          <cell r="O19">
            <v>8.240310805</v>
          </cell>
          <cell r="P19">
            <v>1976</v>
          </cell>
          <cell r="Q19">
            <v>0</v>
          </cell>
        </row>
        <row r="20">
          <cell r="N20">
            <v>1977</v>
          </cell>
          <cell r="O20">
            <v>21.33919118</v>
          </cell>
          <cell r="P20">
            <v>1977</v>
          </cell>
          <cell r="Q20">
            <v>0</v>
          </cell>
        </row>
        <row r="21">
          <cell r="N21">
            <v>1978</v>
          </cell>
          <cell r="O21">
            <v>17.937365719999999</v>
          </cell>
          <cell r="P21">
            <v>1978</v>
          </cell>
          <cell r="Q21">
            <v>0</v>
          </cell>
        </row>
        <row r="22">
          <cell r="N22">
            <v>1979</v>
          </cell>
          <cell r="O22">
            <v>17.869240174999998</v>
          </cell>
          <cell r="P22">
            <v>1979</v>
          </cell>
          <cell r="Q22">
            <v>0</v>
          </cell>
        </row>
        <row r="23">
          <cell r="N23">
            <v>1980</v>
          </cell>
          <cell r="O23">
            <v>12.373183779999996</v>
          </cell>
          <cell r="P23">
            <v>1980</v>
          </cell>
          <cell r="Q23">
            <v>0</v>
          </cell>
        </row>
        <row r="24">
          <cell r="N24">
            <v>1981</v>
          </cell>
          <cell r="O24">
            <v>32.128483999499998</v>
          </cell>
          <cell r="P24">
            <v>1981</v>
          </cell>
          <cell r="Q24">
            <v>0</v>
          </cell>
        </row>
        <row r="25">
          <cell r="N25">
            <v>1982</v>
          </cell>
          <cell r="O25">
            <v>72.038446551499987</v>
          </cell>
          <cell r="P25">
            <v>1982</v>
          </cell>
          <cell r="Q25">
            <v>0</v>
          </cell>
        </row>
        <row r="26">
          <cell r="N26">
            <v>1983</v>
          </cell>
          <cell r="O26">
            <v>92.17126623850001</v>
          </cell>
          <cell r="P26">
            <v>1983</v>
          </cell>
          <cell r="Q26">
            <v>0</v>
          </cell>
        </row>
        <row r="27">
          <cell r="N27">
            <v>1984</v>
          </cell>
          <cell r="O27">
            <v>99.119662102999996</v>
          </cell>
          <cell r="P27">
            <v>1984</v>
          </cell>
          <cell r="Q27">
            <v>8.1751533650999999</v>
          </cell>
        </row>
        <row r="28">
          <cell r="N28">
            <v>1985</v>
          </cell>
          <cell r="O28">
            <v>126.40816951749997</v>
          </cell>
          <cell r="P28">
            <v>1985</v>
          </cell>
          <cell r="Q28">
            <v>39.534091679219991</v>
          </cell>
        </row>
        <row r="29">
          <cell r="N29">
            <v>1986</v>
          </cell>
          <cell r="O29">
            <v>156.71466416049998</v>
          </cell>
          <cell r="P29">
            <v>1986</v>
          </cell>
          <cell r="Q29">
            <v>67.011070619999998</v>
          </cell>
        </row>
        <row r="30">
          <cell r="N30">
            <v>1987</v>
          </cell>
          <cell r="O30">
            <v>198.05099557949995</v>
          </cell>
          <cell r="P30">
            <v>1987</v>
          </cell>
          <cell r="Q30">
            <v>85.441607171640001</v>
          </cell>
        </row>
        <row r="31">
          <cell r="N31">
            <v>1988</v>
          </cell>
          <cell r="O31">
            <v>203.59257536499999</v>
          </cell>
          <cell r="P31">
            <v>1988</v>
          </cell>
          <cell r="Q31">
            <v>84.357604739999999</v>
          </cell>
        </row>
        <row r="32">
          <cell r="N32">
            <v>1989</v>
          </cell>
          <cell r="O32">
            <v>236.83774117799993</v>
          </cell>
          <cell r="P32">
            <v>1989</v>
          </cell>
          <cell r="Q32">
            <v>99.710055120000007</v>
          </cell>
        </row>
        <row r="33">
          <cell r="N33">
            <v>1990</v>
          </cell>
          <cell r="O33">
            <v>255.83014421249996</v>
          </cell>
          <cell r="P33">
            <v>1990</v>
          </cell>
          <cell r="Q33">
            <v>102.20894573999999</v>
          </cell>
        </row>
        <row r="34">
          <cell r="N34">
            <v>1991</v>
          </cell>
          <cell r="O34">
            <v>301.74428235600004</v>
          </cell>
          <cell r="P34">
            <v>1991</v>
          </cell>
          <cell r="Q34">
            <v>130.33458492</v>
          </cell>
        </row>
        <row r="35">
          <cell r="N35">
            <v>1992</v>
          </cell>
          <cell r="O35">
            <v>333.50782849450002</v>
          </cell>
          <cell r="P35">
            <v>1992</v>
          </cell>
          <cell r="Q35">
            <v>134.75320500000001</v>
          </cell>
        </row>
        <row r="36">
          <cell r="N36">
            <v>1993</v>
          </cell>
          <cell r="O36">
            <v>355.40463378449994</v>
          </cell>
          <cell r="P36">
            <v>1993</v>
          </cell>
          <cell r="Q36">
            <v>148.736853252</v>
          </cell>
        </row>
        <row r="37">
          <cell r="N37">
            <v>1994</v>
          </cell>
          <cell r="O37">
            <v>392.08539908499995</v>
          </cell>
          <cell r="P37">
            <v>1994</v>
          </cell>
          <cell r="Q37">
            <v>160.69365657</v>
          </cell>
        </row>
        <row r="38">
          <cell r="N38">
            <v>1995</v>
          </cell>
          <cell r="O38">
            <v>394.31718960000001</v>
          </cell>
          <cell r="P38">
            <v>1995</v>
          </cell>
          <cell r="Q38">
            <v>174.36045233999997</v>
          </cell>
        </row>
        <row r="39">
          <cell r="N39">
            <v>1996</v>
          </cell>
          <cell r="O39">
            <v>441.76722453349998</v>
          </cell>
          <cell r="P39">
            <v>1996</v>
          </cell>
          <cell r="Q39">
            <v>212.07110844000002</v>
          </cell>
        </row>
        <row r="40">
          <cell r="N40">
            <v>1997</v>
          </cell>
          <cell r="O40">
            <v>488.55306848099985</v>
          </cell>
          <cell r="P40">
            <v>1997</v>
          </cell>
          <cell r="Q40">
            <v>258.60563430000002</v>
          </cell>
        </row>
        <row r="41">
          <cell r="N41">
            <v>1998</v>
          </cell>
          <cell r="O41">
            <v>504.77021831949997</v>
          </cell>
          <cell r="P41">
            <v>1998</v>
          </cell>
          <cell r="Q41">
            <v>246.34854178865999</v>
          </cell>
        </row>
        <row r="42">
          <cell r="N42">
            <v>1999</v>
          </cell>
          <cell r="O42">
            <v>634.57442889399988</v>
          </cell>
          <cell r="P42">
            <v>1999</v>
          </cell>
          <cell r="Q42">
            <v>251.45193919800002</v>
          </cell>
        </row>
        <row r="43">
          <cell r="N43">
            <v>2000</v>
          </cell>
          <cell r="O43">
            <v>772.4471115450001</v>
          </cell>
          <cell r="P43">
            <v>2000</v>
          </cell>
          <cell r="Q43">
            <v>264.9077108733</v>
          </cell>
        </row>
        <row r="44">
          <cell r="N44">
            <v>2001</v>
          </cell>
          <cell r="O44">
            <v>738.56745381399969</v>
          </cell>
          <cell r="P44">
            <v>2001</v>
          </cell>
          <cell r="Q44">
            <v>272.09152744379998</v>
          </cell>
        </row>
        <row r="45">
          <cell r="N45">
            <v>2002</v>
          </cell>
          <cell r="O45">
            <v>786.00341114949993</v>
          </cell>
          <cell r="P45">
            <v>2002</v>
          </cell>
          <cell r="Q45">
            <v>271.06723825847996</v>
          </cell>
        </row>
        <row r="46">
          <cell r="N46">
            <v>2003</v>
          </cell>
          <cell r="O46">
            <v>779.4855574720001</v>
          </cell>
          <cell r="P46">
            <v>2003</v>
          </cell>
          <cell r="Q46">
            <v>256.26093243269997</v>
          </cell>
        </row>
        <row r="47">
          <cell r="N47">
            <v>2004</v>
          </cell>
          <cell r="O47">
            <v>826.48621490699998</v>
          </cell>
          <cell r="P47">
            <v>2004</v>
          </cell>
          <cell r="Q47">
            <v>306.90174222611995</v>
          </cell>
        </row>
        <row r="48">
          <cell r="N48">
            <v>2005</v>
          </cell>
          <cell r="O48">
            <v>799.92979010349995</v>
          </cell>
          <cell r="P48">
            <v>2005</v>
          </cell>
          <cell r="Q48">
            <v>342.25197658242001</v>
          </cell>
        </row>
        <row r="49">
          <cell r="N49">
            <v>2006</v>
          </cell>
          <cell r="O49">
            <v>725.39404141000011</v>
          </cell>
          <cell r="P49">
            <v>2006</v>
          </cell>
          <cell r="Q49">
            <v>340.34999666268004</v>
          </cell>
        </row>
        <row r="50">
          <cell r="N50">
            <v>2007</v>
          </cell>
          <cell r="O50">
            <v>660.97930423949992</v>
          </cell>
          <cell r="P50">
            <v>2007</v>
          </cell>
          <cell r="Q50">
            <v>298.94690504946004</v>
          </cell>
        </row>
        <row r="51">
          <cell r="N51">
            <v>2008</v>
          </cell>
          <cell r="O51">
            <v>609.3534128</v>
          </cell>
          <cell r="P51">
            <v>2008</v>
          </cell>
          <cell r="Q51">
            <v>329.25697641185997</v>
          </cell>
        </row>
        <row r="52">
          <cell r="N52">
            <v>2009</v>
          </cell>
          <cell r="O52">
            <v>554.41616080549989</v>
          </cell>
          <cell r="P52">
            <v>2009</v>
          </cell>
          <cell r="Q52">
            <v>272.01112376345998</v>
          </cell>
        </row>
        <row r="53">
          <cell r="N53">
            <v>2010</v>
          </cell>
          <cell r="O53">
            <v>519.86831128894983</v>
          </cell>
          <cell r="P53">
            <v>2010</v>
          </cell>
          <cell r="Q53">
            <v>265.23685714097996</v>
          </cell>
        </row>
        <row r="54">
          <cell r="N54">
            <v>2011</v>
          </cell>
          <cell r="O54">
            <v>469.09851343060012</v>
          </cell>
          <cell r="P54">
            <v>2011</v>
          </cell>
          <cell r="Q54">
            <v>209.27847161760002</v>
          </cell>
        </row>
        <row r="55">
          <cell r="N55">
            <v>2012</v>
          </cell>
          <cell r="O55">
            <v>428.63451951864329</v>
          </cell>
          <cell r="P55">
            <v>2012</v>
          </cell>
          <cell r="Q55">
            <v>180.60129782946001</v>
          </cell>
        </row>
        <row r="56">
          <cell r="N56">
            <v>2013</v>
          </cell>
          <cell r="O56">
            <v>372.26210088398392</v>
          </cell>
          <cell r="P56">
            <v>2013</v>
          </cell>
          <cell r="Q56">
            <v>147.85709381958</v>
          </cell>
        </row>
        <row r="57">
          <cell r="N57">
            <v>2014</v>
          </cell>
          <cell r="O57">
            <v>360.69536617999637</v>
          </cell>
          <cell r="P57">
            <v>2014</v>
          </cell>
          <cell r="Q57">
            <v>165.28979713044848</v>
          </cell>
        </row>
        <row r="58">
          <cell r="N58">
            <v>2015</v>
          </cell>
          <cell r="O58">
            <v>346.42491625077844</v>
          </cell>
          <cell r="P58">
            <v>2015</v>
          </cell>
          <cell r="Q58">
            <v>147.9204524829976</v>
          </cell>
        </row>
        <row r="59">
          <cell r="N59">
            <v>2016</v>
          </cell>
          <cell r="O59">
            <v>359.37763530935962</v>
          </cell>
          <cell r="P59">
            <v>2016</v>
          </cell>
          <cell r="Q59">
            <v>137.98415725870768</v>
          </cell>
        </row>
        <row r="60">
          <cell r="N60">
            <v>2017</v>
          </cell>
          <cell r="O60">
            <v>373.83988905959052</v>
          </cell>
          <cell r="P60">
            <v>2017</v>
          </cell>
          <cell r="Q60">
            <v>140.06521490048914</v>
          </cell>
        </row>
        <row r="61">
          <cell r="N61">
            <v>2018</v>
          </cell>
          <cell r="O61">
            <v>341.44882521063067</v>
          </cell>
          <cell r="P61">
            <v>2018</v>
          </cell>
          <cell r="Q61">
            <v>142.63499572318014</v>
          </cell>
        </row>
        <row r="62">
          <cell r="N62">
            <v>2019</v>
          </cell>
          <cell r="O62">
            <v>319.51083534163627</v>
          </cell>
          <cell r="P62">
            <v>2019</v>
          </cell>
          <cell r="Q62">
            <v>147.0249989189474</v>
          </cell>
        </row>
        <row r="63">
          <cell r="N63">
            <v>2020</v>
          </cell>
          <cell r="O63">
            <v>346.12686523704082</v>
          </cell>
          <cell r="P63">
            <v>2020</v>
          </cell>
          <cell r="Q63">
            <v>134.61703455286113</v>
          </cell>
        </row>
        <row r="64">
          <cell r="N64">
            <v>2021</v>
          </cell>
          <cell r="O64">
            <v>310.39012010638231</v>
          </cell>
          <cell r="P64">
            <v>2021</v>
          </cell>
          <cell r="Q64">
            <v>117.43914602328036</v>
          </cell>
        </row>
        <row r="65">
          <cell r="N65">
            <v>2022</v>
          </cell>
          <cell r="O65">
            <v>272.44698156336995</v>
          </cell>
          <cell r="P65">
            <v>2022</v>
          </cell>
          <cell r="Q65">
            <v>105.0668244019039</v>
          </cell>
        </row>
        <row r="66">
          <cell r="N66">
            <v>2023</v>
          </cell>
          <cell r="O66">
            <v>230.1973862930702</v>
          </cell>
          <cell r="P66">
            <v>2023</v>
          </cell>
          <cell r="Q66">
            <v>93.572026320342005</v>
          </cell>
        </row>
        <row r="67">
          <cell r="N67">
            <v>2024</v>
          </cell>
          <cell r="O67">
            <v>198.31298736701311</v>
          </cell>
          <cell r="P67">
            <v>2024</v>
          </cell>
          <cell r="Q67">
            <v>82.718244404631108</v>
          </cell>
        </row>
        <row r="68">
          <cell r="N68">
            <v>2025</v>
          </cell>
          <cell r="O68">
            <v>172.73874918542745</v>
          </cell>
          <cell r="P68">
            <v>2025</v>
          </cell>
          <cell r="Q68">
            <v>83.165323453694839</v>
          </cell>
        </row>
        <row r="69">
          <cell r="N69">
            <v>2026</v>
          </cell>
          <cell r="O69">
            <v>152.17745425926154</v>
          </cell>
          <cell r="P69">
            <v>2026</v>
          </cell>
          <cell r="Q69">
            <v>73.381128938120071</v>
          </cell>
        </row>
        <row r="70">
          <cell r="N70">
            <v>2027</v>
          </cell>
          <cell r="O70">
            <v>135.62297626584467</v>
          </cell>
          <cell r="P70">
            <v>2027</v>
          </cell>
          <cell r="Q70">
            <v>61.633926702864862</v>
          </cell>
        </row>
        <row r="71">
          <cell r="N71">
            <v>2028</v>
          </cell>
          <cell r="O71">
            <v>120.66965691216404</v>
          </cell>
          <cell r="P71">
            <v>2028</v>
          </cell>
          <cell r="Q71">
            <v>50.941033193664481</v>
          </cell>
        </row>
        <row r="72">
          <cell r="N72">
            <v>2029</v>
          </cell>
          <cell r="O72">
            <v>106.96724207455215</v>
          </cell>
          <cell r="P72">
            <v>2029</v>
          </cell>
          <cell r="Q72">
            <v>41.149732286283594</v>
          </cell>
        </row>
        <row r="73">
          <cell r="N73">
            <v>2030</v>
          </cell>
          <cell r="O73">
            <v>97.946105969636946</v>
          </cell>
          <cell r="P73">
            <v>2030</v>
          </cell>
          <cell r="Q73">
            <v>36.600982586539267</v>
          </cell>
        </row>
        <row r="74">
          <cell r="N74">
            <v>2031</v>
          </cell>
          <cell r="O74">
            <v>89.247617806244889</v>
          </cell>
          <cell r="P74">
            <v>2031</v>
          </cell>
          <cell r="Q74">
            <v>35.141098751516111</v>
          </cell>
        </row>
        <row r="75">
          <cell r="N75">
            <v>2032</v>
          </cell>
          <cell r="O75">
            <v>81.555274196473732</v>
          </cell>
          <cell r="P75">
            <v>2032</v>
          </cell>
          <cell r="Q75">
            <v>27.047692823138334</v>
          </cell>
        </row>
        <row r="76">
          <cell r="N76">
            <v>2033</v>
          </cell>
          <cell r="O76">
            <v>74.824049423119121</v>
          </cell>
          <cell r="P76">
            <v>2033</v>
          </cell>
          <cell r="Q76">
            <v>14.109119613333579</v>
          </cell>
        </row>
        <row r="77">
          <cell r="N77">
            <v>2034</v>
          </cell>
          <cell r="O77">
            <v>67.990348317121516</v>
          </cell>
          <cell r="P77">
            <v>2034</v>
          </cell>
          <cell r="Q77">
            <v>10.544761254977002</v>
          </cell>
        </row>
        <row r="78">
          <cell r="N78">
            <v>2035</v>
          </cell>
          <cell r="O78">
            <v>63.035195129590818</v>
          </cell>
          <cell r="P78">
            <v>2035</v>
          </cell>
          <cell r="Q78">
            <v>8.7361544991781486</v>
          </cell>
        </row>
        <row r="79">
          <cell r="N79">
            <v>2036</v>
          </cell>
          <cell r="O79">
            <v>58.993686280687413</v>
          </cell>
          <cell r="P79">
            <v>2036</v>
          </cell>
          <cell r="Q79">
            <v>7.9136172262211169</v>
          </cell>
        </row>
        <row r="80">
          <cell r="N80">
            <v>2037</v>
          </cell>
          <cell r="O80">
            <v>54.629544719497872</v>
          </cell>
          <cell r="P80">
            <v>2037</v>
          </cell>
          <cell r="Q80">
            <v>7.1974607536135915</v>
          </cell>
        </row>
        <row r="81">
          <cell r="N81">
            <v>2038</v>
          </cell>
          <cell r="O81">
            <v>50.996951627073798</v>
          </cell>
          <cell r="P81">
            <v>2038</v>
          </cell>
          <cell r="Q81">
            <v>6.6397426927836616</v>
          </cell>
        </row>
        <row r="82">
          <cell r="N82">
            <v>2039</v>
          </cell>
          <cell r="O82">
            <v>47.389538373197347</v>
          </cell>
          <cell r="P82">
            <v>2039</v>
          </cell>
          <cell r="Q82">
            <v>6.1329731323866126</v>
          </cell>
        </row>
        <row r="83">
          <cell r="N83">
            <v>2040</v>
          </cell>
          <cell r="O83">
            <v>43.16659817762703</v>
          </cell>
          <cell r="P83">
            <v>2040</v>
          </cell>
          <cell r="Q83">
            <v>4.2868271675929117</v>
          </cell>
        </row>
        <row r="84">
          <cell r="N84">
            <v>2041</v>
          </cell>
          <cell r="O84">
            <v>38.465218850844352</v>
          </cell>
          <cell r="P84">
            <v>2041</v>
          </cell>
          <cell r="Q84">
            <v>0.44869245083362064</v>
          </cell>
        </row>
        <row r="85">
          <cell r="N85">
            <v>2042</v>
          </cell>
          <cell r="O85">
            <v>36.31459420882797</v>
          </cell>
          <cell r="P85">
            <v>2042</v>
          </cell>
          <cell r="Q85">
            <v>0.40382320575025876</v>
          </cell>
        </row>
        <row r="86">
          <cell r="N86">
            <v>2043</v>
          </cell>
          <cell r="O86">
            <v>0</v>
          </cell>
          <cell r="P86">
            <v>2043</v>
          </cell>
          <cell r="Q86">
            <v>0</v>
          </cell>
        </row>
        <row r="87">
          <cell r="N87">
            <v>2044</v>
          </cell>
          <cell r="O87">
            <v>0</v>
          </cell>
          <cell r="P87">
            <v>2044</v>
          </cell>
          <cell r="Q87">
            <v>0</v>
          </cell>
        </row>
        <row r="88">
          <cell r="N88">
            <v>2045</v>
          </cell>
          <cell r="O88">
            <v>0</v>
          </cell>
          <cell r="P88">
            <v>2045</v>
          </cell>
          <cell r="Q88">
            <v>0</v>
          </cell>
        </row>
        <row r="89">
          <cell r="N89">
            <v>2046</v>
          </cell>
          <cell r="O89">
            <v>0</v>
          </cell>
          <cell r="P89">
            <v>2046</v>
          </cell>
          <cell r="Q89">
            <v>0</v>
          </cell>
        </row>
        <row r="90">
          <cell r="N90">
            <v>2047</v>
          </cell>
          <cell r="O90">
            <v>0</v>
          </cell>
          <cell r="P90">
            <v>2047</v>
          </cell>
          <cell r="Q90">
            <v>0</v>
          </cell>
        </row>
        <row r="91">
          <cell r="N91">
            <v>2048</v>
          </cell>
          <cell r="O91">
            <v>0</v>
          </cell>
          <cell r="P91">
            <v>2048</v>
          </cell>
          <cell r="Q91">
            <v>0</v>
          </cell>
        </row>
        <row r="92">
          <cell r="N92">
            <v>2049</v>
          </cell>
          <cell r="O92">
            <v>0</v>
          </cell>
          <cell r="P92">
            <v>2049</v>
          </cell>
          <cell r="Q92">
            <v>0</v>
          </cell>
        </row>
        <row r="93">
          <cell r="N93">
            <v>2050</v>
          </cell>
          <cell r="O93">
            <v>0</v>
          </cell>
          <cell r="P93">
            <v>2050</v>
          </cell>
          <cell r="Q93">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c.europa.eu/eurostat/databrowser/view/NRG_BAL_C__custom_2459267/default/table" TargetMode="External"/><Relationship Id="rId1" Type="http://schemas.openxmlformats.org/officeDocument/2006/relationships/hyperlink" Target="https://ec.europa.eu/eurostat/databrowser/product/page/NRG_BAL_C__custom_2459267"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s>
</file>

<file path=xl/worksheets/_rels/sheet3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sheetPr>
  <dimension ref="A3:E50"/>
  <sheetViews>
    <sheetView zoomScaleNormal="100" workbookViewId="0">
      <selection activeCell="B5" sqref="B5"/>
    </sheetView>
  </sheetViews>
  <sheetFormatPr baseColWidth="10" defaultColWidth="9.1640625" defaultRowHeight="13"/>
  <cols>
    <col min="1" max="1" width="11" style="91" bestFit="1" customWidth="1"/>
    <col min="2" max="2" width="23.1640625" style="91" bestFit="1" customWidth="1"/>
    <col min="3" max="3" width="28" style="91" bestFit="1" customWidth="1"/>
    <col min="4" max="4" width="16.5" style="91" bestFit="1" customWidth="1"/>
    <col min="5" max="5" width="144.5" style="91" bestFit="1" customWidth="1"/>
    <col min="6" max="8" width="9.1640625" style="91"/>
    <col min="9" max="9" width="13" style="91" customWidth="1"/>
    <col min="10" max="10" width="14.5" style="91" bestFit="1" customWidth="1"/>
    <col min="11" max="16384" width="9.1640625" style="91"/>
  </cols>
  <sheetData>
    <row r="3" spans="1:5">
      <c r="A3" s="89" t="s">
        <v>173</v>
      </c>
      <c r="B3" s="90" t="s">
        <v>174</v>
      </c>
      <c r="C3" s="90" t="s">
        <v>175</v>
      </c>
      <c r="D3" s="90" t="s">
        <v>176</v>
      </c>
      <c r="E3" s="90" t="s">
        <v>177</v>
      </c>
    </row>
    <row r="4" spans="1:5">
      <c r="A4" s="405">
        <v>43028</v>
      </c>
      <c r="B4" s="406" t="s">
        <v>720</v>
      </c>
      <c r="C4" s="406" t="s">
        <v>275</v>
      </c>
      <c r="D4" s="406"/>
      <c r="E4" s="406" t="s">
        <v>721</v>
      </c>
    </row>
    <row r="5" spans="1:5">
      <c r="A5" s="405">
        <v>42632</v>
      </c>
      <c r="B5" s="406" t="s">
        <v>699</v>
      </c>
      <c r="C5" s="406" t="s">
        <v>700</v>
      </c>
      <c r="D5" s="406"/>
      <c r="E5" s="406" t="s">
        <v>701</v>
      </c>
    </row>
    <row r="6" spans="1:5">
      <c r="A6" s="405">
        <v>42515</v>
      </c>
      <c r="B6" s="440" t="s">
        <v>628</v>
      </c>
      <c r="C6" s="440" t="s">
        <v>275</v>
      </c>
      <c r="D6" s="440"/>
      <c r="E6" s="440" t="s">
        <v>691</v>
      </c>
    </row>
    <row r="7" spans="1:5">
      <c r="A7" s="405">
        <v>42478</v>
      </c>
      <c r="B7" s="440" t="s">
        <v>299</v>
      </c>
      <c r="C7" s="440" t="s">
        <v>666</v>
      </c>
      <c r="D7" s="440"/>
      <c r="E7" s="440" t="s">
        <v>683</v>
      </c>
    </row>
    <row r="8" spans="1:5">
      <c r="A8" s="405">
        <v>42478</v>
      </c>
      <c r="B8" s="440" t="s">
        <v>299</v>
      </c>
      <c r="C8" s="440" t="s">
        <v>667</v>
      </c>
      <c r="D8" s="440"/>
      <c r="E8" s="440" t="s">
        <v>684</v>
      </c>
    </row>
    <row r="9" spans="1:5">
      <c r="A9" s="405">
        <v>42478</v>
      </c>
      <c r="B9" s="440" t="s">
        <v>299</v>
      </c>
      <c r="C9" s="440" t="s">
        <v>275</v>
      </c>
      <c r="D9" s="440" t="s">
        <v>688</v>
      </c>
      <c r="E9" s="440" t="s">
        <v>687</v>
      </c>
    </row>
    <row r="10" spans="1:5">
      <c r="A10" s="405">
        <v>42474</v>
      </c>
      <c r="B10" s="440" t="s">
        <v>681</v>
      </c>
      <c r="C10" s="406"/>
      <c r="D10" s="440"/>
      <c r="E10" s="440" t="s">
        <v>682</v>
      </c>
    </row>
    <row r="11" spans="1:5">
      <c r="A11" s="405">
        <v>42430</v>
      </c>
      <c r="B11" s="440" t="s">
        <v>628</v>
      </c>
      <c r="C11" s="406" t="s">
        <v>496</v>
      </c>
      <c r="D11" s="440" t="s">
        <v>656</v>
      </c>
      <c r="E11" s="440" t="s">
        <v>657</v>
      </c>
    </row>
    <row r="12" spans="1:5">
      <c r="A12" s="405">
        <v>42430</v>
      </c>
      <c r="B12" s="440" t="s">
        <v>628</v>
      </c>
      <c r="C12" s="91" t="s">
        <v>574</v>
      </c>
      <c r="D12" s="91" t="s">
        <v>658</v>
      </c>
      <c r="E12" s="91" t="s">
        <v>659</v>
      </c>
    </row>
    <row r="13" spans="1:5">
      <c r="A13" s="405">
        <v>42430</v>
      </c>
      <c r="B13" s="440" t="s">
        <v>628</v>
      </c>
      <c r="C13" s="406" t="s">
        <v>275</v>
      </c>
      <c r="D13" s="440" t="s">
        <v>655</v>
      </c>
      <c r="E13" s="440" t="s">
        <v>654</v>
      </c>
    </row>
    <row r="14" spans="1:5">
      <c r="A14" s="405">
        <v>42430</v>
      </c>
      <c r="B14" s="440" t="s">
        <v>628</v>
      </c>
      <c r="C14" s="406" t="s">
        <v>275</v>
      </c>
      <c r="D14" s="440" t="s">
        <v>629</v>
      </c>
      <c r="E14" s="440" t="s">
        <v>630</v>
      </c>
    </row>
    <row r="15" spans="1:5" s="407" customFormat="1">
      <c r="A15" s="405">
        <v>42318</v>
      </c>
      <c r="B15" s="406" t="s">
        <v>332</v>
      </c>
      <c r="C15" s="406" t="s">
        <v>574</v>
      </c>
      <c r="D15" s="406" t="str">
        <f>ADDRESS(ROW(ETS_NETS_Prices!E6),COLUMN(ETS_NETS_Prices!E6),4,1)&amp;":"&amp;ADDRESS(ROW(ETS_NETS_Prices!AS6),COLUMN(ETS_NETS_Prices!AS6),4,1)</f>
        <v>E6:AS6</v>
      </c>
      <c r="E15" s="406" t="s">
        <v>625</v>
      </c>
    </row>
    <row r="16" spans="1:5" s="407" customFormat="1">
      <c r="A16" s="405">
        <v>42313</v>
      </c>
      <c r="B16" s="406" t="s">
        <v>332</v>
      </c>
      <c r="C16" s="406" t="s">
        <v>275</v>
      </c>
      <c r="D16" s="406" t="e">
        <f>ADDRESS(ROW(#REF!),COLUMN(#REF!),4,1)&amp;":"&amp;ADDRESS(ROW(#REF!),COLUMN(#REF!),4,1)</f>
        <v>#REF!</v>
      </c>
      <c r="E16" s="406" t="s">
        <v>623</v>
      </c>
    </row>
    <row r="17" spans="1:5" s="407" customFormat="1">
      <c r="A17" s="405">
        <v>42313</v>
      </c>
      <c r="B17" s="406" t="s">
        <v>332</v>
      </c>
      <c r="C17" s="406" t="s">
        <v>574</v>
      </c>
      <c r="D17" s="406" t="str">
        <f>ADDRESS(ROW(ETS_NETS_Prices!B7),COLUMN(ETS_NETS_Prices!B7),4,1)&amp;":"&amp;ADDRESS(ROW(ETS_NETS_Prices!AS7),COLUMN(ETS_NETS_Prices!AS7),4,1)</f>
        <v>B7:AS7</v>
      </c>
      <c r="E17" s="406" t="s">
        <v>624</v>
      </c>
    </row>
    <row r="18" spans="1:5" s="403" customFormat="1">
      <c r="A18" s="396">
        <v>42312</v>
      </c>
      <c r="B18" s="395" t="s">
        <v>332</v>
      </c>
      <c r="C18" s="395" t="s">
        <v>287</v>
      </c>
      <c r="D18" s="395" t="e">
        <f>ADDRESS(ROW(#REF!),COLUMN(#REF!),4,1)&amp;":"&amp;ADDRESS(ROW(#REF!),COLUMN(#REF!),4,1)</f>
        <v>#REF!</v>
      </c>
      <c r="E18" s="395" t="s">
        <v>608</v>
      </c>
    </row>
    <row r="19" spans="1:5">
      <c r="A19" s="396">
        <v>42116</v>
      </c>
      <c r="B19" s="204" t="s">
        <v>332</v>
      </c>
      <c r="C19" s="395" t="s">
        <v>275</v>
      </c>
      <c r="D19" s="204" t="s">
        <v>576</v>
      </c>
      <c r="E19" s="395" t="s">
        <v>577</v>
      </c>
    </row>
    <row r="20" spans="1:5">
      <c r="A20" s="203">
        <v>42116</v>
      </c>
      <c r="B20" s="204" t="s">
        <v>332</v>
      </c>
      <c r="C20" s="395" t="s">
        <v>574</v>
      </c>
      <c r="D20" s="204"/>
      <c r="E20" s="395" t="s">
        <v>575</v>
      </c>
    </row>
    <row r="21" spans="1:5" s="205" customFormat="1">
      <c r="A21" s="203">
        <v>42046</v>
      </c>
      <c r="B21" s="204" t="s">
        <v>332</v>
      </c>
      <c r="C21" s="204" t="s">
        <v>496</v>
      </c>
      <c r="D21" s="204" t="e">
        <f>ADDRESS(ROW(#REF!),COLUMN(#REF!),4,1)&amp;":"&amp;ADDRESS(ROW(#REF!),COLUMN(#REF!),4,1)</f>
        <v>#REF!</v>
      </c>
      <c r="E21" s="204" t="s">
        <v>566</v>
      </c>
    </row>
    <row r="22" spans="1:5" s="205" customFormat="1">
      <c r="A22" s="203">
        <v>42045</v>
      </c>
      <c r="B22" s="204" t="s">
        <v>332</v>
      </c>
      <c r="C22" s="204" t="s">
        <v>496</v>
      </c>
      <c r="D22" s="204" t="str">
        <f>ADDRESS(ROW(BiomassCost!B22),COLUMN(BiomassCost!B22),4,1)&amp;":"&amp;ADDRESS(ROW(BiomassCost!AC183),COLUMN(BiomassCost!AC183),4,1)</f>
        <v>B22:AC183</v>
      </c>
      <c r="E22" s="204" t="s">
        <v>497</v>
      </c>
    </row>
    <row r="23" spans="1:5" s="205" customFormat="1">
      <c r="A23" s="203">
        <v>42044</v>
      </c>
      <c r="B23" s="204" t="s">
        <v>299</v>
      </c>
      <c r="C23" s="204" t="s">
        <v>275</v>
      </c>
      <c r="D23" s="204" t="e">
        <f>ADDRESS(ROW(#REF!),COLUMN(#REF!),4,1)&amp;":"&amp;ADDRESS(ROW(#REF!),COLUMN(#REF!),4,1)</f>
        <v>#REF!</v>
      </c>
      <c r="E23" s="204" t="s">
        <v>369</v>
      </c>
    </row>
    <row r="24" spans="1:5" s="205" customFormat="1">
      <c r="A24" s="203">
        <v>42044</v>
      </c>
      <c r="B24" s="204" t="s">
        <v>299</v>
      </c>
      <c r="C24" s="204" t="s">
        <v>187</v>
      </c>
      <c r="D24" s="204" t="e">
        <f>ADDRESS(ROW(Processes!#REF!),COLUMN(Processes!#REF!),4,1)&amp;":"&amp;ADDRESS(ROW(Processes!#REF!),COLUMN(Processes!#REF!),4,1)</f>
        <v>#REF!</v>
      </c>
      <c r="E24" s="204" t="s">
        <v>368</v>
      </c>
    </row>
    <row r="25" spans="1:5" s="205" customFormat="1">
      <c r="A25" s="203">
        <v>42044</v>
      </c>
      <c r="B25" s="204" t="s">
        <v>299</v>
      </c>
      <c r="C25" s="204" t="s">
        <v>180</v>
      </c>
      <c r="D25" s="204" t="str">
        <f>ADDRESS(ROW(Commodities!C52),COLUMN(Commodities!C52),4,1)&amp;":"&amp;ADDRESS(ROW(Commodities!K69),COLUMN(Commodities!K69),4,1)</f>
        <v>C52:K69</v>
      </c>
      <c r="E25" s="204" t="s">
        <v>367</v>
      </c>
    </row>
    <row r="26" spans="1:5" s="205" customFormat="1">
      <c r="A26" s="203">
        <v>42044</v>
      </c>
      <c r="B26" s="204" t="s">
        <v>299</v>
      </c>
      <c r="C26" s="204" t="s">
        <v>216</v>
      </c>
      <c r="D26" s="204" t="str">
        <f>ADDRESS(ROW('Fuel Tech'!B7),COLUMN('Fuel Tech'!B7),4,1)&amp;":"&amp;ADDRESS(ROW('Fuel Tech'!G8),COLUMN('Fuel Tech'!G8),4,1)</f>
        <v>B7:G8</v>
      </c>
      <c r="E26" s="204" t="s">
        <v>346</v>
      </c>
    </row>
    <row r="27" spans="1:5" s="205" customFormat="1">
      <c r="A27" s="203">
        <v>42044</v>
      </c>
      <c r="B27" s="204" t="s">
        <v>299</v>
      </c>
      <c r="C27" s="204" t="s">
        <v>187</v>
      </c>
      <c r="D27" s="204" t="e">
        <f>ADDRESS(ROW(Processes!#REF!),COLUMN(Processes!#REF!),4,1)&amp;":"&amp;ADDRESS(ROW(Processes!#REF!),COLUMN(Processes!#REF!),4,1)</f>
        <v>#REF!</v>
      </c>
      <c r="E27" s="204" t="s">
        <v>345</v>
      </c>
    </row>
    <row r="28" spans="1:5" s="205" customFormat="1">
      <c r="A28" s="203">
        <v>42044</v>
      </c>
      <c r="B28" s="204" t="s">
        <v>299</v>
      </c>
      <c r="C28" s="204" t="s">
        <v>180</v>
      </c>
      <c r="D28" s="204" t="str">
        <f>ADDRESS(ROW(Commodities!C73),COLUMN(Commodities!C73),4,1)&amp;":"&amp;ADDRESS(ROW(Commodities!K79),COLUMN(Commodities!K79),4,1)</f>
        <v>C73:K79</v>
      </c>
      <c r="E28" s="204" t="s">
        <v>344</v>
      </c>
    </row>
    <row r="29" spans="1:5" s="205" customFormat="1">
      <c r="A29" s="203">
        <v>42026</v>
      </c>
      <c r="B29" s="204" t="s">
        <v>332</v>
      </c>
      <c r="C29" s="204" t="s">
        <v>275</v>
      </c>
      <c r="D29" s="204" t="e">
        <f>ADDRESS(ROW(#REF!),COLUMN(#REF!),4,1)&amp;":"&amp;ADDRESS(ROW(#REF!),COLUMN(#REF!),4,1)</f>
        <v>#REF!</v>
      </c>
      <c r="E29" s="204" t="s">
        <v>337</v>
      </c>
    </row>
    <row r="30" spans="1:5" s="205" customFormat="1">
      <c r="A30" s="203">
        <v>42026</v>
      </c>
      <c r="B30" s="204" t="s">
        <v>332</v>
      </c>
      <c r="C30" s="204" t="s">
        <v>335</v>
      </c>
      <c r="D30" s="204"/>
      <c r="E30" s="204" t="s">
        <v>336</v>
      </c>
    </row>
    <row r="31" spans="1:5" s="205" customFormat="1">
      <c r="A31" s="203">
        <v>42026</v>
      </c>
      <c r="B31" s="204" t="s">
        <v>332</v>
      </c>
      <c r="C31" s="204" t="s">
        <v>275</v>
      </c>
      <c r="D31" s="204" t="e">
        <f>ADDRESS(ROW(#REF!),COLUMN(#REF!),4,1)&amp;":"&amp;ADDRESS(ROW(#REF!),COLUMN(#REF!),4,1)</f>
        <v>#REF!</v>
      </c>
      <c r="E31" s="204" t="s">
        <v>334</v>
      </c>
    </row>
    <row r="32" spans="1:5" s="205" customFormat="1">
      <c r="A32" s="203">
        <v>42026</v>
      </c>
      <c r="B32" s="204" t="s">
        <v>332</v>
      </c>
      <c r="C32" s="204" t="s">
        <v>275</v>
      </c>
      <c r="D32" s="204" t="e">
        <f>ADDRESS(ROW(#REF!),COLUMN(#REF!),4,1)&amp;":"&amp;ADDRESS(ROW(#REF!),COLUMN(#REF!),4,1)</f>
        <v>#REF!</v>
      </c>
      <c r="E32" s="204" t="s">
        <v>333</v>
      </c>
    </row>
    <row r="33" spans="1:5" s="205" customFormat="1">
      <c r="A33" s="203">
        <v>41956</v>
      </c>
      <c r="B33" s="204" t="s">
        <v>178</v>
      </c>
      <c r="C33" s="204" t="s">
        <v>275</v>
      </c>
      <c r="D33" s="204" t="e">
        <f>ADDRESS(ROW(#REF!),COLUMN(#REF!),4,1)</f>
        <v>#REF!</v>
      </c>
      <c r="E33" s="204" t="s">
        <v>301</v>
      </c>
    </row>
    <row r="34" spans="1:5">
      <c r="A34" s="203">
        <v>41909</v>
      </c>
      <c r="B34" s="204" t="s">
        <v>299</v>
      </c>
      <c r="C34" s="204" t="s">
        <v>275</v>
      </c>
      <c r="D34" s="204" t="e">
        <f>ADDRESS(ROW(#REF!),COLUMN(#REF!),4,1)</f>
        <v>#REF!</v>
      </c>
      <c r="E34" s="204" t="s">
        <v>300</v>
      </c>
    </row>
    <row r="35" spans="1:5" s="94" customFormat="1">
      <c r="A35" s="92">
        <v>41801</v>
      </c>
      <c r="B35" s="93" t="s">
        <v>178</v>
      </c>
      <c r="C35" s="93" t="s">
        <v>189</v>
      </c>
      <c r="D35" s="93" t="s">
        <v>190</v>
      </c>
      <c r="E35" s="93" t="s">
        <v>191</v>
      </c>
    </row>
    <row r="36" spans="1:5" s="94" customFormat="1">
      <c r="A36" s="92">
        <v>41801</v>
      </c>
      <c r="B36" s="93" t="s">
        <v>178</v>
      </c>
      <c r="C36" s="93" t="s">
        <v>187</v>
      </c>
      <c r="D36" s="93" t="s">
        <v>182</v>
      </c>
      <c r="E36" s="93" t="s">
        <v>188</v>
      </c>
    </row>
    <row r="37" spans="1:5" s="94" customFormat="1">
      <c r="A37" s="92">
        <v>41801</v>
      </c>
      <c r="B37" s="93" t="s">
        <v>178</v>
      </c>
      <c r="C37" s="93" t="s">
        <v>180</v>
      </c>
      <c r="D37" s="93" t="s">
        <v>185</v>
      </c>
      <c r="E37" s="93" t="s">
        <v>186</v>
      </c>
    </row>
    <row r="38" spans="1:5" s="94" customFormat="1">
      <c r="A38" s="92">
        <v>41801</v>
      </c>
      <c r="B38" s="93" t="s">
        <v>178</v>
      </c>
      <c r="C38" s="93" t="s">
        <v>180</v>
      </c>
      <c r="D38" s="93" t="s">
        <v>183</v>
      </c>
      <c r="E38" s="93" t="s">
        <v>184</v>
      </c>
    </row>
    <row r="39" spans="1:5" s="94" customFormat="1">
      <c r="A39" s="92">
        <v>41801</v>
      </c>
      <c r="B39" s="93" t="s">
        <v>178</v>
      </c>
      <c r="C39" s="93" t="s">
        <v>180</v>
      </c>
      <c r="D39" s="93" t="s">
        <v>182</v>
      </c>
      <c r="E39" s="93" t="s">
        <v>181</v>
      </c>
    </row>
    <row r="40" spans="1:5" s="94" customFormat="1">
      <c r="A40" s="92">
        <v>41802</v>
      </c>
      <c r="B40" s="93" t="s">
        <v>201</v>
      </c>
      <c r="C40" s="93" t="s">
        <v>189</v>
      </c>
      <c r="D40" s="93" t="s">
        <v>203</v>
      </c>
      <c r="E40" s="93" t="s">
        <v>202</v>
      </c>
    </row>
    <row r="41" spans="1:5" s="94" customFormat="1">
      <c r="A41" s="92">
        <v>41802</v>
      </c>
      <c r="B41" s="93" t="s">
        <v>208</v>
      </c>
      <c r="C41" s="93" t="s">
        <v>189</v>
      </c>
      <c r="D41" s="94" t="s">
        <v>210</v>
      </c>
      <c r="E41" s="93" t="s">
        <v>209</v>
      </c>
    </row>
    <row r="42" spans="1:5" s="94" customFormat="1">
      <c r="A42" s="92">
        <v>41802</v>
      </c>
      <c r="B42" s="93" t="s">
        <v>208</v>
      </c>
      <c r="C42" s="93" t="s">
        <v>216</v>
      </c>
      <c r="D42" s="94" t="s">
        <v>217</v>
      </c>
      <c r="E42" s="93" t="s">
        <v>218</v>
      </c>
    </row>
    <row r="43" spans="1:5" s="94" customFormat="1">
      <c r="A43" s="92">
        <v>41827</v>
      </c>
      <c r="B43" s="93" t="s">
        <v>274</v>
      </c>
      <c r="C43" s="93" t="s">
        <v>275</v>
      </c>
      <c r="D43" s="93" t="s">
        <v>277</v>
      </c>
      <c r="E43" s="93" t="s">
        <v>276</v>
      </c>
    </row>
    <row r="44" spans="1:5" s="94" customFormat="1">
      <c r="A44" s="92">
        <v>41828</v>
      </c>
      <c r="B44" s="93" t="s">
        <v>208</v>
      </c>
      <c r="C44" s="93" t="s">
        <v>284</v>
      </c>
      <c r="D44" s="93"/>
      <c r="E44" s="93" t="s">
        <v>285</v>
      </c>
    </row>
    <row r="45" spans="1:5" s="94" customFormat="1">
      <c r="A45" s="203">
        <v>41828</v>
      </c>
      <c r="B45" s="204" t="s">
        <v>286</v>
      </c>
      <c r="C45" s="204" t="s">
        <v>287</v>
      </c>
      <c r="D45" s="204" t="s">
        <v>288</v>
      </c>
      <c r="E45" s="204" t="s">
        <v>289</v>
      </c>
    </row>
    <row r="46" spans="1:5" s="94" customFormat="1">
      <c r="A46" s="203">
        <v>41828</v>
      </c>
      <c r="B46" s="204" t="s">
        <v>286</v>
      </c>
      <c r="C46" s="204" t="s">
        <v>287</v>
      </c>
      <c r="D46" s="204" t="s">
        <v>290</v>
      </c>
      <c r="E46" s="204" t="s">
        <v>291</v>
      </c>
    </row>
    <row r="47" spans="1:5" s="94" customFormat="1">
      <c r="A47" s="203">
        <v>41828</v>
      </c>
      <c r="B47" s="204" t="s">
        <v>286</v>
      </c>
      <c r="C47" s="204" t="s">
        <v>287</v>
      </c>
      <c r="D47" s="204" t="s">
        <v>292</v>
      </c>
      <c r="E47" s="204" t="s">
        <v>293</v>
      </c>
    </row>
    <row r="48" spans="1:5">
      <c r="A48" s="92"/>
      <c r="B48" s="95"/>
      <c r="C48" s="95"/>
      <c r="D48" s="96"/>
      <c r="E48" s="95"/>
    </row>
    <row r="49" spans="1:5">
      <c r="A49" s="97"/>
      <c r="B49" s="95"/>
      <c r="C49" s="95"/>
      <c r="D49" s="98"/>
      <c r="E49" s="98"/>
    </row>
    <row r="50" spans="1:5">
      <c r="A50" s="97"/>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tabColor rgb="FF92D050"/>
  </sheetPr>
  <dimension ref="A1:P29"/>
  <sheetViews>
    <sheetView workbookViewId="0">
      <selection activeCell="F11" sqref="F11:F12"/>
    </sheetView>
  </sheetViews>
  <sheetFormatPr baseColWidth="10" defaultColWidth="8.5" defaultRowHeight="13"/>
  <cols>
    <col min="5" max="5" width="8.5" style="602"/>
  </cols>
  <sheetData>
    <row r="1" spans="1:16" ht="14">
      <c r="A1" s="508"/>
      <c r="B1" s="508"/>
      <c r="C1" s="508"/>
      <c r="D1" s="508"/>
      <c r="E1" s="508"/>
      <c r="F1" s="508"/>
      <c r="G1" s="508"/>
      <c r="H1" s="508"/>
      <c r="I1" s="508"/>
      <c r="J1" s="508"/>
    </row>
    <row r="2" spans="1:16" ht="14">
      <c r="A2" s="508"/>
      <c r="B2" s="509" t="s">
        <v>713</v>
      </c>
      <c r="C2" s="508"/>
      <c r="D2" s="508"/>
      <c r="E2" s="508"/>
      <c r="F2" s="508"/>
      <c r="G2" s="508"/>
      <c r="H2" s="508"/>
      <c r="I2" s="508"/>
      <c r="J2" s="508"/>
    </row>
    <row r="3" spans="1:16" ht="14">
      <c r="A3" s="508"/>
      <c r="B3" s="508"/>
      <c r="C3" s="508"/>
      <c r="D3" s="508"/>
      <c r="E3" s="508"/>
      <c r="F3" s="508"/>
      <c r="G3" s="508"/>
      <c r="H3" s="508"/>
      <c r="I3" s="508"/>
      <c r="J3" s="508"/>
    </row>
    <row r="4" spans="1:16" ht="14">
      <c r="A4" s="508"/>
      <c r="B4" s="510" t="s">
        <v>714</v>
      </c>
      <c r="C4" s="508"/>
      <c r="D4" s="508"/>
      <c r="E4" s="508"/>
      <c r="F4" s="508"/>
      <c r="G4" s="508"/>
      <c r="H4" s="508"/>
      <c r="I4" s="508"/>
      <c r="J4" s="508"/>
    </row>
    <row r="5" spans="1:16" ht="14">
      <c r="A5" s="508"/>
      <c r="B5" s="509" t="s">
        <v>715</v>
      </c>
      <c r="C5" s="508"/>
      <c r="D5" s="508"/>
      <c r="E5" s="508"/>
      <c r="F5" s="508"/>
      <c r="G5" s="508"/>
      <c r="H5" s="508"/>
      <c r="I5" s="508"/>
      <c r="J5" s="508"/>
    </row>
    <row r="6" spans="1:16" ht="14">
      <c r="A6" s="508"/>
      <c r="B6" s="509"/>
      <c r="C6" s="508"/>
      <c r="D6" s="508"/>
      <c r="E6" s="508"/>
      <c r="F6" s="508"/>
      <c r="G6" s="508"/>
      <c r="H6" s="508"/>
      <c r="I6" s="508"/>
      <c r="J6" s="508"/>
    </row>
    <row r="7" spans="1:16" ht="14">
      <c r="A7" s="508"/>
      <c r="B7" s="508"/>
      <c r="C7" s="508"/>
      <c r="D7" s="511" t="s">
        <v>716</v>
      </c>
      <c r="E7" s="511"/>
      <c r="F7" s="511" t="s">
        <v>49</v>
      </c>
      <c r="G7" s="511" t="s">
        <v>51</v>
      </c>
      <c r="H7" s="511" t="s">
        <v>50</v>
      </c>
      <c r="I7" s="511" t="s">
        <v>75</v>
      </c>
      <c r="J7" s="515" t="s">
        <v>56</v>
      </c>
      <c r="K7" s="538" t="s">
        <v>742</v>
      </c>
      <c r="L7" s="538" t="s">
        <v>743</v>
      </c>
    </row>
    <row r="8" spans="1:16" ht="16" thickBot="1">
      <c r="A8" s="508"/>
      <c r="B8" s="512" t="s">
        <v>717</v>
      </c>
      <c r="C8" s="513"/>
      <c r="D8" s="513" t="s">
        <v>380</v>
      </c>
      <c r="E8" s="1126"/>
      <c r="F8" s="513" t="s">
        <v>380</v>
      </c>
      <c r="G8" s="513" t="s">
        <v>380</v>
      </c>
      <c r="H8" s="513" t="s">
        <v>380</v>
      </c>
      <c r="I8" s="513" t="s">
        <v>380</v>
      </c>
      <c r="J8" s="516" t="s">
        <v>380</v>
      </c>
      <c r="K8" s="534" t="s">
        <v>380</v>
      </c>
      <c r="L8" s="534" t="s">
        <v>380</v>
      </c>
    </row>
    <row r="9" spans="1:16" ht="14">
      <c r="A9" s="508"/>
      <c r="B9" s="508"/>
      <c r="C9" s="508"/>
      <c r="D9" s="508"/>
      <c r="E9" s="508"/>
      <c r="F9" s="508"/>
      <c r="G9" s="508"/>
      <c r="H9" s="508"/>
      <c r="I9" s="508"/>
      <c r="J9" s="517"/>
      <c r="K9" s="518"/>
      <c r="L9" s="518"/>
    </row>
    <row r="10" spans="1:16" ht="14">
      <c r="A10" s="508"/>
      <c r="B10" s="508"/>
      <c r="C10" s="514" t="s">
        <v>728</v>
      </c>
      <c r="D10" s="508"/>
      <c r="E10" s="508"/>
      <c r="F10" s="508"/>
      <c r="G10" s="508"/>
      <c r="H10" s="508"/>
      <c r="I10" s="508"/>
      <c r="J10" s="517"/>
      <c r="K10" s="518"/>
      <c r="L10" s="518"/>
      <c r="M10" s="484"/>
      <c r="N10" s="484"/>
    </row>
    <row r="11" spans="1:16" ht="30">
      <c r="A11" s="508"/>
      <c r="B11" s="527" t="s">
        <v>1</v>
      </c>
      <c r="C11" s="528" t="s">
        <v>3</v>
      </c>
      <c r="D11" s="529" t="s">
        <v>729</v>
      </c>
      <c r="E11" s="1127" t="s">
        <v>1590</v>
      </c>
      <c r="F11" s="529" t="s">
        <v>730</v>
      </c>
      <c r="G11" s="529" t="s">
        <v>731</v>
      </c>
      <c r="H11" s="529" t="s">
        <v>732</v>
      </c>
      <c r="I11" s="529" t="s">
        <v>733</v>
      </c>
      <c r="J11" s="530" t="s">
        <v>734</v>
      </c>
      <c r="K11" s="535" t="s">
        <v>735</v>
      </c>
      <c r="L11" s="535" t="s">
        <v>736</v>
      </c>
      <c r="M11" s="531"/>
      <c r="N11" s="531"/>
    </row>
    <row r="12" spans="1:16" ht="14">
      <c r="A12" s="508"/>
      <c r="B12" s="508"/>
      <c r="C12" s="508" t="s">
        <v>213</v>
      </c>
      <c r="D12" s="532">
        <v>56.95</v>
      </c>
      <c r="E12" s="532">
        <f>H12</f>
        <v>79.28</v>
      </c>
      <c r="F12" s="532">
        <v>94.6</v>
      </c>
      <c r="G12" s="532">
        <v>74</v>
      </c>
      <c r="H12" s="532">
        <v>79.28</v>
      </c>
      <c r="I12" s="533">
        <v>63.1</v>
      </c>
      <c r="J12" s="484"/>
      <c r="K12" s="518"/>
      <c r="L12" s="518"/>
      <c r="M12" s="484"/>
      <c r="N12" s="484"/>
    </row>
    <row r="13" spans="1:16" ht="14">
      <c r="A13" s="508"/>
      <c r="B13" s="508"/>
      <c r="C13" s="508" t="s">
        <v>718</v>
      </c>
      <c r="D13" s="508"/>
      <c r="E13" s="508"/>
      <c r="F13" s="508"/>
      <c r="G13" s="508"/>
      <c r="H13" s="508"/>
      <c r="I13" s="508"/>
      <c r="J13" s="532">
        <v>0</v>
      </c>
      <c r="K13" s="518"/>
      <c r="L13" s="518"/>
      <c r="M13" s="484"/>
      <c r="N13" s="484"/>
    </row>
    <row r="14" spans="1:16" ht="14">
      <c r="A14" s="508"/>
      <c r="B14" s="508"/>
      <c r="C14" s="537" t="s">
        <v>741</v>
      </c>
      <c r="K14">
        <v>0</v>
      </c>
      <c r="L14">
        <v>0</v>
      </c>
      <c r="M14" s="484"/>
      <c r="N14" s="484" t="s">
        <v>1613</v>
      </c>
      <c r="P14" t="s">
        <v>1612</v>
      </c>
    </row>
    <row r="15" spans="1:16" ht="14">
      <c r="A15" s="508"/>
      <c r="B15" s="508"/>
      <c r="C15" s="508"/>
      <c r="D15" s="508"/>
      <c r="E15" s="508"/>
      <c r="F15" s="508"/>
      <c r="G15" s="508"/>
      <c r="H15" s="508"/>
      <c r="I15" s="508"/>
      <c r="J15" s="508"/>
      <c r="K15" s="518"/>
      <c r="L15" s="518"/>
      <c r="M15" s="484"/>
      <c r="N15" s="484"/>
    </row>
    <row r="16" spans="1:16" ht="15">
      <c r="A16" s="508"/>
      <c r="B16" s="508"/>
      <c r="D16" s="508"/>
      <c r="E16" s="508"/>
      <c r="F16" s="508"/>
      <c r="G16" s="508"/>
      <c r="H16" s="508"/>
      <c r="I16" s="508"/>
      <c r="J16" s="508"/>
      <c r="K16" s="536"/>
      <c r="L16" s="536"/>
    </row>
    <row r="17" spans="1:13" ht="15">
      <c r="A17" s="508"/>
      <c r="B17" s="508"/>
      <c r="C17" s="508"/>
      <c r="K17" s="536"/>
      <c r="L17" s="536">
        <v>55</v>
      </c>
      <c r="M17" t="s">
        <v>1610</v>
      </c>
    </row>
    <row r="18" spans="1:13" ht="14">
      <c r="A18" s="508"/>
      <c r="B18" s="508"/>
      <c r="C18" s="508"/>
      <c r="L18">
        <v>42</v>
      </c>
      <c r="M18" t="s">
        <v>1611</v>
      </c>
    </row>
    <row r="19" spans="1:13" ht="14">
      <c r="A19" s="508"/>
      <c r="B19" s="508"/>
      <c r="C19" s="508"/>
    </row>
    <row r="20" spans="1:13" ht="14">
      <c r="A20" s="508"/>
      <c r="B20" s="508"/>
      <c r="C20" s="508"/>
    </row>
    <row r="21" spans="1:13" ht="14">
      <c r="A21" s="508"/>
      <c r="B21" s="508"/>
      <c r="C21" s="508"/>
    </row>
    <row r="22" spans="1:13" ht="14">
      <c r="A22" s="508"/>
      <c r="B22" s="508"/>
      <c r="C22" s="508"/>
    </row>
    <row r="23" spans="1:13" ht="14">
      <c r="A23" s="508"/>
      <c r="B23" s="508"/>
      <c r="C23" s="508"/>
    </row>
    <row r="24" spans="1:13" ht="14">
      <c r="A24" s="508"/>
      <c r="B24" s="508"/>
      <c r="C24" s="508"/>
    </row>
    <row r="25" spans="1:13" ht="14">
      <c r="A25" s="508"/>
      <c r="B25" s="508"/>
      <c r="C25" s="508"/>
    </row>
    <row r="26" spans="1:13" ht="14">
      <c r="A26" s="508"/>
      <c r="B26" s="508"/>
      <c r="C26" s="508"/>
    </row>
    <row r="27" spans="1:13" ht="14">
      <c r="A27" s="508"/>
    </row>
    <row r="28" spans="1:13" ht="14">
      <c r="A28" s="508"/>
    </row>
    <row r="29" spans="1:13" ht="14">
      <c r="A29" s="508"/>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9">
    <tabColor theme="9" tint="0.39997558519241921"/>
  </sheetPr>
  <dimension ref="A1:AV177"/>
  <sheetViews>
    <sheetView topLeftCell="A16" zoomScale="85" zoomScaleNormal="85" workbookViewId="0">
      <selection activeCell="F23" sqref="F23"/>
    </sheetView>
  </sheetViews>
  <sheetFormatPr baseColWidth="10" defaultColWidth="3.83203125" defaultRowHeight="15"/>
  <cols>
    <col min="1" max="1" width="26" style="1239" customWidth="1"/>
    <col min="2" max="2" width="3.83203125" style="1239"/>
    <col min="3" max="24" width="6" style="1239" customWidth="1"/>
    <col min="25" max="33" width="5.1640625" style="1239" customWidth="1"/>
    <col min="34" max="16384" width="3.83203125" style="1239"/>
  </cols>
  <sheetData>
    <row r="1" spans="1:48">
      <c r="A1" s="1239" t="s">
        <v>2131</v>
      </c>
      <c r="B1" s="1246"/>
      <c r="C1" s="1246"/>
      <c r="D1" s="1246"/>
      <c r="E1" s="1246"/>
      <c r="F1" s="1246"/>
      <c r="G1" s="1246"/>
      <c r="H1" s="1246"/>
      <c r="I1" s="1246"/>
      <c r="J1" s="1246"/>
      <c r="K1" s="1246"/>
      <c r="L1" s="1246"/>
      <c r="M1" s="1246"/>
      <c r="N1" s="1246"/>
      <c r="O1" s="1246"/>
      <c r="P1" s="1246"/>
      <c r="Q1" s="1246"/>
      <c r="R1" s="1246"/>
      <c r="S1" s="1246"/>
      <c r="Y1" s="1244"/>
      <c r="Z1" s="1244"/>
      <c r="AA1" s="1244"/>
      <c r="AB1" s="1244"/>
      <c r="AC1" s="1244"/>
      <c r="AD1" s="1244"/>
      <c r="AE1" s="1244"/>
      <c r="AF1" s="1244"/>
      <c r="AG1" s="1244"/>
      <c r="AH1" s="1244"/>
      <c r="AI1" s="1244"/>
      <c r="AJ1" s="1244"/>
      <c r="AK1" s="1244"/>
      <c r="AL1" s="1244"/>
      <c r="AM1" s="1244"/>
      <c r="AN1" s="1244"/>
      <c r="AO1" s="1244"/>
      <c r="AP1" s="1244"/>
      <c r="AQ1" s="1244"/>
      <c r="AR1" s="1244"/>
      <c r="AS1" s="1244"/>
      <c r="AT1" s="1244"/>
      <c r="AU1" s="1244"/>
      <c r="AV1" s="1244"/>
    </row>
    <row r="2" spans="1:48">
      <c r="A2" s="1239" t="s">
        <v>2130</v>
      </c>
      <c r="B2" s="1246"/>
      <c r="C2" s="1246"/>
      <c r="D2" s="1246"/>
      <c r="E2" s="1246"/>
      <c r="F2" s="1246"/>
      <c r="G2" s="1246"/>
      <c r="H2" s="1246"/>
      <c r="I2" s="1246"/>
      <c r="J2" s="1246"/>
      <c r="K2" s="1246"/>
      <c r="L2" s="1246"/>
      <c r="M2" s="1246"/>
      <c r="N2" s="1246"/>
      <c r="O2" s="1246"/>
      <c r="P2" s="1246"/>
      <c r="Q2" s="1246"/>
      <c r="R2" s="1246"/>
      <c r="S2" s="1246"/>
      <c r="Y2" s="1244"/>
      <c r="Z2" s="1244"/>
      <c r="AA2" s="1244"/>
      <c r="AB2" s="1244"/>
      <c r="AC2" s="1244"/>
      <c r="AD2" s="1244"/>
      <c r="AE2" s="1244"/>
      <c r="AF2" s="1244"/>
      <c r="AG2" s="1244"/>
      <c r="AH2" s="1244"/>
      <c r="AI2" s="1244"/>
      <c r="AJ2" s="1244"/>
      <c r="AK2" s="1244"/>
      <c r="AL2" s="1244"/>
      <c r="AM2" s="1244"/>
      <c r="AN2" s="1244"/>
      <c r="AO2" s="1244"/>
      <c r="AP2" s="1244"/>
      <c r="AQ2" s="1244"/>
      <c r="AR2" s="1244"/>
      <c r="AS2" s="1244"/>
      <c r="AT2" s="1244"/>
      <c r="AU2" s="1244"/>
      <c r="AV2" s="1244"/>
    </row>
    <row r="3" spans="1:48">
      <c r="A3" s="1239" t="s">
        <v>2129</v>
      </c>
      <c r="B3" s="1246"/>
      <c r="C3" s="1246"/>
      <c r="D3" s="1246"/>
      <c r="E3" s="1246"/>
      <c r="F3" s="1246"/>
      <c r="G3" s="1246"/>
      <c r="H3" s="1246"/>
      <c r="I3" s="1246"/>
      <c r="J3" s="1246"/>
      <c r="K3" s="1246"/>
      <c r="L3" s="1246"/>
      <c r="M3" s="1246"/>
      <c r="N3" s="1246"/>
      <c r="O3" s="1246"/>
      <c r="P3" s="1246"/>
      <c r="Q3" s="1246"/>
      <c r="R3" s="1246"/>
      <c r="S3" s="1246"/>
      <c r="Y3" s="1244"/>
      <c r="Z3" s="1244"/>
      <c r="AA3" s="1244"/>
      <c r="AB3" s="1244"/>
      <c r="AC3" s="1244"/>
      <c r="AD3" s="1244"/>
      <c r="AE3" s="1244"/>
      <c r="AF3" s="1244"/>
      <c r="AG3" s="1244"/>
      <c r="AH3" s="1244"/>
      <c r="AI3" s="1244"/>
      <c r="AJ3" s="1244"/>
      <c r="AK3" s="1244"/>
      <c r="AL3" s="1244"/>
      <c r="AM3" s="1244"/>
      <c r="AN3" s="1244"/>
      <c r="AO3" s="1244"/>
      <c r="AP3" s="1244"/>
      <c r="AQ3" s="1244"/>
      <c r="AR3" s="1244"/>
      <c r="AS3" s="1244"/>
      <c r="AT3" s="1244"/>
      <c r="AU3" s="1244"/>
      <c r="AV3" s="1244"/>
    </row>
    <row r="4" spans="1:48">
      <c r="B4" s="1246"/>
      <c r="C4" s="1246"/>
      <c r="D4" s="1246"/>
      <c r="E4" s="1246"/>
      <c r="F4" s="1246"/>
      <c r="G4" s="1246"/>
      <c r="H4" s="1246"/>
      <c r="I4" s="1246"/>
      <c r="J4" s="1246"/>
      <c r="K4" s="1246"/>
      <c r="L4" s="1246"/>
      <c r="M4" s="1246"/>
      <c r="N4" s="1246"/>
      <c r="O4" s="1246"/>
      <c r="P4" s="1246"/>
      <c r="Q4" s="1246"/>
      <c r="R4" s="1246"/>
      <c r="S4" s="1246"/>
      <c r="Y4" s="1244"/>
      <c r="Z4" s="1244"/>
      <c r="AA4" s="1244"/>
      <c r="AB4" s="1244"/>
      <c r="AC4" s="1244"/>
      <c r="AD4" s="1244"/>
      <c r="AE4" s="1244"/>
      <c r="AF4" s="1244"/>
      <c r="AG4" s="1244"/>
      <c r="AH4" s="1244"/>
      <c r="AI4" s="1244"/>
      <c r="AJ4" s="1244"/>
      <c r="AK4" s="1244"/>
      <c r="AL4" s="1244"/>
      <c r="AM4" s="1244"/>
      <c r="AN4" s="1244"/>
      <c r="AO4" s="1244"/>
      <c r="AP4" s="1244"/>
      <c r="AQ4" s="1244"/>
      <c r="AR4" s="1244"/>
      <c r="AS4" s="1244"/>
      <c r="AT4" s="1244"/>
      <c r="AU4" s="1244"/>
      <c r="AV4" s="1244"/>
    </row>
    <row r="5" spans="1:48">
      <c r="A5" s="1239" t="s">
        <v>2128</v>
      </c>
      <c r="B5" s="1246"/>
      <c r="C5" s="1246"/>
      <c r="D5" s="1246"/>
      <c r="E5" s="1246"/>
      <c r="F5" s="1246"/>
      <c r="G5" s="1246"/>
      <c r="H5" s="1246"/>
      <c r="I5" s="1246"/>
      <c r="J5" s="1246"/>
      <c r="K5" s="1246"/>
      <c r="L5" s="1246"/>
      <c r="M5" s="1246"/>
      <c r="N5" s="1246"/>
      <c r="O5" s="1246"/>
      <c r="P5" s="1246"/>
      <c r="Q5" s="1246"/>
      <c r="R5" s="1246"/>
      <c r="S5" s="1246"/>
      <c r="Y5" s="1244"/>
      <c r="Z5" s="1244"/>
      <c r="AA5" s="1244"/>
      <c r="AB5" s="1244"/>
      <c r="AC5" s="1244"/>
      <c r="AD5" s="1244"/>
      <c r="AE5" s="1244"/>
      <c r="AF5" s="1244"/>
      <c r="AG5" s="1244"/>
      <c r="AH5" s="1244"/>
      <c r="AI5" s="1244"/>
      <c r="AJ5" s="1244"/>
      <c r="AK5" s="1244"/>
      <c r="AL5" s="1244"/>
      <c r="AM5" s="1244"/>
      <c r="AN5" s="1244"/>
      <c r="AO5" s="1244"/>
      <c r="AP5" s="1244"/>
      <c r="AQ5" s="1244"/>
      <c r="AR5" s="1244"/>
      <c r="AS5" s="1244"/>
      <c r="AT5" s="1244"/>
      <c r="AU5" s="1244"/>
      <c r="AV5" s="1244"/>
    </row>
    <row r="6" spans="1:48">
      <c r="A6" s="1239" t="s">
        <v>2127</v>
      </c>
      <c r="B6" s="1246"/>
      <c r="C6" s="1246"/>
      <c r="D6" s="1246"/>
      <c r="E6" s="1246"/>
      <c r="F6" s="1246"/>
      <c r="G6" s="1246"/>
      <c r="H6" s="1246"/>
      <c r="I6" s="1246"/>
      <c r="J6" s="1246"/>
      <c r="K6" s="1246"/>
      <c r="L6" s="1246"/>
      <c r="M6" s="1246"/>
      <c r="N6" s="1246"/>
      <c r="O6" s="1246"/>
      <c r="P6" s="1246"/>
      <c r="Q6" s="1246"/>
      <c r="R6" s="1246"/>
      <c r="S6" s="1246"/>
      <c r="Y6" s="1244"/>
      <c r="Z6" s="1244"/>
      <c r="AA6" s="1244"/>
      <c r="AB6" s="1244"/>
      <c r="AC6" s="1244"/>
      <c r="AD6" s="1244"/>
      <c r="AE6" s="1244"/>
      <c r="AF6" s="1244"/>
      <c r="AG6" s="1244"/>
      <c r="AH6" s="1244"/>
      <c r="AI6" s="1244"/>
      <c r="AJ6" s="1244"/>
      <c r="AK6" s="1244"/>
      <c r="AL6" s="1244"/>
      <c r="AM6" s="1244"/>
      <c r="AN6" s="1244"/>
      <c r="AO6" s="1244"/>
      <c r="AP6" s="1244"/>
      <c r="AQ6" s="1244"/>
      <c r="AR6" s="1244"/>
      <c r="AS6" s="1244"/>
      <c r="AT6" s="1244"/>
      <c r="AU6" s="1244"/>
      <c r="AV6" s="1244"/>
    </row>
    <row r="7" spans="1:48">
      <c r="A7" s="1239" t="s">
        <v>2126</v>
      </c>
      <c r="B7" s="1246"/>
      <c r="C7" s="1246"/>
      <c r="D7" s="1246"/>
      <c r="E7" s="1246"/>
      <c r="F7" s="1246"/>
      <c r="G7" s="1246"/>
      <c r="H7" s="1246"/>
      <c r="I7" s="1246"/>
      <c r="J7" s="1246"/>
      <c r="K7" s="1246"/>
      <c r="L7" s="1246"/>
      <c r="M7" s="1246"/>
      <c r="N7" s="1246"/>
      <c r="O7" s="1246"/>
      <c r="P7" s="1246"/>
      <c r="Q7" s="1246"/>
      <c r="R7" s="1246"/>
      <c r="S7" s="1246"/>
      <c r="Y7" s="1244"/>
      <c r="Z7" s="1244"/>
      <c r="AA7" s="1244"/>
      <c r="AB7" s="1244"/>
      <c r="AC7" s="1244"/>
      <c r="AD7" s="1244"/>
      <c r="AE7" s="1244"/>
      <c r="AF7" s="1244"/>
      <c r="AG7" s="1244"/>
      <c r="AH7" s="1244"/>
      <c r="AI7" s="1244"/>
      <c r="AJ7" s="1244"/>
      <c r="AK7" s="1244"/>
      <c r="AL7" s="1244"/>
      <c r="AM7" s="1244"/>
      <c r="AN7" s="1244"/>
      <c r="AO7" s="1244"/>
      <c r="AP7" s="1244"/>
      <c r="AQ7" s="1244"/>
      <c r="AR7" s="1244"/>
      <c r="AS7" s="1244"/>
      <c r="AT7" s="1244"/>
      <c r="AU7" s="1244"/>
      <c r="AV7" s="1244"/>
    </row>
    <row r="8" spans="1:48">
      <c r="A8" s="1239" t="s">
        <v>2125</v>
      </c>
      <c r="B8" s="1246"/>
      <c r="C8" s="1246"/>
      <c r="D8" s="1246"/>
      <c r="E8" s="1246"/>
      <c r="F8" s="1246"/>
      <c r="G8" s="1246"/>
      <c r="H8" s="1246"/>
      <c r="I8" s="1246"/>
      <c r="J8" s="1246"/>
      <c r="K8" s="1246"/>
      <c r="L8" s="1246"/>
      <c r="M8" s="1246"/>
      <c r="N8" s="1246"/>
      <c r="O8" s="1246"/>
      <c r="P8" s="1246"/>
      <c r="Q8" s="1246"/>
      <c r="R8" s="1246"/>
      <c r="S8" s="1246"/>
      <c r="Y8" s="1244"/>
      <c r="Z8" s="1244"/>
      <c r="AA8" s="1244"/>
      <c r="AB8" s="1244"/>
      <c r="AC8" s="1244"/>
      <c r="AD8" s="1244"/>
      <c r="AE8" s="1244"/>
      <c r="AF8" s="1244"/>
      <c r="AG8" s="1244"/>
      <c r="AH8" s="1244"/>
      <c r="AI8" s="1244"/>
      <c r="AJ8" s="1244"/>
      <c r="AK8" s="1244"/>
      <c r="AL8" s="1244"/>
      <c r="AM8" s="1244"/>
      <c r="AN8" s="1244"/>
      <c r="AO8" s="1244"/>
      <c r="AP8" s="1244"/>
      <c r="AQ8" s="1244"/>
      <c r="AR8" s="1244"/>
      <c r="AS8" s="1244"/>
      <c r="AT8" s="1244"/>
      <c r="AU8" s="1244"/>
      <c r="AV8" s="1244"/>
    </row>
    <row r="9" spans="1:48">
      <c r="A9" s="1239" t="s">
        <v>2124</v>
      </c>
      <c r="B9" s="1246"/>
      <c r="C9" s="1246"/>
      <c r="D9" s="1246"/>
      <c r="E9" s="1246"/>
      <c r="F9" s="1246"/>
      <c r="G9" s="1246"/>
      <c r="H9" s="1246"/>
      <c r="I9" s="1246"/>
      <c r="J9" s="1246"/>
      <c r="K9" s="1246"/>
      <c r="L9" s="1246"/>
      <c r="M9" s="1246"/>
      <c r="N9" s="1246"/>
      <c r="O9" s="1246"/>
      <c r="P9" s="1246"/>
      <c r="Q9" s="1246"/>
      <c r="R9" s="1246"/>
      <c r="S9" s="1246"/>
      <c r="Y9" s="1244"/>
      <c r="Z9" s="1244"/>
      <c r="AA9" s="1244"/>
      <c r="AB9" s="1244"/>
      <c r="AC9" s="1244"/>
      <c r="AD9" s="1244"/>
      <c r="AE9" s="1244"/>
      <c r="AF9" s="1244"/>
      <c r="AG9" s="1244"/>
      <c r="AH9" s="1244"/>
      <c r="AI9" s="1244"/>
      <c r="AJ9" s="1244"/>
      <c r="AK9" s="1244"/>
      <c r="AL9" s="1244"/>
      <c r="AM9" s="1244"/>
      <c r="AN9" s="1244"/>
      <c r="AO9" s="1244"/>
      <c r="AP9" s="1244"/>
      <c r="AQ9" s="1244"/>
      <c r="AR9" s="1244"/>
      <c r="AS9" s="1244"/>
      <c r="AT9" s="1244"/>
      <c r="AU9" s="1244"/>
      <c r="AV9" s="1244"/>
    </row>
    <row r="10" spans="1:48">
      <c r="A10" s="1239" t="s">
        <v>1503</v>
      </c>
      <c r="B10" s="1246"/>
      <c r="C10" s="1246"/>
      <c r="D10" s="1246"/>
      <c r="E10" s="1246"/>
      <c r="F10" s="1246"/>
      <c r="G10" s="1246"/>
      <c r="H10" s="1246"/>
      <c r="I10" s="1246"/>
      <c r="J10" s="1246"/>
      <c r="K10" s="1246"/>
      <c r="L10" s="1246"/>
      <c r="M10" s="1246"/>
      <c r="N10" s="1246"/>
      <c r="O10" s="1246"/>
      <c r="P10" s="1246"/>
      <c r="Q10" s="1246"/>
      <c r="R10" s="1246"/>
      <c r="S10" s="1246"/>
      <c r="Y10" s="1244"/>
      <c r="Z10" s="1244"/>
      <c r="AA10" s="1244"/>
      <c r="AB10" s="1244"/>
      <c r="AC10" s="1244"/>
      <c r="AD10" s="1244"/>
      <c r="AE10" s="1244"/>
      <c r="AF10" s="1244"/>
      <c r="AG10" s="1244"/>
      <c r="AH10" s="1244"/>
      <c r="AI10" s="1244"/>
      <c r="AJ10" s="1244"/>
      <c r="AK10" s="1244"/>
      <c r="AL10" s="1244"/>
      <c r="AM10" s="1244"/>
      <c r="AN10" s="1244"/>
      <c r="AO10" s="1244"/>
      <c r="AP10" s="1244"/>
      <c r="AQ10" s="1244"/>
      <c r="AR10" s="1244"/>
      <c r="AS10" s="1244"/>
      <c r="AT10" s="1244"/>
      <c r="AU10" s="1244"/>
      <c r="AV10" s="1244"/>
    </row>
    <row r="11" spans="1:48">
      <c r="A11" s="1261" t="s">
        <v>2123</v>
      </c>
      <c r="B11" s="1246"/>
      <c r="C11" s="1246"/>
      <c r="D11" s="1246"/>
      <c r="E11" s="1246"/>
      <c r="F11" s="1246"/>
      <c r="G11" s="1246"/>
      <c r="H11" s="1246"/>
      <c r="I11" s="1246"/>
      <c r="J11" s="1246"/>
      <c r="K11" s="1246"/>
      <c r="L11" s="1246"/>
      <c r="M11" s="1246"/>
      <c r="N11" s="1246"/>
      <c r="O11" s="1246"/>
      <c r="P11" s="1246"/>
      <c r="Q11" s="1246"/>
      <c r="R11" s="1246"/>
      <c r="S11" s="1246"/>
      <c r="Y11" s="1244"/>
      <c r="Z11" s="1244"/>
      <c r="AA11" s="1244"/>
      <c r="AB11" s="1244"/>
      <c r="AC11" s="1244"/>
      <c r="AD11" s="1244"/>
      <c r="AE11" s="1244"/>
      <c r="AF11" s="1244"/>
      <c r="AG11" s="1244"/>
      <c r="AH11" s="1244"/>
      <c r="AI11" s="1244"/>
      <c r="AJ11" s="1244"/>
      <c r="AK11" s="1244"/>
      <c r="AL11" s="1244"/>
      <c r="AM11" s="1244"/>
      <c r="AN11" s="1244"/>
      <c r="AO11" s="1244"/>
      <c r="AP11" s="1244"/>
      <c r="AQ11" s="1244"/>
      <c r="AR11" s="1244"/>
      <c r="AS11" s="1244"/>
      <c r="AT11" s="1244"/>
      <c r="AU11" s="1244"/>
      <c r="AV11" s="1244"/>
    </row>
    <row r="12" spans="1:48">
      <c r="A12" s="1261" t="s">
        <v>2122</v>
      </c>
      <c r="B12" s="1246"/>
      <c r="C12" s="1246"/>
      <c r="D12" s="1246"/>
      <c r="E12" s="1246"/>
      <c r="F12" s="1246"/>
      <c r="G12" s="1246"/>
      <c r="H12" s="1246"/>
      <c r="I12" s="1246"/>
      <c r="J12" s="1246"/>
      <c r="K12" s="1246"/>
      <c r="L12" s="1246"/>
      <c r="M12" s="1246"/>
      <c r="N12" s="1246"/>
      <c r="O12" s="1246"/>
      <c r="P12" s="1246"/>
      <c r="Q12" s="1246"/>
      <c r="R12" s="1246"/>
      <c r="S12" s="1246"/>
      <c r="T12" s="1244"/>
      <c r="U12" s="1244"/>
      <c r="V12" s="1244"/>
      <c r="Y12" s="1244"/>
      <c r="Z12" s="1244"/>
      <c r="AA12" s="1244"/>
      <c r="AB12" s="1244"/>
      <c r="AC12" s="1244"/>
      <c r="AD12" s="1244"/>
      <c r="AE12" s="1244"/>
      <c r="AF12" s="1244"/>
      <c r="AG12" s="1244"/>
      <c r="AH12" s="1244"/>
      <c r="AI12" s="1244"/>
      <c r="AJ12" s="1244"/>
      <c r="AK12" s="1244"/>
      <c r="AL12" s="1244"/>
      <c r="AM12" s="1244"/>
      <c r="AN12" s="1244"/>
      <c r="AO12" s="1244"/>
      <c r="AP12" s="1244"/>
      <c r="AQ12" s="1244"/>
      <c r="AR12" s="1244"/>
      <c r="AS12" s="1244"/>
      <c r="AT12" s="1244"/>
      <c r="AU12" s="1244"/>
      <c r="AV12" s="1244"/>
    </row>
    <row r="13" spans="1:48">
      <c r="A13" s="1261" t="s">
        <v>2121</v>
      </c>
      <c r="B13" s="1246"/>
      <c r="C13" s="1246"/>
      <c r="D13" s="1246"/>
      <c r="E13" s="1246"/>
      <c r="F13" s="1246"/>
      <c r="G13" s="1246"/>
      <c r="H13" s="1246"/>
      <c r="I13" s="1246"/>
      <c r="J13" s="1246"/>
      <c r="K13" s="1246"/>
      <c r="L13" s="1246"/>
      <c r="M13" s="1246"/>
      <c r="N13" s="1246"/>
      <c r="O13" s="1246"/>
      <c r="P13" s="1246"/>
      <c r="Q13" s="1246"/>
      <c r="R13" s="1246"/>
      <c r="S13" s="1246"/>
      <c r="T13" s="1244"/>
      <c r="U13" s="1244"/>
      <c r="V13" s="1244"/>
      <c r="Y13" s="1244"/>
      <c r="Z13" s="1244"/>
      <c r="AA13" s="1244"/>
      <c r="AB13" s="1244"/>
      <c r="AC13" s="1244"/>
      <c r="AD13" s="1244"/>
      <c r="AE13" s="1244"/>
      <c r="AF13" s="1244"/>
      <c r="AG13" s="1244"/>
      <c r="AH13" s="1244"/>
      <c r="AI13" s="1244"/>
      <c r="AJ13" s="1244"/>
      <c r="AK13" s="1244"/>
      <c r="AL13" s="1244"/>
      <c r="AM13" s="1244"/>
      <c r="AN13" s="1244"/>
      <c r="AO13" s="1244"/>
      <c r="AP13" s="1244"/>
      <c r="AQ13" s="1244"/>
      <c r="AR13" s="1244"/>
      <c r="AS13" s="1244"/>
      <c r="AT13" s="1244"/>
      <c r="AU13" s="1244"/>
      <c r="AV13" s="1244"/>
    </row>
    <row r="14" spans="1:48">
      <c r="A14" s="1261" t="s">
        <v>2120</v>
      </c>
      <c r="B14" s="1246"/>
      <c r="C14" s="1246"/>
      <c r="D14" s="1246"/>
      <c r="E14" s="1246"/>
      <c r="F14" s="1246"/>
      <c r="G14" s="1246"/>
      <c r="H14" s="1246"/>
      <c r="I14" s="1246"/>
      <c r="J14" s="1246"/>
      <c r="K14" s="1246"/>
      <c r="L14" s="1246"/>
      <c r="M14" s="1246"/>
      <c r="N14" s="1246"/>
      <c r="O14" s="1246"/>
      <c r="P14" s="1246"/>
      <c r="Q14" s="1246"/>
      <c r="R14" s="1246"/>
      <c r="S14" s="1246"/>
      <c r="T14" s="1244"/>
      <c r="U14" s="1244"/>
      <c r="V14" s="1244"/>
      <c r="Y14" s="1244"/>
      <c r="Z14" s="1244"/>
      <c r="AA14" s="1244"/>
      <c r="AB14" s="1244"/>
      <c r="AC14" s="1244"/>
      <c r="AD14" s="1244"/>
      <c r="AE14" s="1244"/>
      <c r="AF14" s="1244"/>
      <c r="AG14" s="1244"/>
      <c r="AH14" s="1244"/>
      <c r="AI14" s="1244"/>
      <c r="AJ14" s="1244"/>
      <c r="AK14" s="1244"/>
      <c r="AL14" s="1244"/>
      <c r="AM14" s="1244"/>
      <c r="AN14" s="1244"/>
      <c r="AO14" s="1244"/>
      <c r="AP14" s="1244"/>
      <c r="AQ14" s="1244"/>
      <c r="AR14" s="1244"/>
      <c r="AS14" s="1244"/>
      <c r="AT14" s="1244"/>
      <c r="AU14" s="1244"/>
      <c r="AV14" s="1244"/>
    </row>
    <row r="15" spans="1:48">
      <c r="A15" s="1261"/>
      <c r="B15" s="1246"/>
      <c r="C15" s="1246"/>
      <c r="D15" s="1246"/>
      <c r="E15" s="1246"/>
      <c r="F15" s="1246"/>
      <c r="G15" s="1246"/>
      <c r="H15" s="1246"/>
      <c r="I15" s="1246"/>
      <c r="J15" s="1246"/>
      <c r="K15" s="1246"/>
      <c r="L15" s="1246"/>
      <c r="M15" s="1246"/>
      <c r="N15" s="1246"/>
      <c r="O15" s="1246"/>
      <c r="P15" s="1246"/>
      <c r="Q15" s="1246"/>
      <c r="R15" s="1246"/>
      <c r="S15" s="1246"/>
      <c r="T15" s="1244"/>
      <c r="U15" s="1244"/>
      <c r="V15" s="1244"/>
      <c r="Y15" s="1244"/>
      <c r="Z15" s="1244"/>
      <c r="AA15" s="1244"/>
      <c r="AB15" s="1244"/>
      <c r="AC15" s="1244"/>
      <c r="AD15" s="1244"/>
      <c r="AE15" s="1244"/>
      <c r="AF15" s="1244"/>
      <c r="AG15" s="1244"/>
      <c r="AH15" s="1244"/>
      <c r="AI15" s="1244"/>
      <c r="AJ15" s="1244"/>
      <c r="AK15" s="1244"/>
      <c r="AL15" s="1244"/>
      <c r="AM15" s="1244"/>
      <c r="AN15" s="1244"/>
      <c r="AO15" s="1244"/>
      <c r="AP15" s="1244"/>
      <c r="AQ15" s="1244"/>
      <c r="AR15" s="1244"/>
      <c r="AS15" s="1244"/>
      <c r="AT15" s="1244"/>
      <c r="AU15" s="1244"/>
      <c r="AV15" s="1244"/>
    </row>
    <row r="16" spans="1:48">
      <c r="B16" s="1246"/>
      <c r="C16" s="1246"/>
      <c r="D16" s="1246"/>
      <c r="E16" s="1246"/>
      <c r="F16" s="1246"/>
      <c r="G16" s="1246"/>
      <c r="H16" s="1246"/>
      <c r="I16" s="1246"/>
      <c r="J16" s="1246"/>
      <c r="K16" s="1246"/>
      <c r="L16" s="1246"/>
      <c r="M16" s="1246"/>
      <c r="N16" s="1246"/>
      <c r="O16" s="1246"/>
      <c r="P16" s="1246"/>
      <c r="Q16" s="1246"/>
      <c r="R16" s="1246"/>
      <c r="S16" s="1246"/>
      <c r="Y16" s="1244"/>
      <c r="Z16" s="1244"/>
      <c r="AA16" s="1244"/>
      <c r="AB16" s="1244"/>
      <c r="AC16" s="1244"/>
      <c r="AD16" s="1244"/>
      <c r="AE16" s="1244"/>
      <c r="AF16" s="1244"/>
      <c r="AG16" s="1244"/>
      <c r="AH16" s="1244"/>
      <c r="AI16" s="1244"/>
      <c r="AJ16" s="1244"/>
      <c r="AK16" s="1244"/>
      <c r="AL16" s="1244"/>
      <c r="AM16" s="1244"/>
      <c r="AN16" s="1244"/>
      <c r="AO16" s="1244"/>
      <c r="AP16" s="1244"/>
      <c r="AQ16" s="1244"/>
      <c r="AR16" s="1244"/>
      <c r="AS16" s="1244"/>
      <c r="AT16" s="1244"/>
      <c r="AU16" s="1244"/>
      <c r="AV16" s="1244"/>
    </row>
    <row r="17" spans="1:48">
      <c r="A17" s="1239" t="s">
        <v>2119</v>
      </c>
      <c r="B17" s="1246"/>
      <c r="C17" s="1246"/>
      <c r="D17" s="1246"/>
      <c r="E17" s="1246"/>
      <c r="F17" s="1246"/>
      <c r="G17" s="1246"/>
      <c r="H17" s="1246"/>
      <c r="I17" s="1246"/>
      <c r="J17" s="1246"/>
      <c r="K17" s="1246"/>
      <c r="L17" s="1246"/>
      <c r="M17" s="1246"/>
      <c r="N17" s="1246"/>
      <c r="O17" s="1246"/>
      <c r="P17" s="1246"/>
      <c r="Q17" s="1246"/>
      <c r="R17" s="1246"/>
      <c r="S17" s="1246"/>
      <c r="T17" s="1244"/>
      <c r="U17" s="1244"/>
      <c r="V17" s="1244"/>
      <c r="W17" s="1244"/>
      <c r="X17" s="1244"/>
      <c r="Y17" s="1244"/>
      <c r="Z17" s="1244"/>
      <c r="AA17" s="1244"/>
      <c r="AB17" s="1244"/>
      <c r="AC17" s="1244"/>
      <c r="AD17" s="1244"/>
      <c r="AE17" s="1244"/>
      <c r="AF17" s="1244"/>
      <c r="AG17" s="1244"/>
      <c r="AH17" s="1244"/>
      <c r="AI17" s="1244"/>
      <c r="AJ17" s="1244"/>
      <c r="AK17" s="1244"/>
      <c r="AL17" s="1244"/>
      <c r="AM17" s="1244"/>
      <c r="AN17" s="1244"/>
      <c r="AO17" s="1244"/>
      <c r="AP17" s="1244"/>
      <c r="AQ17" s="1244"/>
      <c r="AR17" s="1244"/>
      <c r="AS17" s="1244"/>
      <c r="AT17" s="1244"/>
      <c r="AU17" s="1244"/>
      <c r="AV17" s="1244"/>
    </row>
    <row r="18" spans="1:48">
      <c r="B18" s="1246"/>
      <c r="C18" s="1246"/>
      <c r="D18" s="1246" t="s">
        <v>2118</v>
      </c>
      <c r="E18" s="1246" t="s">
        <v>2117</v>
      </c>
      <c r="F18" s="1246" t="s">
        <v>2116</v>
      </c>
      <c r="G18" s="1246" t="s">
        <v>2115</v>
      </c>
      <c r="H18" s="1246" t="s">
        <v>2114</v>
      </c>
      <c r="I18" s="1239" t="s">
        <v>2113</v>
      </c>
      <c r="J18" s="1244" t="s">
        <v>2112</v>
      </c>
      <c r="K18" s="1239" t="s">
        <v>2111</v>
      </c>
      <c r="L18" s="1239" t="s">
        <v>2110</v>
      </c>
      <c r="M18" s="1239" t="s">
        <v>2109</v>
      </c>
      <c r="N18" s="1239" t="s">
        <v>2108</v>
      </c>
      <c r="O18" s="1239" t="s">
        <v>2107</v>
      </c>
      <c r="P18" s="1239" t="s">
        <v>2106</v>
      </c>
      <c r="Q18" s="1239" t="s">
        <v>2105</v>
      </c>
      <c r="R18" s="1239" t="s">
        <v>2104</v>
      </c>
      <c r="S18" s="1239" t="s">
        <v>893</v>
      </c>
      <c r="T18" s="1239" t="s">
        <v>2103</v>
      </c>
      <c r="U18" s="1239" t="s">
        <v>2102</v>
      </c>
      <c r="V18" s="1239" t="s">
        <v>2101</v>
      </c>
      <c r="W18" s="1239" t="s">
        <v>2100</v>
      </c>
      <c r="X18" s="1239" t="s">
        <v>2099</v>
      </c>
      <c r="Y18" s="1239" t="s">
        <v>2098</v>
      </c>
      <c r="Z18" s="1239" t="s">
        <v>2097</v>
      </c>
      <c r="AA18" s="1239" t="s">
        <v>2096</v>
      </c>
      <c r="AB18" s="1250" t="s">
        <v>2095</v>
      </c>
      <c r="AC18" s="1250" t="s">
        <v>2094</v>
      </c>
      <c r="AD18" s="1250" t="s">
        <v>2093</v>
      </c>
      <c r="AE18" s="1250" t="s">
        <v>2092</v>
      </c>
      <c r="AF18" s="1250" t="s">
        <v>2091</v>
      </c>
      <c r="AG18" s="1250" t="s">
        <v>2090</v>
      </c>
      <c r="AH18" s="1244"/>
      <c r="AI18" s="1244"/>
      <c r="AJ18" s="1244"/>
      <c r="AK18" s="1244"/>
      <c r="AL18" s="1244"/>
      <c r="AM18" s="1244"/>
      <c r="AN18" s="1244"/>
      <c r="AO18" s="1244"/>
      <c r="AP18" s="1244"/>
      <c r="AQ18" s="1244"/>
      <c r="AR18" s="1244"/>
      <c r="AS18" s="1244"/>
      <c r="AT18" s="1244"/>
      <c r="AU18" s="1244"/>
      <c r="AV18" s="1244"/>
    </row>
    <row r="19" spans="1:48">
      <c r="A19" s="1239">
        <v>2016</v>
      </c>
      <c r="B19" s="1246" t="s">
        <v>932</v>
      </c>
      <c r="C19" s="1246" t="s">
        <v>2118</v>
      </c>
      <c r="D19" s="1251"/>
      <c r="E19" s="1257"/>
      <c r="F19" s="1257"/>
      <c r="G19" s="1257"/>
      <c r="H19" s="1257"/>
      <c r="I19" s="1256"/>
      <c r="J19" s="1256"/>
      <c r="M19" s="1239">
        <v>1800</v>
      </c>
      <c r="Q19" s="1239">
        <v>2400</v>
      </c>
      <c r="R19" s="1255"/>
      <c r="S19" s="1255"/>
      <c r="T19" s="1255"/>
      <c r="U19" s="1255"/>
      <c r="V19" s="1255"/>
      <c r="X19" s="1253"/>
      <c r="Y19" s="1253"/>
      <c r="Z19" s="1253"/>
      <c r="AA19" s="1253"/>
      <c r="AB19" s="1250"/>
      <c r="AC19" s="1250"/>
      <c r="AD19" s="1250"/>
      <c r="AE19" s="1250"/>
      <c r="AF19" s="1250"/>
      <c r="AG19" s="1250"/>
      <c r="AH19" s="1244"/>
      <c r="AI19" s="1244"/>
      <c r="AJ19" s="1244"/>
      <c r="AK19" s="1244"/>
      <c r="AL19" s="1244"/>
      <c r="AM19" s="1244"/>
      <c r="AN19" s="1244"/>
      <c r="AO19" s="1244"/>
      <c r="AP19" s="1244"/>
      <c r="AQ19" s="1244"/>
      <c r="AR19" s="1244"/>
      <c r="AS19" s="1244"/>
      <c r="AT19" s="1244"/>
      <c r="AU19" s="1244"/>
      <c r="AV19" s="1244"/>
    </row>
    <row r="20" spans="1:48">
      <c r="A20" s="1239">
        <v>2016</v>
      </c>
      <c r="B20" s="1246" t="s">
        <v>932</v>
      </c>
      <c r="C20" s="1246" t="s">
        <v>2117</v>
      </c>
      <c r="D20" s="1257"/>
      <c r="E20" s="1251"/>
      <c r="F20" s="1260">
        <v>8634</v>
      </c>
      <c r="G20" s="1260">
        <v>3010</v>
      </c>
      <c r="H20" s="1260"/>
      <c r="I20" s="1254">
        <v>1500</v>
      </c>
      <c r="J20" s="1254"/>
      <c r="K20" s="1257"/>
      <c r="L20" s="1257"/>
      <c r="M20" s="1257"/>
      <c r="N20" s="1257"/>
      <c r="O20" s="1257"/>
      <c r="P20" s="1257"/>
      <c r="Q20" s="1257"/>
      <c r="R20" s="1254"/>
      <c r="S20" s="1254"/>
      <c r="T20" s="1254"/>
      <c r="U20" s="1254"/>
      <c r="V20" s="1254"/>
      <c r="W20" s="1257"/>
      <c r="X20" s="1254"/>
      <c r="Y20" s="1254"/>
      <c r="Z20" s="1254"/>
      <c r="AA20" s="1254">
        <v>600</v>
      </c>
      <c r="AB20" s="1250"/>
      <c r="AC20" s="1250"/>
      <c r="AD20" s="1250"/>
      <c r="AE20" s="1250"/>
      <c r="AF20" s="1250"/>
      <c r="AG20" s="1250"/>
      <c r="AH20" s="1244"/>
      <c r="AI20" s="1244"/>
      <c r="AJ20" s="1244"/>
      <c r="AK20" s="1244"/>
      <c r="AL20" s="1244"/>
      <c r="AM20" s="1244"/>
      <c r="AN20" s="1244"/>
      <c r="AO20" s="1244"/>
      <c r="AP20" s="1244"/>
      <c r="AQ20" s="1244"/>
      <c r="AR20" s="1244"/>
      <c r="AS20" s="1244"/>
      <c r="AT20" s="1244"/>
      <c r="AU20" s="1244"/>
      <c r="AV20" s="1244"/>
    </row>
    <row r="21" spans="1:48">
      <c r="A21" s="1239">
        <v>2016</v>
      </c>
      <c r="B21" s="1246" t="s">
        <v>932</v>
      </c>
      <c r="C21" s="1246" t="s">
        <v>2116</v>
      </c>
      <c r="D21" s="1257"/>
      <c r="E21" s="1260">
        <v>8634</v>
      </c>
      <c r="F21" s="1251"/>
      <c r="G21" s="1260">
        <v>6020</v>
      </c>
      <c r="H21" s="1260">
        <v>14416</v>
      </c>
      <c r="I21" s="1254"/>
      <c r="J21" s="1254"/>
      <c r="K21" s="1257"/>
      <c r="L21" s="1257"/>
      <c r="M21" s="1257"/>
      <c r="N21" s="1257"/>
      <c r="O21" s="1257"/>
      <c r="P21" s="1257"/>
      <c r="Q21" s="1257">
        <v>3900</v>
      </c>
      <c r="R21" s="1254"/>
      <c r="S21" s="1254"/>
      <c r="T21" s="1254"/>
      <c r="U21" s="1254"/>
      <c r="V21" s="1254"/>
      <c r="W21" s="1257"/>
      <c r="X21" s="1254"/>
      <c r="Y21" s="1254"/>
      <c r="Z21" s="1254"/>
      <c r="AA21" s="1254"/>
      <c r="AB21" s="1250"/>
      <c r="AC21" s="1250"/>
      <c r="AD21" s="1250"/>
      <c r="AE21" s="1250"/>
      <c r="AF21" s="1250"/>
      <c r="AG21" s="1250"/>
      <c r="AH21" s="1244"/>
      <c r="AI21" s="1244"/>
      <c r="AJ21" s="1244"/>
      <c r="AK21" s="1244"/>
      <c r="AL21" s="1244"/>
      <c r="AM21" s="1244"/>
      <c r="AN21" s="1244"/>
      <c r="AO21" s="1244"/>
      <c r="AP21" s="1244"/>
      <c r="AQ21" s="1244"/>
      <c r="AR21" s="1244"/>
      <c r="AS21" s="1244"/>
      <c r="AT21" s="1244"/>
      <c r="AU21" s="1244"/>
      <c r="AV21" s="1244"/>
    </row>
    <row r="22" spans="1:48">
      <c r="A22" s="1239">
        <v>2016</v>
      </c>
      <c r="B22" s="1246" t="s">
        <v>932</v>
      </c>
      <c r="C22" s="1246" t="s">
        <v>2115</v>
      </c>
      <c r="D22" s="1257"/>
      <c r="E22" s="1260">
        <v>3010</v>
      </c>
      <c r="F22" s="1260">
        <v>6020</v>
      </c>
      <c r="G22" s="1251"/>
      <c r="H22" s="1260">
        <v>3010</v>
      </c>
      <c r="I22" s="1254"/>
      <c r="J22" s="1254">
        <v>600</v>
      </c>
      <c r="K22" s="1257"/>
      <c r="L22" s="1257"/>
      <c r="M22" s="1257"/>
      <c r="N22" s="1257"/>
      <c r="O22" s="1257"/>
      <c r="P22" s="1257"/>
      <c r="Q22" s="1257"/>
      <c r="R22" s="1254"/>
      <c r="S22" s="1254"/>
      <c r="T22" s="1254"/>
      <c r="U22" s="1254"/>
      <c r="V22" s="1254"/>
      <c r="W22" s="1257">
        <v>500</v>
      </c>
      <c r="X22" s="1254"/>
      <c r="Y22" s="1254"/>
      <c r="Z22" s="1254"/>
      <c r="AA22" s="1254"/>
      <c r="AB22" s="1250"/>
      <c r="AC22" s="1250"/>
      <c r="AD22" s="1250"/>
      <c r="AE22" s="1250">
        <v>750</v>
      </c>
      <c r="AF22" s="1250"/>
      <c r="AG22" s="1250"/>
      <c r="AH22" s="1244"/>
      <c r="AI22" s="1244"/>
      <c r="AJ22" s="1244"/>
      <c r="AK22" s="1244"/>
      <c r="AL22" s="1244"/>
      <c r="AM22" s="1244"/>
      <c r="AN22" s="1244"/>
      <c r="AO22" s="1244"/>
      <c r="AP22" s="1244"/>
      <c r="AQ22" s="1244"/>
      <c r="AR22" s="1244"/>
      <c r="AS22" s="1244"/>
      <c r="AT22" s="1244"/>
      <c r="AU22" s="1244"/>
      <c r="AV22" s="1244"/>
    </row>
    <row r="23" spans="1:48">
      <c r="A23" s="1239">
        <v>2016</v>
      </c>
      <c r="B23" s="1246" t="s">
        <v>932</v>
      </c>
      <c r="C23" s="1246" t="s">
        <v>2114</v>
      </c>
      <c r="D23" s="1257"/>
      <c r="E23" s="1260"/>
      <c r="F23" s="1260">
        <v>14416</v>
      </c>
      <c r="G23" s="1260">
        <v>3010</v>
      </c>
      <c r="H23" s="1251"/>
      <c r="I23" s="1254"/>
      <c r="J23" s="1254"/>
      <c r="K23" s="1257"/>
      <c r="L23" s="1257"/>
      <c r="M23" s="1257">
        <v>2300</v>
      </c>
      <c r="N23" s="1257"/>
      <c r="O23" s="1257"/>
      <c r="P23" s="1257"/>
      <c r="Q23" s="1257"/>
      <c r="R23" s="1254"/>
      <c r="S23" s="1254"/>
      <c r="T23" s="1254"/>
      <c r="U23" s="1254"/>
      <c r="V23" s="1254"/>
      <c r="W23" s="1257"/>
      <c r="X23" s="1254"/>
      <c r="Y23" s="1254"/>
      <c r="Z23" s="1254"/>
      <c r="AA23" s="1254"/>
      <c r="AB23" s="1250"/>
      <c r="AC23" s="1250">
        <v>2700</v>
      </c>
      <c r="AD23" s="1250">
        <v>5000</v>
      </c>
      <c r="AE23" s="1250">
        <v>750</v>
      </c>
      <c r="AF23" s="1250"/>
      <c r="AG23" s="1250"/>
      <c r="AH23" s="1244"/>
      <c r="AI23" s="1244"/>
      <c r="AJ23" s="1244"/>
      <c r="AK23" s="1244"/>
      <c r="AL23" s="1244"/>
      <c r="AM23" s="1244"/>
      <c r="AN23" s="1244"/>
      <c r="AO23" s="1244"/>
      <c r="AP23" s="1244"/>
      <c r="AQ23" s="1244"/>
      <c r="AR23" s="1244"/>
      <c r="AS23" s="1244"/>
      <c r="AT23" s="1244"/>
      <c r="AU23" s="1244"/>
      <c r="AV23" s="1244"/>
    </row>
    <row r="24" spans="1:48">
      <c r="A24" s="1239">
        <v>2016</v>
      </c>
      <c r="B24" s="1246" t="s">
        <v>932</v>
      </c>
      <c r="C24" s="1246" t="s">
        <v>2113</v>
      </c>
      <c r="D24" s="1256"/>
      <c r="E24" s="1254">
        <v>1780</v>
      </c>
      <c r="F24" s="1254"/>
      <c r="G24" s="1254"/>
      <c r="H24" s="1254"/>
      <c r="I24" s="1251"/>
      <c r="J24" s="1259">
        <v>590</v>
      </c>
      <c r="K24" s="1256"/>
      <c r="L24" s="1256"/>
      <c r="M24" s="1256"/>
      <c r="N24" s="1256"/>
      <c r="O24" s="1256"/>
      <c r="P24" s="1256"/>
      <c r="Q24" s="1256"/>
      <c r="R24" s="1254"/>
      <c r="S24" s="1254">
        <v>1632</v>
      </c>
      <c r="T24" s="1254"/>
      <c r="U24" s="1254"/>
      <c r="V24" s="1254"/>
      <c r="W24" s="1256"/>
      <c r="X24" s="1254"/>
      <c r="Y24" s="1254"/>
      <c r="Z24" s="1254">
        <v>740</v>
      </c>
      <c r="AA24" s="1254"/>
      <c r="AB24" s="1250"/>
      <c r="AC24" s="1250"/>
      <c r="AD24" s="1250"/>
      <c r="AE24" s="1250"/>
      <c r="AF24" s="1250"/>
      <c r="AG24" s="1250"/>
      <c r="AH24" s="1244"/>
      <c r="AI24" s="1244"/>
      <c r="AJ24" s="1244"/>
      <c r="AK24" s="1244"/>
      <c r="AL24" s="1244"/>
      <c r="AM24" s="1244"/>
      <c r="AN24" s="1244"/>
      <c r="AO24" s="1244"/>
      <c r="AP24" s="1244"/>
      <c r="AQ24" s="1244"/>
      <c r="AR24" s="1244"/>
      <c r="AS24" s="1244"/>
      <c r="AT24" s="1244"/>
      <c r="AU24" s="1244"/>
      <c r="AV24" s="1244"/>
    </row>
    <row r="25" spans="1:48">
      <c r="A25" s="1239">
        <v>2016</v>
      </c>
      <c r="B25" s="1246" t="s">
        <v>932</v>
      </c>
      <c r="C25" s="1246" t="s">
        <v>2112</v>
      </c>
      <c r="D25" s="1256"/>
      <c r="E25" s="1254"/>
      <c r="F25" s="1254"/>
      <c r="G25" s="1254">
        <v>585</v>
      </c>
      <c r="H25" s="1254"/>
      <c r="I25" s="1259">
        <v>600</v>
      </c>
      <c r="J25" s="1251"/>
      <c r="K25" s="1256"/>
      <c r="L25" s="1256"/>
      <c r="M25" s="1256"/>
      <c r="N25" s="1256"/>
      <c r="O25" s="1256"/>
      <c r="P25" s="1256"/>
      <c r="Q25" s="1256"/>
      <c r="R25" s="1254"/>
      <c r="S25" s="1254"/>
      <c r="T25" s="1254"/>
      <c r="U25" s="1254"/>
      <c r="V25" s="1254"/>
      <c r="W25" s="1256"/>
      <c r="X25" s="1254"/>
      <c r="Y25" s="1254"/>
      <c r="Z25" s="1254"/>
      <c r="AA25" s="1254">
        <v>1700</v>
      </c>
      <c r="AB25" s="1250"/>
      <c r="AC25" s="1250"/>
      <c r="AD25" s="1250"/>
      <c r="AE25" s="1250"/>
      <c r="AF25" s="1250"/>
      <c r="AG25" s="1250"/>
      <c r="AH25" s="1244"/>
      <c r="AI25" s="1244"/>
      <c r="AJ25" s="1244"/>
      <c r="AK25" s="1244"/>
      <c r="AL25" s="1244"/>
      <c r="AM25" s="1244"/>
      <c r="AN25" s="1244"/>
      <c r="AO25" s="1244"/>
      <c r="AP25" s="1244"/>
      <c r="AQ25" s="1244"/>
      <c r="AR25" s="1244"/>
      <c r="AS25" s="1244"/>
      <c r="AT25" s="1244"/>
      <c r="AU25" s="1244"/>
      <c r="AV25" s="1244"/>
    </row>
    <row r="26" spans="1:48">
      <c r="A26" s="1239">
        <v>2016</v>
      </c>
      <c r="B26" s="1246" t="s">
        <v>932</v>
      </c>
      <c r="C26" s="1246" t="s">
        <v>2111</v>
      </c>
      <c r="E26" s="1257"/>
      <c r="F26" s="1257"/>
      <c r="G26" s="1257"/>
      <c r="H26" s="1257"/>
      <c r="I26" s="1256"/>
      <c r="J26" s="1256"/>
      <c r="K26" s="1251"/>
      <c r="L26" s="1239">
        <v>1016</v>
      </c>
      <c r="P26" s="1239">
        <v>1000</v>
      </c>
      <c r="R26" s="1255"/>
      <c r="S26" s="1255"/>
      <c r="T26" s="1255"/>
      <c r="U26" s="1255"/>
      <c r="V26" s="1255"/>
      <c r="X26" s="1253"/>
      <c r="Y26" s="1253"/>
      <c r="Z26" s="1253"/>
      <c r="AA26" s="1253"/>
      <c r="AB26" s="1250"/>
      <c r="AC26" s="1250"/>
      <c r="AD26" s="1250"/>
      <c r="AE26" s="1250"/>
      <c r="AF26" s="1250"/>
      <c r="AG26" s="1250"/>
      <c r="AH26" s="1244"/>
      <c r="AI26" s="1244"/>
      <c r="AJ26" s="1244"/>
      <c r="AK26" s="1244"/>
      <c r="AL26" s="1244"/>
      <c r="AM26" s="1244"/>
      <c r="AN26" s="1244"/>
      <c r="AO26" s="1244"/>
      <c r="AP26" s="1244"/>
      <c r="AQ26" s="1244"/>
      <c r="AR26" s="1244"/>
      <c r="AS26" s="1244"/>
      <c r="AT26" s="1244"/>
      <c r="AU26" s="1244"/>
      <c r="AV26" s="1244"/>
    </row>
    <row r="27" spans="1:48">
      <c r="A27" s="1239">
        <v>2016</v>
      </c>
      <c r="B27" s="1246" t="s">
        <v>932</v>
      </c>
      <c r="C27" s="1246" t="s">
        <v>2110</v>
      </c>
      <c r="E27" s="1257"/>
      <c r="F27" s="1257"/>
      <c r="G27" s="1257"/>
      <c r="H27" s="1257"/>
      <c r="I27" s="1256"/>
      <c r="J27" s="1256"/>
      <c r="K27" s="1239">
        <v>1016</v>
      </c>
      <c r="L27" s="1251"/>
      <c r="R27" s="1255"/>
      <c r="S27" s="1255"/>
      <c r="T27" s="1255"/>
      <c r="U27" s="1255"/>
      <c r="V27" s="1255"/>
      <c r="X27" s="1253">
        <v>1100</v>
      </c>
      <c r="Y27" s="1253"/>
      <c r="Z27" s="1253">
        <v>1200</v>
      </c>
      <c r="AA27" s="1253"/>
      <c r="AB27" s="1250"/>
      <c r="AC27" s="1250"/>
      <c r="AD27" s="1250"/>
      <c r="AE27" s="1250"/>
      <c r="AF27" s="1250"/>
      <c r="AG27" s="1250"/>
      <c r="AH27" s="1244"/>
      <c r="AI27" s="1244"/>
      <c r="AJ27" s="1244"/>
      <c r="AK27" s="1244"/>
      <c r="AL27" s="1244"/>
      <c r="AM27" s="1244"/>
      <c r="AN27" s="1244"/>
      <c r="AO27" s="1244"/>
      <c r="AP27" s="1244"/>
      <c r="AQ27" s="1244"/>
      <c r="AR27" s="1244"/>
      <c r="AS27" s="1244"/>
      <c r="AT27" s="1244"/>
      <c r="AU27" s="1244"/>
      <c r="AV27" s="1244"/>
    </row>
    <row r="28" spans="1:48">
      <c r="A28" s="1239">
        <v>2016</v>
      </c>
      <c r="B28" s="1246" t="s">
        <v>932</v>
      </c>
      <c r="C28" s="1246" t="s">
        <v>2109</v>
      </c>
      <c r="D28" s="1239">
        <v>3300</v>
      </c>
      <c r="E28" s="1257"/>
      <c r="F28" s="1257"/>
      <c r="G28" s="1257"/>
      <c r="H28" s="1257">
        <v>1800</v>
      </c>
      <c r="I28" s="1256"/>
      <c r="J28" s="1256"/>
      <c r="M28" s="1251"/>
      <c r="N28" s="1239">
        <v>2000</v>
      </c>
      <c r="R28" s="1255"/>
      <c r="S28" s="1255"/>
      <c r="T28" s="1255"/>
      <c r="U28" s="1255"/>
      <c r="V28" s="1255"/>
      <c r="X28" s="1253"/>
      <c r="Y28" s="1253"/>
      <c r="Z28" s="1253"/>
      <c r="AA28" s="1253"/>
      <c r="AB28" s="1250">
        <v>4400</v>
      </c>
      <c r="AC28" s="1250">
        <v>3150</v>
      </c>
      <c r="AD28" s="1250"/>
      <c r="AE28" s="1250"/>
      <c r="AF28" s="1250">
        <v>2600</v>
      </c>
      <c r="AG28" s="1250"/>
      <c r="AH28" s="1244"/>
      <c r="AI28" s="1244"/>
      <c r="AJ28" s="1244"/>
      <c r="AK28" s="1244"/>
      <c r="AL28" s="1244"/>
      <c r="AM28" s="1244"/>
      <c r="AN28" s="1244"/>
      <c r="AO28" s="1244"/>
      <c r="AP28" s="1244"/>
      <c r="AQ28" s="1244"/>
      <c r="AR28" s="1244"/>
      <c r="AS28" s="1244"/>
      <c r="AT28" s="1244"/>
      <c r="AU28" s="1244"/>
      <c r="AV28" s="1244"/>
    </row>
    <row r="29" spans="1:48">
      <c r="A29" s="1239">
        <v>2016</v>
      </c>
      <c r="B29" s="1246" t="s">
        <v>932</v>
      </c>
      <c r="C29" s="1246" t="s">
        <v>2108</v>
      </c>
      <c r="E29" s="1257"/>
      <c r="F29" s="1257"/>
      <c r="G29" s="1257"/>
      <c r="H29" s="1257"/>
      <c r="I29" s="1256"/>
      <c r="J29" s="1256"/>
      <c r="M29" s="1239">
        <v>2000</v>
      </c>
      <c r="N29" s="1251"/>
      <c r="Q29" s="1239">
        <v>1000</v>
      </c>
      <c r="R29" s="1255"/>
      <c r="S29" s="1255"/>
      <c r="T29" s="1255"/>
      <c r="U29" s="1255"/>
      <c r="V29" s="1255"/>
      <c r="X29" s="1253"/>
      <c r="Y29" s="1253"/>
      <c r="Z29" s="1253"/>
      <c r="AA29" s="1253"/>
      <c r="AB29" s="1250"/>
      <c r="AC29" s="1250"/>
      <c r="AD29" s="1250"/>
      <c r="AE29" s="1250"/>
      <c r="AF29" s="1250"/>
      <c r="AG29" s="1250"/>
      <c r="AH29" s="1244"/>
      <c r="AI29" s="1244"/>
      <c r="AJ29" s="1244"/>
      <c r="AK29" s="1244"/>
      <c r="AL29" s="1244"/>
      <c r="AM29" s="1244"/>
      <c r="AN29" s="1244"/>
      <c r="AO29" s="1244"/>
      <c r="AP29" s="1244"/>
      <c r="AQ29" s="1244"/>
      <c r="AR29" s="1244"/>
      <c r="AS29" s="1244"/>
      <c r="AT29" s="1244"/>
      <c r="AU29" s="1244"/>
      <c r="AV29" s="1244"/>
    </row>
    <row r="30" spans="1:48">
      <c r="A30" s="1239">
        <v>2016</v>
      </c>
      <c r="B30" s="1246" t="s">
        <v>932</v>
      </c>
      <c r="C30" s="1246" t="s">
        <v>2107</v>
      </c>
      <c r="E30" s="1257"/>
      <c r="F30" s="1257"/>
      <c r="G30" s="1257"/>
      <c r="H30" s="1257"/>
      <c r="I30" s="1256"/>
      <c r="J30" s="1256"/>
      <c r="O30" s="1251"/>
      <c r="P30" s="1239">
        <v>684</v>
      </c>
      <c r="R30" s="1255"/>
      <c r="S30" s="1255"/>
      <c r="T30" s="1255"/>
      <c r="U30" s="1255"/>
      <c r="V30" s="1255"/>
      <c r="W30" s="1239">
        <v>500</v>
      </c>
      <c r="X30" s="1253"/>
      <c r="Y30" s="1253"/>
      <c r="Z30" s="1253"/>
      <c r="AA30" s="1253">
        <v>700</v>
      </c>
      <c r="AB30" s="1250"/>
      <c r="AC30" s="1250"/>
      <c r="AD30" s="1250"/>
      <c r="AE30" s="1250"/>
      <c r="AF30" s="1250"/>
      <c r="AG30" s="1250"/>
      <c r="AH30" s="1244"/>
      <c r="AI30" s="1244"/>
      <c r="AJ30" s="1244"/>
      <c r="AK30" s="1244"/>
      <c r="AL30" s="1244"/>
      <c r="AM30" s="1244"/>
      <c r="AN30" s="1244"/>
      <c r="AO30" s="1244"/>
      <c r="AP30" s="1244"/>
      <c r="AQ30" s="1244"/>
      <c r="AR30" s="1244"/>
      <c r="AS30" s="1244"/>
      <c r="AT30" s="1244"/>
      <c r="AU30" s="1244"/>
      <c r="AV30" s="1244"/>
    </row>
    <row r="31" spans="1:48">
      <c r="A31" s="1239">
        <v>2016</v>
      </c>
      <c r="B31" s="1246" t="s">
        <v>932</v>
      </c>
      <c r="C31" s="1246" t="s">
        <v>2106</v>
      </c>
      <c r="E31" s="1257"/>
      <c r="F31" s="1257"/>
      <c r="G31" s="1257"/>
      <c r="H31" s="1257"/>
      <c r="I31" s="1256"/>
      <c r="J31" s="1256"/>
      <c r="K31" s="1239">
        <v>879</v>
      </c>
      <c r="O31" s="1239">
        <v>1234</v>
      </c>
      <c r="P31" s="1251"/>
      <c r="R31" s="1255"/>
      <c r="S31" s="1255"/>
      <c r="T31" s="1255"/>
      <c r="U31" s="1255"/>
      <c r="V31" s="1255"/>
      <c r="X31" s="1253"/>
      <c r="Y31" s="1253"/>
      <c r="Z31" s="1253"/>
      <c r="AA31" s="1253"/>
      <c r="AB31" s="1250"/>
      <c r="AC31" s="1250"/>
      <c r="AD31" s="1250"/>
      <c r="AE31" s="1250"/>
      <c r="AF31" s="1250"/>
      <c r="AG31" s="1250"/>
      <c r="AH31" s="1244"/>
      <c r="AI31" s="1244"/>
      <c r="AJ31" s="1244"/>
      <c r="AK31" s="1244"/>
      <c r="AL31" s="1244"/>
      <c r="AM31" s="1244"/>
      <c r="AN31" s="1244"/>
      <c r="AO31" s="1244"/>
      <c r="AP31" s="1244"/>
      <c r="AQ31" s="1244"/>
      <c r="AR31" s="1244"/>
      <c r="AS31" s="1244"/>
      <c r="AT31" s="1244"/>
      <c r="AU31" s="1244"/>
      <c r="AV31" s="1244"/>
    </row>
    <row r="32" spans="1:48">
      <c r="A32" s="1239">
        <v>2016</v>
      </c>
      <c r="B32" s="1246" t="s">
        <v>932</v>
      </c>
      <c r="C32" s="1246" t="s">
        <v>2105</v>
      </c>
      <c r="D32" s="1239">
        <v>1400</v>
      </c>
      <c r="E32" s="1257"/>
      <c r="F32" s="1257">
        <v>3100</v>
      </c>
      <c r="G32" s="1257"/>
      <c r="H32" s="1257"/>
      <c r="I32" s="1256"/>
      <c r="J32" s="1256"/>
      <c r="N32" s="1239">
        <v>1000</v>
      </c>
      <c r="Q32" s="1251"/>
      <c r="R32" s="1255"/>
      <c r="S32" s="1255">
        <v>700</v>
      </c>
      <c r="T32" s="1255"/>
      <c r="U32" s="1255"/>
      <c r="V32" s="1255"/>
      <c r="X32" s="1253"/>
      <c r="Y32" s="1253"/>
      <c r="Z32" s="1253"/>
      <c r="AA32" s="1253"/>
      <c r="AB32" s="1250"/>
      <c r="AC32" s="1250"/>
      <c r="AD32" s="1250"/>
      <c r="AE32" s="1250"/>
      <c r="AF32" s="1250"/>
      <c r="AG32" s="1250"/>
      <c r="AH32" s="1244"/>
      <c r="AI32" s="1244"/>
      <c r="AJ32" s="1244"/>
      <c r="AK32" s="1244"/>
      <c r="AL32" s="1244"/>
      <c r="AM32" s="1244"/>
      <c r="AN32" s="1244"/>
      <c r="AO32" s="1244"/>
      <c r="AP32" s="1244"/>
      <c r="AQ32" s="1244"/>
      <c r="AR32" s="1244"/>
      <c r="AS32" s="1244"/>
      <c r="AT32" s="1244"/>
      <c r="AU32" s="1244"/>
      <c r="AV32" s="1244"/>
    </row>
    <row r="33" spans="1:48">
      <c r="A33" s="1239">
        <v>2016</v>
      </c>
      <c r="B33" s="1246" t="s">
        <v>932</v>
      </c>
      <c r="C33" s="1246" t="s">
        <v>2104</v>
      </c>
      <c r="D33" s="1255"/>
      <c r="E33" s="1254"/>
      <c r="F33" s="1254"/>
      <c r="G33" s="1254"/>
      <c r="H33" s="1254"/>
      <c r="I33" s="1254"/>
      <c r="J33" s="1254"/>
      <c r="K33" s="1255"/>
      <c r="L33" s="1255"/>
      <c r="M33" s="1255"/>
      <c r="N33" s="1255"/>
      <c r="O33" s="1255"/>
      <c r="P33" s="1255"/>
      <c r="Q33" s="1255"/>
      <c r="R33" s="1251"/>
      <c r="S33" s="1258">
        <v>2200</v>
      </c>
      <c r="T33" s="1258">
        <v>500</v>
      </c>
      <c r="U33" s="1258"/>
      <c r="V33" s="1258">
        <v>300</v>
      </c>
      <c r="W33" s="1255"/>
      <c r="X33" s="1254"/>
      <c r="Y33" s="1254"/>
      <c r="Z33" s="1254">
        <v>2145</v>
      </c>
      <c r="AA33" s="1254"/>
      <c r="AB33" s="1250"/>
      <c r="AC33" s="1250"/>
      <c r="AD33" s="1250"/>
      <c r="AE33" s="1250"/>
      <c r="AF33" s="1250"/>
      <c r="AG33" s="1250"/>
      <c r="AH33" s="1244"/>
      <c r="AI33" s="1244"/>
      <c r="AJ33" s="1244"/>
      <c r="AK33" s="1244"/>
      <c r="AL33" s="1244"/>
      <c r="AM33" s="1244"/>
      <c r="AN33" s="1244"/>
      <c r="AO33" s="1244"/>
      <c r="AP33" s="1244"/>
      <c r="AQ33" s="1244"/>
      <c r="AR33" s="1244"/>
      <c r="AS33" s="1244"/>
      <c r="AT33" s="1244"/>
      <c r="AU33" s="1244"/>
      <c r="AV33" s="1244"/>
    </row>
    <row r="34" spans="1:48">
      <c r="A34" s="1239">
        <v>2016</v>
      </c>
      <c r="B34" s="1246" t="s">
        <v>932</v>
      </c>
      <c r="C34" s="1246" t="s">
        <v>893</v>
      </c>
      <c r="D34" s="1255"/>
      <c r="E34" s="1254"/>
      <c r="F34" s="1254"/>
      <c r="G34" s="1254"/>
      <c r="H34" s="1254"/>
      <c r="I34" s="1254">
        <v>1632</v>
      </c>
      <c r="J34" s="1254"/>
      <c r="K34" s="1255"/>
      <c r="L34" s="1255"/>
      <c r="M34" s="1255"/>
      <c r="N34" s="1255"/>
      <c r="O34" s="1255"/>
      <c r="P34" s="1255"/>
      <c r="Q34" s="1255">
        <v>700</v>
      </c>
      <c r="R34" s="1258">
        <v>3500</v>
      </c>
      <c r="S34" s="1251"/>
      <c r="T34" s="1258"/>
      <c r="U34" s="1258"/>
      <c r="V34" s="1258">
        <v>500</v>
      </c>
      <c r="W34" s="1255"/>
      <c r="X34" s="1254"/>
      <c r="Y34" s="1254"/>
      <c r="Z34" s="1254"/>
      <c r="AA34" s="1254"/>
      <c r="AB34" s="1250"/>
      <c r="AC34" s="1250"/>
      <c r="AD34" s="1250"/>
      <c r="AE34" s="1250"/>
      <c r="AF34" s="1250"/>
      <c r="AG34" s="1250"/>
      <c r="AH34" s="1244"/>
      <c r="AI34" s="1244"/>
      <c r="AJ34" s="1244"/>
      <c r="AK34" s="1244"/>
      <c r="AL34" s="1244"/>
      <c r="AM34" s="1244"/>
      <c r="AN34" s="1244"/>
      <c r="AO34" s="1244"/>
      <c r="AP34" s="1244"/>
      <c r="AQ34" s="1244"/>
      <c r="AR34" s="1244"/>
      <c r="AS34" s="1244"/>
      <c r="AT34" s="1244"/>
      <c r="AU34" s="1244"/>
      <c r="AV34" s="1244"/>
    </row>
    <row r="35" spans="1:48">
      <c r="A35" s="1239">
        <v>2016</v>
      </c>
      <c r="B35" s="1246" t="s">
        <v>932</v>
      </c>
      <c r="C35" s="1246" t="s">
        <v>2103</v>
      </c>
      <c r="D35" s="1255"/>
      <c r="E35" s="1254"/>
      <c r="F35" s="1254"/>
      <c r="G35" s="1254"/>
      <c r="H35" s="1254"/>
      <c r="I35" s="1254"/>
      <c r="J35" s="1254"/>
      <c r="K35" s="1255"/>
      <c r="L35" s="1255"/>
      <c r="M35" s="1255"/>
      <c r="N35" s="1255"/>
      <c r="O35" s="1255"/>
      <c r="P35" s="1255"/>
      <c r="Q35" s="1255"/>
      <c r="R35" s="1258">
        <v>500</v>
      </c>
      <c r="S35" s="1258"/>
      <c r="T35" s="1251"/>
      <c r="U35" s="1258">
        <v>200</v>
      </c>
      <c r="V35" s="1258">
        <v>200</v>
      </c>
      <c r="W35" s="1255"/>
      <c r="X35" s="1254"/>
      <c r="Y35" s="1254">
        <v>600</v>
      </c>
      <c r="Z35" s="1254"/>
      <c r="AA35" s="1254"/>
      <c r="AB35" s="1250"/>
      <c r="AC35" s="1250"/>
      <c r="AD35" s="1250"/>
      <c r="AE35" s="1250"/>
      <c r="AF35" s="1250"/>
      <c r="AG35" s="1250"/>
      <c r="AH35" s="1244"/>
      <c r="AI35" s="1244"/>
      <c r="AJ35" s="1244"/>
      <c r="AK35" s="1244"/>
      <c r="AL35" s="1244"/>
      <c r="AM35" s="1244"/>
      <c r="AN35" s="1244"/>
      <c r="AO35" s="1244"/>
      <c r="AP35" s="1244"/>
      <c r="AQ35" s="1244"/>
      <c r="AR35" s="1244"/>
      <c r="AS35" s="1244"/>
      <c r="AT35" s="1244"/>
      <c r="AU35" s="1244"/>
      <c r="AV35" s="1244"/>
    </row>
    <row r="36" spans="1:48">
      <c r="A36" s="1239">
        <v>2016</v>
      </c>
      <c r="B36" s="1246" t="s">
        <v>932</v>
      </c>
      <c r="C36" s="1246" t="s">
        <v>2102</v>
      </c>
      <c r="D36" s="1255"/>
      <c r="E36" s="1254"/>
      <c r="F36" s="1254"/>
      <c r="G36" s="1254"/>
      <c r="H36" s="1254"/>
      <c r="I36" s="1254"/>
      <c r="J36" s="1254"/>
      <c r="K36" s="1255"/>
      <c r="L36" s="1255"/>
      <c r="M36" s="1255"/>
      <c r="N36" s="1255"/>
      <c r="O36" s="1255"/>
      <c r="P36" s="1255"/>
      <c r="Q36" s="1255"/>
      <c r="R36" s="1258"/>
      <c r="S36" s="1258"/>
      <c r="T36" s="1258">
        <v>1000</v>
      </c>
      <c r="U36" s="1251"/>
      <c r="V36" s="1258"/>
      <c r="W36" s="1255"/>
      <c r="X36" s="1254">
        <v>700</v>
      </c>
      <c r="Y36" s="1254">
        <v>250</v>
      </c>
      <c r="Z36" s="1254"/>
      <c r="AA36" s="1254"/>
      <c r="AB36" s="1250"/>
      <c r="AC36" s="1250"/>
      <c r="AD36" s="1250"/>
      <c r="AE36" s="1250"/>
      <c r="AF36" s="1250"/>
      <c r="AG36" s="1250"/>
      <c r="AH36" s="1244"/>
      <c r="AI36" s="1244"/>
      <c r="AJ36" s="1244"/>
      <c r="AK36" s="1244"/>
      <c r="AL36" s="1244"/>
      <c r="AM36" s="1244"/>
      <c r="AN36" s="1244"/>
      <c r="AO36" s="1244"/>
      <c r="AP36" s="1244"/>
      <c r="AQ36" s="1244"/>
      <c r="AR36" s="1244"/>
      <c r="AS36" s="1244"/>
      <c r="AT36" s="1244"/>
      <c r="AU36" s="1244"/>
      <c r="AV36" s="1244"/>
    </row>
    <row r="37" spans="1:48">
      <c r="A37" s="1239">
        <v>2016</v>
      </c>
      <c r="B37" s="1246" t="s">
        <v>932</v>
      </c>
      <c r="C37" s="1246" t="s">
        <v>2101</v>
      </c>
      <c r="D37" s="1255"/>
      <c r="E37" s="1254"/>
      <c r="F37" s="1254"/>
      <c r="G37" s="1254"/>
      <c r="H37" s="1254"/>
      <c r="I37" s="1254"/>
      <c r="J37" s="1254"/>
      <c r="K37" s="1255"/>
      <c r="L37" s="1255"/>
      <c r="M37" s="1255"/>
      <c r="N37" s="1255"/>
      <c r="O37" s="1255"/>
      <c r="P37" s="1255"/>
      <c r="Q37" s="1255"/>
      <c r="R37" s="1258">
        <v>3900</v>
      </c>
      <c r="S37" s="1258">
        <v>600</v>
      </c>
      <c r="T37" s="1258">
        <v>200</v>
      </c>
      <c r="U37" s="1258"/>
      <c r="V37" s="1251"/>
      <c r="W37" s="1255"/>
      <c r="X37" s="1253"/>
      <c r="Y37" s="1253"/>
      <c r="Z37" s="1253"/>
      <c r="AA37" s="1253"/>
      <c r="AB37" s="1250"/>
      <c r="AC37" s="1250"/>
      <c r="AD37" s="1250"/>
      <c r="AE37" s="1250"/>
      <c r="AF37" s="1250"/>
      <c r="AG37" s="1250"/>
      <c r="AH37" s="1244"/>
      <c r="AI37" s="1244"/>
      <c r="AJ37" s="1244"/>
      <c r="AK37" s="1244"/>
      <c r="AL37" s="1244"/>
      <c r="AM37" s="1244"/>
      <c r="AN37" s="1244"/>
      <c r="AO37" s="1244"/>
      <c r="AP37" s="1244"/>
      <c r="AQ37" s="1244"/>
      <c r="AR37" s="1244"/>
      <c r="AS37" s="1244"/>
      <c r="AT37" s="1244"/>
      <c r="AU37" s="1244"/>
      <c r="AV37" s="1244"/>
    </row>
    <row r="38" spans="1:48">
      <c r="A38" s="1239">
        <v>2016</v>
      </c>
      <c r="B38" s="1246" t="s">
        <v>932</v>
      </c>
      <c r="C38" s="1246" t="s">
        <v>2100</v>
      </c>
      <c r="E38" s="1257"/>
      <c r="F38" s="1257"/>
      <c r="G38" s="1257">
        <v>2500</v>
      </c>
      <c r="H38" s="1257"/>
      <c r="I38" s="1256"/>
      <c r="J38" s="1256"/>
      <c r="O38" s="1239">
        <v>500</v>
      </c>
      <c r="R38" s="1255"/>
      <c r="S38" s="1255"/>
      <c r="T38" s="1255"/>
      <c r="U38" s="1255"/>
      <c r="V38" s="1255"/>
      <c r="W38" s="1251"/>
      <c r="X38" s="1253"/>
      <c r="Y38" s="1253"/>
      <c r="Z38" s="1253"/>
      <c r="AA38" s="1253">
        <v>600</v>
      </c>
      <c r="AB38" s="1250"/>
      <c r="AC38" s="1250"/>
      <c r="AD38" s="1250"/>
      <c r="AE38" s="1250">
        <v>800</v>
      </c>
      <c r="AF38" s="1250"/>
      <c r="AG38" s="1250"/>
      <c r="AH38" s="1244"/>
      <c r="AI38" s="1244"/>
      <c r="AJ38" s="1244"/>
      <c r="AK38" s="1244"/>
      <c r="AL38" s="1244"/>
      <c r="AM38" s="1244"/>
      <c r="AN38" s="1244"/>
      <c r="AO38" s="1244"/>
      <c r="AP38" s="1244"/>
      <c r="AQ38" s="1244"/>
      <c r="AR38" s="1244"/>
      <c r="AS38" s="1244"/>
      <c r="AT38" s="1244"/>
      <c r="AU38" s="1244"/>
      <c r="AV38" s="1244"/>
    </row>
    <row r="39" spans="1:48">
      <c r="A39" s="1239">
        <v>2016</v>
      </c>
      <c r="B39" s="1246" t="s">
        <v>932</v>
      </c>
      <c r="C39" s="1246" t="s">
        <v>2099</v>
      </c>
      <c r="D39" s="1253"/>
      <c r="E39" s="1254"/>
      <c r="F39" s="1254"/>
      <c r="G39" s="1254"/>
      <c r="H39" s="1254"/>
      <c r="I39" s="1254"/>
      <c r="J39" s="1254"/>
      <c r="K39" s="1253"/>
      <c r="L39" s="1253">
        <v>1500</v>
      </c>
      <c r="M39" s="1253"/>
      <c r="N39" s="1253"/>
      <c r="O39" s="1253"/>
      <c r="P39" s="1253"/>
      <c r="Q39" s="1253"/>
      <c r="R39" s="1254"/>
      <c r="S39" s="1254"/>
      <c r="T39" s="1254"/>
      <c r="U39" s="1254">
        <v>600</v>
      </c>
      <c r="V39" s="1254"/>
      <c r="W39" s="1253"/>
      <c r="X39" s="1251"/>
      <c r="Y39" s="1252">
        <v>3300</v>
      </c>
      <c r="Z39" s="1252"/>
      <c r="AA39" s="1252"/>
      <c r="AB39" s="1250"/>
      <c r="AC39" s="1250"/>
      <c r="AD39" s="1250"/>
      <c r="AE39" s="1250"/>
      <c r="AF39" s="1250"/>
      <c r="AG39" s="1250"/>
      <c r="AH39" s="1244"/>
      <c r="AI39" s="1244"/>
      <c r="AJ39" s="1244"/>
      <c r="AK39" s="1244"/>
      <c r="AL39" s="1244"/>
      <c r="AM39" s="1244"/>
      <c r="AN39" s="1244"/>
      <c r="AO39" s="1244"/>
      <c r="AP39" s="1244"/>
      <c r="AQ39" s="1244"/>
      <c r="AR39" s="1244"/>
      <c r="AS39" s="1244"/>
      <c r="AT39" s="1244"/>
      <c r="AU39" s="1244"/>
      <c r="AV39" s="1244"/>
    </row>
    <row r="40" spans="1:48">
      <c r="A40" s="1239">
        <v>2016</v>
      </c>
      <c r="B40" s="1246" t="s">
        <v>932</v>
      </c>
      <c r="C40" s="1246" t="s">
        <v>2098</v>
      </c>
      <c r="D40" s="1253"/>
      <c r="E40" s="1254"/>
      <c r="F40" s="1254"/>
      <c r="G40" s="1254"/>
      <c r="H40" s="1254"/>
      <c r="I40" s="1254"/>
      <c r="J40" s="1254"/>
      <c r="K40" s="1253"/>
      <c r="L40" s="1253"/>
      <c r="M40" s="1253"/>
      <c r="N40" s="1253"/>
      <c r="O40" s="1253"/>
      <c r="P40" s="1253"/>
      <c r="Q40" s="1253"/>
      <c r="R40" s="1254"/>
      <c r="S40" s="1254"/>
      <c r="T40" s="1254">
        <v>1000</v>
      </c>
      <c r="U40" s="1254">
        <v>300</v>
      </c>
      <c r="V40" s="1254"/>
      <c r="W40" s="1253"/>
      <c r="X40" s="1252">
        <v>3300</v>
      </c>
      <c r="Y40" s="1251"/>
      <c r="Z40" s="1252">
        <v>7300</v>
      </c>
      <c r="AA40" s="1252"/>
      <c r="AB40" s="1250"/>
      <c r="AC40" s="1250"/>
      <c r="AD40" s="1250"/>
      <c r="AE40" s="1250"/>
      <c r="AF40" s="1250"/>
      <c r="AG40" s="1250"/>
      <c r="AH40" s="1244"/>
      <c r="AI40" s="1244"/>
      <c r="AJ40" s="1244"/>
      <c r="AK40" s="1244"/>
      <c r="AL40" s="1244"/>
      <c r="AM40" s="1244"/>
      <c r="AN40" s="1244"/>
      <c r="AO40" s="1244"/>
      <c r="AP40" s="1244"/>
      <c r="AQ40" s="1244"/>
      <c r="AR40" s="1244"/>
      <c r="AS40" s="1244"/>
      <c r="AT40" s="1244"/>
      <c r="AU40" s="1244"/>
      <c r="AV40" s="1244"/>
    </row>
    <row r="41" spans="1:48">
      <c r="A41" s="1239">
        <v>2016</v>
      </c>
      <c r="B41" s="1246" t="s">
        <v>932</v>
      </c>
      <c r="C41" s="1246" t="s">
        <v>2097</v>
      </c>
      <c r="D41" s="1253"/>
      <c r="E41" s="1254"/>
      <c r="F41" s="1254"/>
      <c r="G41" s="1254"/>
      <c r="H41" s="1254"/>
      <c r="I41" s="1254">
        <v>680</v>
      </c>
      <c r="J41" s="1254"/>
      <c r="K41" s="1253"/>
      <c r="L41" s="1253">
        <v>1200</v>
      </c>
      <c r="M41" s="1253"/>
      <c r="N41" s="1253"/>
      <c r="O41" s="1253"/>
      <c r="P41" s="1253"/>
      <c r="Q41" s="1253"/>
      <c r="R41" s="1254">
        <v>2095</v>
      </c>
      <c r="S41" s="1254"/>
      <c r="T41" s="1254"/>
      <c r="U41" s="1254"/>
      <c r="V41" s="1254"/>
      <c r="W41" s="1253"/>
      <c r="X41" s="1252"/>
      <c r="Y41" s="1252">
        <v>7300</v>
      </c>
      <c r="Z41" s="1251"/>
      <c r="AA41" s="1252">
        <v>5300</v>
      </c>
      <c r="AB41" s="1250"/>
      <c r="AC41" s="1250"/>
      <c r="AD41" s="1250"/>
      <c r="AE41" s="1250"/>
      <c r="AF41" s="1250"/>
      <c r="AG41" s="1250"/>
      <c r="AH41" s="1244"/>
      <c r="AI41" s="1244"/>
      <c r="AJ41" s="1244"/>
      <c r="AK41" s="1244"/>
      <c r="AL41" s="1244"/>
      <c r="AM41" s="1244"/>
      <c r="AN41" s="1244"/>
      <c r="AO41" s="1244"/>
      <c r="AP41" s="1244"/>
      <c r="AQ41" s="1244"/>
      <c r="AR41" s="1244"/>
      <c r="AS41" s="1244"/>
      <c r="AT41" s="1244"/>
      <c r="AU41" s="1244"/>
      <c r="AV41" s="1244"/>
    </row>
    <row r="42" spans="1:48">
      <c r="A42" s="1239">
        <v>2016</v>
      </c>
      <c r="B42" s="1246" t="s">
        <v>932</v>
      </c>
      <c r="C42" s="1246" t="s">
        <v>2096</v>
      </c>
      <c r="D42" s="1253"/>
      <c r="E42" s="1254">
        <v>600</v>
      </c>
      <c r="F42" s="1254"/>
      <c r="G42" s="1254"/>
      <c r="H42" s="1254"/>
      <c r="I42" s="1254"/>
      <c r="J42" s="1254">
        <v>1300</v>
      </c>
      <c r="K42" s="1253"/>
      <c r="L42" s="1253"/>
      <c r="M42" s="1253"/>
      <c r="N42" s="1253"/>
      <c r="O42" s="1253">
        <v>700</v>
      </c>
      <c r="P42" s="1253"/>
      <c r="Q42" s="1253"/>
      <c r="R42" s="1254"/>
      <c r="S42" s="1254"/>
      <c r="T42" s="1254"/>
      <c r="U42" s="1254"/>
      <c r="V42" s="1254"/>
      <c r="W42" s="1253">
        <v>600</v>
      </c>
      <c r="X42" s="1252"/>
      <c r="Y42" s="1252"/>
      <c r="Z42" s="1252">
        <v>2000</v>
      </c>
      <c r="AA42" s="1251"/>
      <c r="AB42" s="1250"/>
      <c r="AC42" s="1250"/>
      <c r="AD42" s="1250"/>
      <c r="AE42" s="1250"/>
      <c r="AF42" s="1250"/>
      <c r="AG42" s="1250"/>
      <c r="AH42" s="1244"/>
      <c r="AI42" s="1244"/>
      <c r="AJ42" s="1244"/>
      <c r="AK42" s="1244"/>
      <c r="AL42" s="1244"/>
      <c r="AM42" s="1244"/>
      <c r="AN42" s="1244"/>
      <c r="AO42" s="1244"/>
      <c r="AP42" s="1244"/>
      <c r="AQ42" s="1244"/>
      <c r="AR42" s="1244"/>
      <c r="AS42" s="1244"/>
      <c r="AT42" s="1244"/>
      <c r="AU42" s="1244"/>
      <c r="AV42" s="1244"/>
    </row>
    <row r="43" spans="1:48">
      <c r="A43" s="1239">
        <v>2016</v>
      </c>
      <c r="B43" s="1246" t="s">
        <v>932</v>
      </c>
      <c r="C43" s="1250" t="s">
        <v>2095</v>
      </c>
      <c r="D43" s="1250"/>
      <c r="E43" s="1250"/>
      <c r="F43" s="1250"/>
      <c r="G43" s="1250"/>
      <c r="H43" s="1250"/>
      <c r="I43" s="1250"/>
      <c r="J43" s="1250"/>
      <c r="K43" s="1250"/>
      <c r="L43" s="1250"/>
      <c r="M43" s="1250">
        <v>2310</v>
      </c>
      <c r="N43" s="1250"/>
      <c r="O43" s="1250"/>
      <c r="P43" s="1250"/>
      <c r="Q43" s="1250"/>
      <c r="R43" s="1250"/>
      <c r="S43" s="1250"/>
      <c r="T43" s="1250"/>
      <c r="U43" s="1250"/>
      <c r="V43" s="1250"/>
      <c r="W43" s="1250"/>
      <c r="X43" s="1250"/>
      <c r="Y43" s="1250"/>
      <c r="Z43" s="1250"/>
      <c r="AA43" s="1250"/>
      <c r="AB43" s="1249"/>
      <c r="AC43" s="1250">
        <v>1910</v>
      </c>
      <c r="AD43" s="1250">
        <v>235</v>
      </c>
      <c r="AE43" s="1250"/>
      <c r="AF43" s="1250"/>
      <c r="AG43" s="1250"/>
      <c r="AH43" s="1244"/>
      <c r="AI43" s="1244"/>
      <c r="AJ43" s="1244"/>
      <c r="AK43" s="1244"/>
      <c r="AL43" s="1244"/>
      <c r="AM43" s="1244"/>
      <c r="AN43" s="1244"/>
      <c r="AO43" s="1244"/>
      <c r="AP43" s="1244"/>
      <c r="AQ43" s="1244"/>
      <c r="AR43" s="1244"/>
      <c r="AS43" s="1244"/>
      <c r="AT43" s="1244"/>
      <c r="AU43" s="1244"/>
      <c r="AV43" s="1244"/>
    </row>
    <row r="44" spans="1:48">
      <c r="A44" s="1239">
        <v>2016</v>
      </c>
      <c r="B44" s="1246" t="s">
        <v>932</v>
      </c>
      <c r="C44" s="1250" t="s">
        <v>2094</v>
      </c>
      <c r="D44" s="1250"/>
      <c r="E44" s="1250"/>
      <c r="F44" s="1250"/>
      <c r="G44" s="1250"/>
      <c r="H44" s="1250">
        <v>4600</v>
      </c>
      <c r="I44" s="1250"/>
      <c r="J44" s="1250"/>
      <c r="K44" s="1250"/>
      <c r="L44" s="1250"/>
      <c r="M44" s="1250">
        <v>1300</v>
      </c>
      <c r="N44" s="1250"/>
      <c r="O44" s="1250"/>
      <c r="P44" s="1250"/>
      <c r="Q44" s="1250"/>
      <c r="R44" s="1250"/>
      <c r="S44" s="1250"/>
      <c r="T44" s="1250"/>
      <c r="U44" s="1250"/>
      <c r="V44" s="1250"/>
      <c r="W44" s="1250"/>
      <c r="X44" s="1250"/>
      <c r="Y44" s="1250"/>
      <c r="Z44" s="1250"/>
      <c r="AA44" s="1250"/>
      <c r="AB44" s="1250">
        <v>4240</v>
      </c>
      <c r="AC44" s="1249"/>
      <c r="AD44" s="1250">
        <v>1200</v>
      </c>
      <c r="AE44" s="1250"/>
      <c r="AF44" s="1250"/>
      <c r="AG44" s="1250"/>
      <c r="AH44" s="1244"/>
      <c r="AI44" s="1244"/>
      <c r="AJ44" s="1244"/>
      <c r="AK44" s="1244"/>
      <c r="AL44" s="1244"/>
      <c r="AM44" s="1244"/>
      <c r="AN44" s="1244"/>
      <c r="AO44" s="1244"/>
      <c r="AP44" s="1244"/>
      <c r="AQ44" s="1244"/>
      <c r="AR44" s="1244"/>
      <c r="AS44" s="1244"/>
      <c r="AT44" s="1244"/>
      <c r="AU44" s="1244"/>
      <c r="AV44" s="1244"/>
    </row>
    <row r="45" spans="1:48">
      <c r="A45" s="1239">
        <v>2016</v>
      </c>
      <c r="B45" s="1246" t="s">
        <v>932</v>
      </c>
      <c r="C45" s="1250" t="s">
        <v>2093</v>
      </c>
      <c r="D45" s="1250"/>
      <c r="E45" s="1250"/>
      <c r="F45" s="1250"/>
      <c r="G45" s="1250"/>
      <c r="H45" s="1250">
        <v>5000</v>
      </c>
      <c r="I45" s="1250"/>
      <c r="J45" s="1250"/>
      <c r="K45" s="1250"/>
      <c r="L45" s="1250"/>
      <c r="M45" s="1250"/>
      <c r="N45" s="1250"/>
      <c r="O45" s="1250"/>
      <c r="P45" s="1250"/>
      <c r="Q45" s="1250"/>
      <c r="R45" s="1250"/>
      <c r="S45" s="1250"/>
      <c r="T45" s="1250"/>
      <c r="U45" s="1250"/>
      <c r="V45" s="1250"/>
      <c r="W45" s="1250"/>
      <c r="X45" s="1250"/>
      <c r="Y45" s="1250"/>
      <c r="Z45" s="1250"/>
      <c r="AA45" s="1250"/>
      <c r="AB45" s="1250">
        <v>405</v>
      </c>
      <c r="AC45" s="1250">
        <v>1200</v>
      </c>
      <c r="AD45" s="1249"/>
      <c r="AE45" s="1250">
        <v>900</v>
      </c>
      <c r="AF45" s="1250"/>
      <c r="AG45" s="1250"/>
      <c r="AH45" s="1244"/>
      <c r="AI45" s="1244"/>
      <c r="AJ45" s="1244"/>
      <c r="AK45" s="1244"/>
      <c r="AL45" s="1244"/>
      <c r="AM45" s="1244"/>
      <c r="AN45" s="1244"/>
      <c r="AO45" s="1244"/>
      <c r="AP45" s="1244"/>
      <c r="AQ45" s="1244"/>
      <c r="AR45" s="1244"/>
      <c r="AS45" s="1244"/>
      <c r="AT45" s="1244"/>
      <c r="AU45" s="1244"/>
      <c r="AV45" s="1244"/>
    </row>
    <row r="46" spans="1:48">
      <c r="A46" s="1239">
        <v>2016</v>
      </c>
      <c r="B46" s="1246" t="s">
        <v>932</v>
      </c>
      <c r="C46" s="1250" t="s">
        <v>2092</v>
      </c>
      <c r="D46" s="1250"/>
      <c r="E46" s="1250"/>
      <c r="F46" s="1250"/>
      <c r="G46" s="1250">
        <v>1050</v>
      </c>
      <c r="H46" s="1250">
        <v>1050</v>
      </c>
      <c r="I46" s="1250"/>
      <c r="J46" s="1250"/>
      <c r="K46" s="1250"/>
      <c r="L46" s="1250"/>
      <c r="M46" s="1250"/>
      <c r="N46" s="1250"/>
      <c r="O46" s="1250"/>
      <c r="P46" s="1250"/>
      <c r="Q46" s="1250"/>
      <c r="R46" s="1250"/>
      <c r="S46" s="1250"/>
      <c r="T46" s="1250"/>
      <c r="U46" s="1250"/>
      <c r="V46" s="1250"/>
      <c r="W46" s="1250">
        <v>600</v>
      </c>
      <c r="X46" s="1250"/>
      <c r="Y46" s="1250"/>
      <c r="Z46" s="1250"/>
      <c r="AA46" s="1250"/>
      <c r="AB46" s="1250"/>
      <c r="AC46" s="1250"/>
      <c r="AD46" s="1250">
        <v>800</v>
      </c>
      <c r="AE46" s="1249"/>
      <c r="AF46" s="1250"/>
      <c r="AG46" s="1250"/>
      <c r="AH46" s="1244"/>
      <c r="AI46" s="1244"/>
      <c r="AJ46" s="1244"/>
      <c r="AK46" s="1244"/>
      <c r="AL46" s="1244"/>
      <c r="AM46" s="1244"/>
      <c r="AN46" s="1244"/>
      <c r="AO46" s="1244"/>
      <c r="AP46" s="1244"/>
      <c r="AQ46" s="1244"/>
      <c r="AR46" s="1244"/>
      <c r="AS46" s="1244"/>
      <c r="AT46" s="1244"/>
      <c r="AU46" s="1244"/>
      <c r="AV46" s="1244"/>
    </row>
    <row r="47" spans="1:48">
      <c r="A47" s="1239">
        <v>2016</v>
      </c>
      <c r="B47" s="1246" t="s">
        <v>932</v>
      </c>
      <c r="C47" s="1250" t="s">
        <v>2091</v>
      </c>
      <c r="D47" s="1250"/>
      <c r="E47" s="1250"/>
      <c r="F47" s="1250"/>
      <c r="G47" s="1250"/>
      <c r="H47" s="1250"/>
      <c r="I47" s="1250"/>
      <c r="J47" s="1250"/>
      <c r="K47" s="1250"/>
      <c r="L47" s="1250"/>
      <c r="M47" s="1250">
        <v>2700</v>
      </c>
      <c r="N47" s="1250"/>
      <c r="O47" s="1250"/>
      <c r="P47" s="1250"/>
      <c r="Q47" s="1250"/>
      <c r="R47" s="1250"/>
      <c r="S47" s="1250"/>
      <c r="T47" s="1250"/>
      <c r="U47" s="1250"/>
      <c r="V47" s="1250"/>
      <c r="W47" s="1250"/>
      <c r="X47" s="1250"/>
      <c r="Y47" s="1250"/>
      <c r="Z47" s="1250"/>
      <c r="AA47" s="1250"/>
      <c r="AB47" s="1250"/>
      <c r="AC47" s="1250"/>
      <c r="AD47" s="1250"/>
      <c r="AE47" s="1250"/>
      <c r="AF47" s="1249"/>
      <c r="AG47" s="1250">
        <v>3600</v>
      </c>
      <c r="AH47" s="1244"/>
      <c r="AI47" s="1244"/>
      <c r="AJ47" s="1244"/>
      <c r="AK47" s="1244"/>
      <c r="AL47" s="1244"/>
      <c r="AM47" s="1244"/>
      <c r="AN47" s="1244"/>
      <c r="AO47" s="1244"/>
      <c r="AP47" s="1244"/>
      <c r="AQ47" s="1244"/>
      <c r="AR47" s="1244"/>
      <c r="AS47" s="1244"/>
      <c r="AT47" s="1244"/>
      <c r="AU47" s="1244"/>
      <c r="AV47" s="1244"/>
    </row>
    <row r="48" spans="1:48">
      <c r="A48" s="1239">
        <v>2016</v>
      </c>
      <c r="B48" s="1246" t="s">
        <v>932</v>
      </c>
      <c r="C48" s="1250" t="s">
        <v>2090</v>
      </c>
      <c r="D48" s="1250"/>
      <c r="E48" s="1250"/>
      <c r="F48" s="1250"/>
      <c r="G48" s="1250"/>
      <c r="H48" s="1250"/>
      <c r="I48" s="1250"/>
      <c r="J48" s="1250"/>
      <c r="K48" s="1250"/>
      <c r="L48" s="1250"/>
      <c r="M48" s="1250"/>
      <c r="N48" s="1250"/>
      <c r="O48" s="1250"/>
      <c r="P48" s="1250"/>
      <c r="Q48" s="1250"/>
      <c r="R48" s="1250"/>
      <c r="S48" s="1250"/>
      <c r="T48" s="1250"/>
      <c r="U48" s="1250"/>
      <c r="V48" s="1250"/>
      <c r="W48" s="1250"/>
      <c r="X48" s="1250"/>
      <c r="Y48" s="1250"/>
      <c r="Z48" s="1250"/>
      <c r="AA48" s="1250"/>
      <c r="AB48" s="1250"/>
      <c r="AC48" s="1250"/>
      <c r="AD48" s="1250"/>
      <c r="AE48" s="1250"/>
      <c r="AF48" s="1250">
        <v>3000</v>
      </c>
      <c r="AG48" s="1249"/>
      <c r="AH48" s="1244"/>
      <c r="AI48" s="1244"/>
      <c r="AJ48" s="1244"/>
      <c r="AK48" s="1244"/>
      <c r="AL48" s="1244"/>
      <c r="AM48" s="1244"/>
      <c r="AN48" s="1244"/>
      <c r="AO48" s="1244"/>
      <c r="AP48" s="1244"/>
      <c r="AQ48" s="1244"/>
      <c r="AR48" s="1244"/>
      <c r="AS48" s="1244"/>
      <c r="AT48" s="1244"/>
      <c r="AU48" s="1244"/>
      <c r="AV48" s="1244"/>
    </row>
    <row r="49" spans="1:48">
      <c r="A49" s="1239" t="s">
        <v>1472</v>
      </c>
      <c r="B49" s="1246"/>
      <c r="C49" s="1246"/>
      <c r="L49" s="1248"/>
      <c r="R49" s="1248"/>
      <c r="S49" s="1248"/>
      <c r="T49" s="1248"/>
      <c r="U49" s="1248"/>
      <c r="X49" s="1248"/>
      <c r="Y49" s="1244"/>
      <c r="Z49" s="1244"/>
      <c r="AA49" s="1244"/>
      <c r="AB49" s="1244"/>
      <c r="AC49" s="1244"/>
      <c r="AD49" s="1244"/>
      <c r="AE49" s="1244"/>
      <c r="AF49" s="1244"/>
      <c r="AG49" s="1244"/>
      <c r="AH49" s="1244"/>
      <c r="AI49" s="1244"/>
      <c r="AJ49" s="1244"/>
      <c r="AK49" s="1244"/>
      <c r="AL49" s="1244"/>
      <c r="AM49" s="1244"/>
      <c r="AN49" s="1244"/>
      <c r="AO49" s="1244"/>
      <c r="AP49" s="1244"/>
      <c r="AQ49" s="1244"/>
      <c r="AR49" s="1244"/>
      <c r="AS49" s="1244"/>
      <c r="AT49" s="1244"/>
      <c r="AU49" s="1244"/>
      <c r="AV49" s="1244"/>
    </row>
    <row r="50" spans="1:48">
      <c r="A50" s="1239" t="s">
        <v>2089</v>
      </c>
      <c r="B50" s="1246"/>
      <c r="C50" s="1246"/>
      <c r="L50" s="1248"/>
      <c r="R50" s="1248"/>
      <c r="S50" s="1248"/>
      <c r="T50" s="1248"/>
      <c r="U50" s="1248"/>
      <c r="X50" s="1248"/>
      <c r="Y50" s="1244"/>
      <c r="Z50" s="1244"/>
      <c r="AA50" s="1244"/>
      <c r="AB50" s="1244"/>
      <c r="AC50" s="1244"/>
      <c r="AD50" s="1244"/>
      <c r="AE50" s="1244"/>
      <c r="AF50" s="1244"/>
      <c r="AG50" s="1244"/>
      <c r="AH50" s="1244"/>
      <c r="AI50" s="1244"/>
      <c r="AJ50" s="1244"/>
      <c r="AK50" s="1244"/>
      <c r="AL50" s="1244"/>
      <c r="AM50" s="1244"/>
      <c r="AN50" s="1244"/>
      <c r="AO50" s="1244"/>
      <c r="AP50" s="1244"/>
      <c r="AQ50" s="1244"/>
      <c r="AR50" s="1244"/>
      <c r="AS50" s="1244"/>
      <c r="AT50" s="1244"/>
      <c r="AU50" s="1244"/>
      <c r="AV50" s="1244"/>
    </row>
    <row r="51" spans="1:48">
      <c r="B51" s="1246"/>
      <c r="C51" s="1246"/>
      <c r="L51" s="1248"/>
      <c r="R51" s="1248"/>
      <c r="S51" s="1248"/>
      <c r="T51" s="1248"/>
      <c r="U51" s="1248"/>
      <c r="X51" s="1248"/>
      <c r="Y51" s="1244"/>
      <c r="Z51" s="1244"/>
      <c r="AA51" s="1244"/>
      <c r="AB51" s="1244"/>
      <c r="AC51" s="1244"/>
      <c r="AD51" s="1244"/>
      <c r="AE51" s="1244"/>
      <c r="AF51" s="1244"/>
      <c r="AG51" s="1244"/>
      <c r="AH51" s="1244"/>
      <c r="AI51" s="1244"/>
      <c r="AJ51" s="1244"/>
      <c r="AK51" s="1244"/>
      <c r="AL51" s="1244"/>
      <c r="AM51" s="1244"/>
      <c r="AN51" s="1244"/>
      <c r="AO51" s="1244"/>
      <c r="AP51" s="1244"/>
      <c r="AQ51" s="1244"/>
      <c r="AR51" s="1244"/>
      <c r="AS51" s="1244"/>
      <c r="AT51" s="1244"/>
      <c r="AU51" s="1244"/>
      <c r="AV51" s="1244"/>
    </row>
    <row r="52" spans="1:48">
      <c r="B52" s="1246"/>
      <c r="C52" s="1246"/>
      <c r="L52" s="1248"/>
      <c r="R52" s="1248"/>
      <c r="S52" s="1248"/>
      <c r="T52" s="1248"/>
      <c r="U52" s="1248"/>
      <c r="X52" s="1248"/>
      <c r="Y52" s="1244"/>
      <c r="Z52" s="1244"/>
      <c r="AA52" s="1244"/>
      <c r="AB52" s="1244"/>
      <c r="AC52" s="1244"/>
      <c r="AD52" s="1244"/>
      <c r="AE52" s="1244"/>
      <c r="AF52" s="1244"/>
      <c r="AG52" s="1244"/>
      <c r="AH52" s="1244"/>
      <c r="AI52" s="1244"/>
      <c r="AJ52" s="1244"/>
      <c r="AK52" s="1244"/>
      <c r="AL52" s="1244"/>
      <c r="AM52" s="1244"/>
      <c r="AN52" s="1244"/>
      <c r="AO52" s="1244"/>
      <c r="AP52" s="1244"/>
      <c r="AQ52" s="1244"/>
      <c r="AR52" s="1244"/>
      <c r="AS52" s="1244"/>
      <c r="AT52" s="1244"/>
      <c r="AU52" s="1244"/>
      <c r="AV52" s="1244"/>
    </row>
    <row r="53" spans="1:48">
      <c r="B53" s="1246"/>
      <c r="C53" s="1246"/>
      <c r="L53" s="1248"/>
      <c r="R53" s="1248"/>
      <c r="S53" s="1248"/>
      <c r="T53" s="1248"/>
      <c r="U53" s="1248"/>
      <c r="X53" s="1248"/>
      <c r="Y53" s="1244"/>
      <c r="Z53" s="1244"/>
      <c r="AA53" s="1244"/>
      <c r="AB53" s="1244"/>
      <c r="AC53" s="1244"/>
      <c r="AD53" s="1244"/>
      <c r="AE53" s="1244"/>
      <c r="AF53" s="1244"/>
      <c r="AG53" s="1244"/>
      <c r="AH53" s="1244"/>
      <c r="AI53" s="1244"/>
      <c r="AJ53" s="1244"/>
      <c r="AK53" s="1244"/>
      <c r="AL53" s="1244"/>
      <c r="AM53" s="1244"/>
      <c r="AN53" s="1244"/>
      <c r="AO53" s="1244"/>
      <c r="AP53" s="1244"/>
      <c r="AQ53" s="1244"/>
      <c r="AR53" s="1244"/>
      <c r="AS53" s="1244"/>
      <c r="AT53" s="1244"/>
      <c r="AU53" s="1244"/>
      <c r="AV53" s="1244"/>
    </row>
    <row r="54" spans="1:48">
      <c r="B54" s="1246"/>
      <c r="C54" s="1246"/>
      <c r="L54" s="1248"/>
      <c r="R54" s="1248"/>
      <c r="S54" s="1248"/>
      <c r="T54" s="1248"/>
      <c r="U54" s="1248"/>
      <c r="X54" s="1248"/>
      <c r="Y54" s="1244"/>
      <c r="Z54" s="1244"/>
      <c r="AA54" s="1244"/>
      <c r="AB54" s="1244"/>
      <c r="AC54" s="1244"/>
      <c r="AD54" s="1244"/>
      <c r="AE54" s="1244"/>
      <c r="AF54" s="1244"/>
      <c r="AG54" s="1244"/>
      <c r="AH54" s="1244"/>
      <c r="AI54" s="1244"/>
      <c r="AJ54" s="1244"/>
      <c r="AK54" s="1244"/>
      <c r="AL54" s="1244"/>
      <c r="AM54" s="1244"/>
      <c r="AN54" s="1244"/>
      <c r="AO54" s="1244"/>
      <c r="AP54" s="1244"/>
      <c r="AQ54" s="1244"/>
      <c r="AR54" s="1244"/>
      <c r="AS54" s="1244"/>
      <c r="AT54" s="1244"/>
      <c r="AU54" s="1244"/>
      <c r="AV54" s="1244"/>
    </row>
    <row r="55" spans="1:48">
      <c r="A55" s="1247" t="s">
        <v>2088</v>
      </c>
      <c r="B55" s="1246"/>
      <c r="C55" s="1246"/>
      <c r="D55" s="1246"/>
      <c r="E55" s="1246"/>
      <c r="F55" s="1246"/>
      <c r="G55" s="1246"/>
      <c r="I55" s="1245"/>
      <c r="Y55" s="1244"/>
      <c r="Z55" s="1244"/>
      <c r="AA55" s="1244"/>
      <c r="AB55" s="1244"/>
      <c r="AC55" s="1244"/>
      <c r="AD55" s="1244"/>
      <c r="AE55" s="1244"/>
      <c r="AF55" s="1244"/>
      <c r="AG55" s="1244"/>
      <c r="AH55" s="1244"/>
      <c r="AI55" s="1244"/>
      <c r="AJ55" s="1244"/>
      <c r="AK55" s="1244"/>
      <c r="AL55" s="1244"/>
      <c r="AM55" s="1244"/>
      <c r="AN55" s="1244"/>
      <c r="AO55" s="1244"/>
      <c r="AP55" s="1244"/>
      <c r="AQ55" s="1244"/>
      <c r="AR55" s="1244"/>
      <c r="AS55" s="1244"/>
      <c r="AT55" s="1244"/>
      <c r="AU55" s="1244"/>
      <c r="AV55" s="1244"/>
    </row>
    <row r="56" spans="1:48">
      <c r="A56" s="1247" t="s">
        <v>2087</v>
      </c>
      <c r="B56" s="1246"/>
      <c r="C56" s="1246"/>
      <c r="D56" s="1246"/>
      <c r="E56" s="1246"/>
      <c r="F56" s="1246"/>
      <c r="G56" s="1246"/>
      <c r="H56" s="1246"/>
      <c r="I56" s="1245"/>
      <c r="J56" s="1244"/>
      <c r="K56" s="1244"/>
      <c r="L56" s="1244"/>
      <c r="M56" s="1244"/>
      <c r="N56" s="1244"/>
      <c r="O56" s="1244"/>
      <c r="P56" s="1244"/>
      <c r="Q56" s="1244"/>
      <c r="R56" s="1244"/>
      <c r="S56" s="1244"/>
      <c r="T56" s="1244"/>
      <c r="U56" s="1244"/>
      <c r="V56" s="1244"/>
      <c r="W56" s="1244"/>
      <c r="X56" s="1244"/>
      <c r="Y56" s="1244"/>
      <c r="Z56" s="1244"/>
      <c r="AA56" s="1244"/>
      <c r="AB56" s="1244"/>
      <c r="AC56" s="1244"/>
      <c r="AD56" s="1244"/>
      <c r="AE56" s="1244"/>
      <c r="AF56" s="1244"/>
      <c r="AG56" s="1244"/>
      <c r="AH56" s="1239" t="s">
        <v>2086</v>
      </c>
    </row>
    <row r="57" spans="1:48">
      <c r="A57" s="1247" t="s">
        <v>2085</v>
      </c>
      <c r="B57" s="1246"/>
      <c r="C57" s="1246"/>
      <c r="D57" s="1246"/>
      <c r="E57" s="1246"/>
      <c r="F57" s="1246"/>
      <c r="G57" s="1246"/>
      <c r="H57" s="1246"/>
      <c r="I57" s="1245"/>
      <c r="J57" s="1244"/>
      <c r="K57" s="1244"/>
      <c r="L57" s="1244"/>
      <c r="M57" s="1244"/>
      <c r="N57" s="1244"/>
      <c r="O57" s="1244"/>
      <c r="P57" s="1244"/>
      <c r="Q57" s="1244"/>
      <c r="R57" s="1244"/>
      <c r="S57" s="1244"/>
      <c r="T57" s="1244"/>
      <c r="U57" s="1244"/>
      <c r="V57" s="1244"/>
      <c r="W57" s="1244"/>
      <c r="X57" s="1244"/>
      <c r="Y57" s="1244"/>
      <c r="Z57" s="1244"/>
      <c r="AA57" s="1244"/>
      <c r="AB57" s="1244"/>
      <c r="AC57" s="1244"/>
      <c r="AD57" s="1244"/>
      <c r="AE57" s="1244"/>
      <c r="AF57" s="1244"/>
      <c r="AG57" s="1244"/>
      <c r="AH57" s="1239" t="s">
        <v>2084</v>
      </c>
    </row>
    <row r="58" spans="1:48">
      <c r="A58" s="1247" t="s">
        <v>2083</v>
      </c>
      <c r="B58" s="1246"/>
      <c r="C58" s="1246"/>
      <c r="D58" s="1246"/>
      <c r="E58" s="1246"/>
      <c r="F58" s="1246"/>
      <c r="G58" s="1246"/>
      <c r="H58" s="1246"/>
      <c r="I58" s="1245"/>
      <c r="J58" s="1244"/>
      <c r="K58" s="1244"/>
      <c r="L58" s="1244"/>
      <c r="M58" s="1244"/>
      <c r="N58" s="1244"/>
      <c r="O58" s="1244"/>
      <c r="P58" s="1244"/>
      <c r="Q58" s="1244"/>
      <c r="R58" s="1244"/>
      <c r="S58" s="1244"/>
      <c r="T58" s="1244"/>
      <c r="U58" s="1244"/>
      <c r="V58" s="1244"/>
      <c r="W58" s="1244"/>
      <c r="X58" s="1244"/>
      <c r="Y58" s="1244"/>
      <c r="Z58" s="1244"/>
      <c r="AA58" s="1244"/>
      <c r="AB58" s="1244"/>
      <c r="AC58" s="1244"/>
      <c r="AD58" s="1244"/>
      <c r="AE58" s="1244"/>
      <c r="AF58" s="1244"/>
      <c r="AG58" s="1244"/>
      <c r="AH58" s="1239" t="s">
        <v>2082</v>
      </c>
    </row>
    <row r="59" spans="1:48">
      <c r="A59" s="1247" t="s">
        <v>2081</v>
      </c>
      <c r="B59" s="1246"/>
      <c r="C59" s="1246"/>
      <c r="D59" s="1246"/>
      <c r="E59" s="1246"/>
      <c r="F59" s="1246"/>
      <c r="G59" s="1246"/>
      <c r="H59" s="1246"/>
      <c r="I59" s="1245"/>
      <c r="J59" s="1244"/>
      <c r="K59" s="1244"/>
      <c r="L59" s="1244"/>
      <c r="M59" s="1244"/>
      <c r="N59" s="1244"/>
      <c r="O59" s="1244"/>
      <c r="P59" s="1244"/>
      <c r="Q59" s="1244"/>
      <c r="R59" s="1244"/>
      <c r="S59" s="1244"/>
      <c r="T59" s="1244"/>
      <c r="U59" s="1244"/>
      <c r="V59" s="1244"/>
      <c r="W59" s="1244"/>
      <c r="X59" s="1244"/>
      <c r="Y59" s="1244"/>
      <c r="Z59" s="1244"/>
      <c r="AA59" s="1244"/>
      <c r="AB59" s="1244"/>
      <c r="AC59" s="1244"/>
      <c r="AD59" s="1244"/>
      <c r="AE59" s="1244"/>
      <c r="AF59" s="1244"/>
      <c r="AG59" s="1244"/>
      <c r="AH59" s="1239" t="s">
        <v>2080</v>
      </c>
    </row>
    <row r="60" spans="1:48">
      <c r="A60" s="1247" t="s">
        <v>2079</v>
      </c>
      <c r="B60" s="1246"/>
      <c r="C60" s="1246"/>
      <c r="D60" s="1246"/>
      <c r="E60" s="1246"/>
      <c r="F60" s="1246"/>
      <c r="G60" s="1246"/>
      <c r="H60" s="1246"/>
      <c r="I60" s="1245"/>
      <c r="J60" s="1244"/>
      <c r="K60" s="1244"/>
      <c r="L60" s="1244"/>
      <c r="M60" s="1244"/>
      <c r="N60" s="1244"/>
      <c r="O60" s="1244"/>
      <c r="P60" s="1244"/>
      <c r="Q60" s="1244"/>
      <c r="R60" s="1244"/>
      <c r="S60" s="1244"/>
      <c r="T60" s="1244"/>
      <c r="U60" s="1244"/>
      <c r="V60" s="1244"/>
      <c r="W60" s="1244"/>
      <c r="X60" s="1244"/>
      <c r="Y60" s="1244"/>
      <c r="Z60" s="1244"/>
      <c r="AA60" s="1244"/>
      <c r="AB60" s="1244"/>
      <c r="AC60" s="1244"/>
      <c r="AD60" s="1244"/>
      <c r="AE60" s="1244"/>
      <c r="AF60" s="1244"/>
      <c r="AG60" s="1244"/>
      <c r="AH60" s="1239" t="s">
        <v>2078</v>
      </c>
    </row>
    <row r="61" spans="1:48">
      <c r="A61" s="1247" t="s">
        <v>2077</v>
      </c>
      <c r="B61" s="1246"/>
      <c r="C61" s="1246"/>
      <c r="D61" s="1246"/>
      <c r="E61" s="1246"/>
      <c r="F61" s="1246"/>
      <c r="G61" s="1246"/>
      <c r="H61" s="1246"/>
      <c r="I61" s="1245"/>
      <c r="J61" s="1244"/>
      <c r="K61" s="1244"/>
      <c r="L61" s="1244"/>
      <c r="M61" s="1244"/>
      <c r="N61" s="1244"/>
      <c r="O61" s="1244"/>
      <c r="P61" s="1244"/>
      <c r="Q61" s="1244"/>
      <c r="R61" s="1244"/>
      <c r="S61" s="1244"/>
      <c r="T61" s="1244"/>
      <c r="U61" s="1244"/>
      <c r="V61" s="1244"/>
      <c r="W61" s="1244"/>
      <c r="X61" s="1244"/>
      <c r="Y61" s="1244"/>
      <c r="Z61" s="1244"/>
      <c r="AA61" s="1244"/>
      <c r="AB61" s="1244"/>
      <c r="AC61" s="1244"/>
      <c r="AD61" s="1244"/>
      <c r="AE61" s="1244"/>
      <c r="AF61" s="1244"/>
      <c r="AG61" s="1244"/>
      <c r="AH61" s="1239" t="s">
        <v>2076</v>
      </c>
    </row>
    <row r="62" spans="1:48">
      <c r="A62" s="1247" t="s">
        <v>2075</v>
      </c>
      <c r="B62" s="1246"/>
      <c r="C62" s="1246"/>
      <c r="D62" s="1246"/>
      <c r="E62" s="1246"/>
      <c r="F62" s="1246"/>
      <c r="G62" s="1246"/>
      <c r="H62" s="1246"/>
      <c r="I62" s="1245"/>
      <c r="J62" s="1244"/>
      <c r="K62" s="1244"/>
      <c r="L62" s="1244"/>
      <c r="M62" s="1244"/>
      <c r="N62" s="1244"/>
      <c r="O62" s="1244"/>
      <c r="P62" s="1244"/>
      <c r="Q62" s="1244"/>
      <c r="R62" s="1244"/>
      <c r="S62" s="1244"/>
      <c r="T62" s="1244"/>
      <c r="U62" s="1244"/>
      <c r="V62" s="1244"/>
      <c r="W62" s="1244"/>
      <c r="X62" s="1244"/>
      <c r="Y62" s="1244"/>
      <c r="Z62" s="1244"/>
      <c r="AA62" s="1244"/>
      <c r="AB62" s="1244"/>
      <c r="AC62" s="1244"/>
      <c r="AD62" s="1244"/>
      <c r="AE62" s="1244"/>
      <c r="AF62" s="1244"/>
      <c r="AG62" s="1244"/>
      <c r="AH62" s="1239" t="s">
        <v>2074</v>
      </c>
    </row>
    <row r="63" spans="1:48">
      <c r="A63" s="1247" t="s">
        <v>2073</v>
      </c>
      <c r="B63" s="1246"/>
      <c r="C63" s="1246"/>
      <c r="D63" s="1246"/>
      <c r="E63" s="1246"/>
      <c r="F63" s="1246"/>
      <c r="G63" s="1246"/>
      <c r="H63" s="1246"/>
      <c r="I63" s="1245"/>
      <c r="J63" s="1244"/>
      <c r="K63" s="1244"/>
      <c r="L63" s="1244"/>
      <c r="M63" s="1244"/>
      <c r="N63" s="1244"/>
      <c r="O63" s="1244"/>
      <c r="P63" s="1244"/>
      <c r="Q63" s="1244"/>
      <c r="R63" s="1244"/>
      <c r="S63" s="1244"/>
      <c r="T63" s="1244"/>
      <c r="U63" s="1244"/>
      <c r="V63" s="1244"/>
      <c r="W63" s="1244"/>
      <c r="X63" s="1244"/>
      <c r="Y63" s="1244"/>
      <c r="Z63" s="1244"/>
      <c r="AA63" s="1244"/>
      <c r="AB63" s="1244"/>
      <c r="AC63" s="1244"/>
      <c r="AD63" s="1244"/>
      <c r="AE63" s="1244"/>
      <c r="AF63" s="1244"/>
      <c r="AG63" s="1244"/>
      <c r="AH63" s="1239" t="s">
        <v>2072</v>
      </c>
    </row>
    <row r="64" spans="1:48">
      <c r="A64" s="1247" t="s">
        <v>2071</v>
      </c>
      <c r="B64" s="1246"/>
      <c r="C64" s="1246"/>
      <c r="D64" s="1246"/>
      <c r="E64" s="1246"/>
      <c r="F64" s="1246"/>
      <c r="G64" s="1246"/>
      <c r="H64" s="1246"/>
      <c r="I64" s="1245"/>
      <c r="J64" s="1244"/>
      <c r="K64" s="1244"/>
      <c r="L64" s="1244"/>
      <c r="M64" s="1244"/>
      <c r="N64" s="1244"/>
      <c r="O64" s="1244"/>
      <c r="P64" s="1244"/>
      <c r="Q64" s="1244"/>
      <c r="R64" s="1244"/>
      <c r="S64" s="1244"/>
      <c r="T64" s="1244"/>
      <c r="U64" s="1244"/>
      <c r="V64" s="1244"/>
      <c r="W64" s="1244"/>
      <c r="X64" s="1244"/>
      <c r="Y64" s="1244"/>
      <c r="Z64" s="1244"/>
      <c r="AA64" s="1244"/>
      <c r="AB64" s="1244"/>
      <c r="AC64" s="1244"/>
      <c r="AD64" s="1244"/>
      <c r="AE64" s="1244"/>
      <c r="AF64" s="1244"/>
      <c r="AG64" s="1244"/>
      <c r="AH64" s="1239" t="s">
        <v>2070</v>
      </c>
    </row>
    <row r="65" spans="1:34">
      <c r="A65" s="1247" t="s">
        <v>2069</v>
      </c>
      <c r="B65" s="1246"/>
      <c r="C65" s="1246"/>
      <c r="D65" s="1246"/>
      <c r="E65" s="1246"/>
      <c r="F65" s="1246"/>
      <c r="G65" s="1246"/>
      <c r="H65" s="1246"/>
      <c r="I65" s="1245"/>
      <c r="J65" s="1244"/>
      <c r="K65" s="1244"/>
      <c r="L65" s="1244"/>
      <c r="M65" s="1244"/>
      <c r="N65" s="1244"/>
      <c r="O65" s="1244"/>
      <c r="P65" s="1244"/>
      <c r="Q65" s="1244"/>
      <c r="R65" s="1244"/>
      <c r="S65" s="1244"/>
      <c r="T65" s="1244"/>
      <c r="U65" s="1244"/>
      <c r="V65" s="1244"/>
      <c r="W65" s="1244"/>
      <c r="X65" s="1244"/>
      <c r="Y65" s="1244"/>
      <c r="Z65" s="1244"/>
      <c r="AA65" s="1244"/>
      <c r="AB65" s="1244"/>
      <c r="AC65" s="1244"/>
      <c r="AD65" s="1244"/>
      <c r="AE65" s="1244"/>
      <c r="AF65" s="1244"/>
      <c r="AG65" s="1244"/>
      <c r="AH65" s="1239" t="s">
        <v>2068</v>
      </c>
    </row>
    <row r="66" spans="1:34">
      <c r="A66" s="1247" t="s">
        <v>2067</v>
      </c>
      <c r="B66" s="1246"/>
      <c r="C66" s="1246"/>
      <c r="D66" s="1246"/>
      <c r="E66" s="1246"/>
      <c r="F66" s="1246"/>
      <c r="G66" s="1246"/>
      <c r="H66" s="1246"/>
      <c r="I66" s="1245"/>
      <c r="J66" s="1244"/>
      <c r="K66" s="1244"/>
      <c r="L66" s="1244"/>
      <c r="M66" s="1244"/>
      <c r="N66" s="1244"/>
      <c r="O66" s="1244"/>
      <c r="P66" s="1244"/>
      <c r="Q66" s="1244"/>
      <c r="R66" s="1244"/>
      <c r="S66" s="1244"/>
      <c r="T66" s="1244"/>
      <c r="U66" s="1244"/>
      <c r="V66" s="1244"/>
      <c r="W66" s="1244"/>
      <c r="X66" s="1244"/>
      <c r="Y66" s="1244"/>
      <c r="Z66" s="1244"/>
      <c r="AA66" s="1244"/>
      <c r="AB66" s="1244"/>
      <c r="AC66" s="1244"/>
      <c r="AD66" s="1244"/>
      <c r="AE66" s="1244"/>
      <c r="AF66" s="1244"/>
      <c r="AG66" s="1244"/>
      <c r="AH66" s="1239" t="s">
        <v>2066</v>
      </c>
    </row>
    <row r="67" spans="1:34">
      <c r="A67" s="1247" t="s">
        <v>2065</v>
      </c>
      <c r="B67" s="1246"/>
      <c r="C67" s="1246"/>
      <c r="D67" s="1246"/>
      <c r="E67" s="1246"/>
      <c r="F67" s="1246"/>
      <c r="G67" s="1246"/>
      <c r="H67" s="1246"/>
      <c r="I67" s="1245"/>
      <c r="J67" s="1244"/>
      <c r="K67" s="1244"/>
      <c r="L67" s="1244"/>
      <c r="M67" s="1244"/>
      <c r="N67" s="1244"/>
      <c r="O67" s="1244"/>
      <c r="P67" s="1244"/>
      <c r="Q67" s="1244"/>
      <c r="R67" s="1244"/>
      <c r="S67" s="1244"/>
      <c r="T67" s="1244"/>
      <c r="U67" s="1244"/>
      <c r="V67" s="1244"/>
      <c r="W67" s="1244"/>
      <c r="X67" s="1244"/>
      <c r="Y67" s="1244"/>
      <c r="Z67" s="1244"/>
      <c r="AA67" s="1244"/>
      <c r="AB67" s="1244"/>
      <c r="AC67" s="1244"/>
      <c r="AD67" s="1244"/>
      <c r="AE67" s="1244"/>
      <c r="AF67" s="1244"/>
      <c r="AG67" s="1244"/>
      <c r="AH67" s="1239" t="s">
        <v>2064</v>
      </c>
    </row>
    <row r="68" spans="1:34">
      <c r="A68" s="1247" t="s">
        <v>2063</v>
      </c>
      <c r="B68" s="1246"/>
      <c r="C68" s="1246"/>
      <c r="D68" s="1246"/>
      <c r="E68" s="1246"/>
      <c r="F68" s="1246"/>
      <c r="G68" s="1246"/>
      <c r="H68" s="1246"/>
      <c r="I68" s="1245"/>
      <c r="J68" s="1244"/>
      <c r="K68" s="1244"/>
      <c r="L68" s="1244"/>
      <c r="M68" s="1244"/>
      <c r="N68" s="1244"/>
      <c r="O68" s="1244"/>
      <c r="P68" s="1244"/>
      <c r="Q68" s="1244"/>
      <c r="R68" s="1244"/>
      <c r="S68" s="1244"/>
      <c r="T68" s="1244"/>
      <c r="U68" s="1244"/>
      <c r="V68" s="1244"/>
      <c r="W68" s="1244"/>
      <c r="X68" s="1244"/>
      <c r="Y68" s="1244"/>
      <c r="Z68" s="1244"/>
      <c r="AA68" s="1244"/>
      <c r="AB68" s="1244"/>
      <c r="AC68" s="1244"/>
      <c r="AD68" s="1244"/>
      <c r="AE68" s="1244"/>
      <c r="AF68" s="1244"/>
      <c r="AG68" s="1244"/>
      <c r="AH68" s="1239" t="s">
        <v>2062</v>
      </c>
    </row>
    <row r="69" spans="1:34">
      <c r="A69" s="1247" t="s">
        <v>2061</v>
      </c>
      <c r="B69" s="1246"/>
      <c r="C69" s="1246"/>
      <c r="D69" s="1246"/>
      <c r="E69" s="1246"/>
      <c r="F69" s="1246"/>
      <c r="G69" s="1246"/>
      <c r="H69" s="1246"/>
      <c r="I69" s="1245"/>
      <c r="J69" s="1244"/>
      <c r="K69" s="1244"/>
      <c r="L69" s="1244"/>
      <c r="M69" s="1244"/>
      <c r="N69" s="1244"/>
      <c r="O69" s="1244"/>
      <c r="P69" s="1244"/>
      <c r="Q69" s="1244"/>
      <c r="R69" s="1244"/>
      <c r="S69" s="1244"/>
      <c r="T69" s="1244"/>
      <c r="U69" s="1244"/>
      <c r="V69" s="1244"/>
      <c r="W69" s="1244"/>
      <c r="X69" s="1244"/>
      <c r="Y69" s="1244"/>
      <c r="Z69" s="1244"/>
      <c r="AA69" s="1244"/>
      <c r="AB69" s="1244"/>
      <c r="AC69" s="1244"/>
      <c r="AD69" s="1244"/>
      <c r="AE69" s="1244"/>
      <c r="AF69" s="1244"/>
      <c r="AG69" s="1244"/>
      <c r="AH69" s="1239" t="s">
        <v>2060</v>
      </c>
    </row>
    <row r="70" spans="1:34">
      <c r="A70" s="1247" t="s">
        <v>2059</v>
      </c>
      <c r="B70" s="1246"/>
      <c r="C70" s="1246"/>
      <c r="D70" s="1246"/>
      <c r="E70" s="1246"/>
      <c r="F70" s="1246"/>
      <c r="G70" s="1246"/>
      <c r="H70" s="1246"/>
      <c r="I70" s="1245"/>
      <c r="J70" s="1244"/>
      <c r="K70" s="1244"/>
      <c r="L70" s="1244"/>
      <c r="M70" s="1244"/>
      <c r="N70" s="1244"/>
      <c r="O70" s="1244"/>
      <c r="P70" s="1244"/>
      <c r="Q70" s="1244"/>
      <c r="R70" s="1244"/>
      <c r="S70" s="1244"/>
      <c r="T70" s="1244"/>
      <c r="U70" s="1244"/>
      <c r="V70" s="1244"/>
      <c r="W70" s="1244"/>
      <c r="X70" s="1244"/>
      <c r="Y70" s="1244"/>
      <c r="Z70" s="1244"/>
      <c r="AA70" s="1244"/>
      <c r="AB70" s="1244"/>
      <c r="AC70" s="1244"/>
      <c r="AD70" s="1244"/>
      <c r="AE70" s="1244"/>
      <c r="AF70" s="1244"/>
      <c r="AG70" s="1244"/>
      <c r="AH70" s="1239" t="s">
        <v>2044</v>
      </c>
    </row>
    <row r="71" spans="1:34">
      <c r="A71" s="1247" t="s">
        <v>2058</v>
      </c>
      <c r="B71" s="1246"/>
      <c r="C71" s="1246"/>
      <c r="D71" s="1246"/>
      <c r="E71" s="1246"/>
      <c r="F71" s="1246"/>
      <c r="G71" s="1246"/>
      <c r="H71" s="1246"/>
      <c r="I71" s="1245"/>
      <c r="J71" s="1244"/>
      <c r="K71" s="1244"/>
      <c r="L71" s="1244"/>
      <c r="M71" s="1244"/>
      <c r="N71" s="1244"/>
      <c r="O71" s="1244"/>
      <c r="P71" s="1244"/>
      <c r="Q71" s="1244"/>
      <c r="R71" s="1244"/>
      <c r="S71" s="1244"/>
      <c r="T71" s="1244"/>
      <c r="U71" s="1244"/>
      <c r="V71" s="1244"/>
      <c r="W71" s="1244"/>
      <c r="X71" s="1244"/>
      <c r="Y71" s="1244"/>
      <c r="Z71" s="1244"/>
      <c r="AA71" s="1244"/>
      <c r="AB71" s="1244"/>
      <c r="AC71" s="1244"/>
      <c r="AD71" s="1244"/>
      <c r="AE71" s="1244"/>
      <c r="AF71" s="1244"/>
      <c r="AG71" s="1244"/>
      <c r="AH71" s="1239" t="s">
        <v>2042</v>
      </c>
    </row>
    <row r="72" spans="1:34">
      <c r="A72" s="1247" t="s">
        <v>2057</v>
      </c>
      <c r="B72" s="1246"/>
      <c r="C72" s="1246"/>
      <c r="D72" s="1246"/>
      <c r="E72" s="1246"/>
      <c r="F72" s="1246"/>
      <c r="G72" s="1246"/>
      <c r="H72" s="1246"/>
      <c r="I72" s="1245"/>
      <c r="J72" s="1244"/>
      <c r="K72" s="1244"/>
      <c r="L72" s="1244"/>
      <c r="M72" s="1244"/>
      <c r="N72" s="1244"/>
      <c r="O72" s="1244"/>
      <c r="P72" s="1244"/>
      <c r="Q72" s="1244"/>
      <c r="R72" s="1244"/>
      <c r="S72" s="1244"/>
      <c r="T72" s="1244"/>
      <c r="U72" s="1244"/>
      <c r="V72" s="1244"/>
      <c r="W72" s="1244"/>
      <c r="X72" s="1244"/>
      <c r="Y72" s="1244"/>
      <c r="Z72" s="1244"/>
      <c r="AA72" s="1244"/>
      <c r="AB72" s="1244"/>
      <c r="AC72" s="1244"/>
      <c r="AD72" s="1244"/>
      <c r="AE72" s="1244"/>
      <c r="AF72" s="1244"/>
      <c r="AG72" s="1244"/>
      <c r="AH72" s="1239" t="s">
        <v>2048</v>
      </c>
    </row>
    <row r="73" spans="1:34">
      <c r="A73" s="1247" t="s">
        <v>2056</v>
      </c>
      <c r="B73" s="1246"/>
      <c r="C73" s="1246"/>
      <c r="D73" s="1246"/>
      <c r="E73" s="1246"/>
      <c r="F73" s="1246"/>
      <c r="G73" s="1246"/>
      <c r="H73" s="1246"/>
      <c r="I73" s="1245"/>
      <c r="J73" s="1244"/>
      <c r="K73" s="1244"/>
      <c r="L73" s="1244"/>
      <c r="M73" s="1244"/>
      <c r="N73" s="1244"/>
      <c r="O73" s="1244"/>
      <c r="P73" s="1244"/>
      <c r="Q73" s="1244"/>
      <c r="R73" s="1244"/>
      <c r="S73" s="1244"/>
      <c r="T73" s="1244"/>
      <c r="U73" s="1244"/>
      <c r="V73" s="1244"/>
      <c r="W73" s="1244"/>
      <c r="X73" s="1244"/>
      <c r="Y73" s="1244"/>
      <c r="Z73" s="1244"/>
      <c r="AA73" s="1244"/>
      <c r="AB73" s="1244"/>
      <c r="AC73" s="1244"/>
      <c r="AD73" s="1244"/>
      <c r="AE73" s="1244"/>
      <c r="AF73" s="1244"/>
      <c r="AG73" s="1244"/>
      <c r="AH73" s="1239" t="s">
        <v>2055</v>
      </c>
    </row>
    <row r="74" spans="1:34">
      <c r="A74" s="1247" t="s">
        <v>2054</v>
      </c>
      <c r="B74" s="1246"/>
      <c r="C74" s="1246"/>
      <c r="D74" s="1246"/>
      <c r="E74" s="1246"/>
      <c r="F74" s="1246"/>
      <c r="G74" s="1246"/>
      <c r="H74" s="1246"/>
      <c r="I74" s="1245"/>
      <c r="J74" s="1244"/>
      <c r="K74" s="1244"/>
      <c r="L74" s="1244"/>
      <c r="M74" s="1244"/>
      <c r="N74" s="1244"/>
      <c r="O74" s="1244"/>
      <c r="P74" s="1244"/>
      <c r="Q74" s="1244"/>
      <c r="R74" s="1244"/>
      <c r="S74" s="1244"/>
      <c r="T74" s="1244"/>
      <c r="U74" s="1244"/>
      <c r="V74" s="1244"/>
      <c r="W74" s="1244"/>
      <c r="X74" s="1244"/>
      <c r="Y74" s="1244"/>
      <c r="Z74" s="1244"/>
      <c r="AA74" s="1244"/>
      <c r="AB74" s="1244"/>
      <c r="AC74" s="1244"/>
      <c r="AD74" s="1244"/>
      <c r="AE74" s="1244"/>
      <c r="AF74" s="1244"/>
      <c r="AG74" s="1244"/>
      <c r="AH74" s="1239" t="s">
        <v>2053</v>
      </c>
    </row>
    <row r="75" spans="1:34">
      <c r="A75" s="1247" t="s">
        <v>2052</v>
      </c>
      <c r="B75" s="1246"/>
      <c r="C75" s="1246"/>
      <c r="D75" s="1246"/>
      <c r="E75" s="1246"/>
      <c r="F75" s="1246"/>
      <c r="G75" s="1246"/>
      <c r="H75" s="1246"/>
      <c r="I75" s="1245"/>
      <c r="J75" s="1244"/>
      <c r="K75" s="1244"/>
      <c r="L75" s="1244"/>
      <c r="M75" s="1244"/>
      <c r="N75" s="1244"/>
      <c r="O75" s="1244"/>
      <c r="P75" s="1244"/>
      <c r="Q75" s="1244"/>
      <c r="R75" s="1244"/>
      <c r="S75" s="1244"/>
      <c r="T75" s="1244"/>
      <c r="U75" s="1244"/>
      <c r="V75" s="1244"/>
      <c r="W75" s="1244"/>
      <c r="X75" s="1244"/>
      <c r="Y75" s="1244"/>
      <c r="Z75" s="1244"/>
      <c r="AA75" s="1244"/>
      <c r="AB75" s="1244"/>
      <c r="AC75" s="1244"/>
      <c r="AD75" s="1244"/>
      <c r="AE75" s="1244"/>
      <c r="AF75" s="1244"/>
      <c r="AG75" s="1244"/>
      <c r="AH75" s="1239" t="s">
        <v>2048</v>
      </c>
    </row>
    <row r="76" spans="1:34">
      <c r="A76" s="1247" t="s">
        <v>2051</v>
      </c>
      <c r="B76" s="1246"/>
      <c r="C76" s="1246"/>
      <c r="D76" s="1246"/>
      <c r="E76" s="1246"/>
      <c r="F76" s="1246"/>
      <c r="G76" s="1246"/>
      <c r="H76" s="1246"/>
      <c r="I76" s="1245"/>
      <c r="J76" s="1244"/>
      <c r="K76" s="1244"/>
      <c r="L76" s="1244"/>
      <c r="M76" s="1244"/>
      <c r="N76" s="1244"/>
      <c r="O76" s="1244"/>
      <c r="P76" s="1244"/>
      <c r="Q76" s="1244"/>
      <c r="R76" s="1244"/>
      <c r="S76" s="1244"/>
      <c r="T76" s="1244"/>
      <c r="U76" s="1244"/>
      <c r="V76" s="1244"/>
      <c r="W76" s="1244"/>
      <c r="X76" s="1244"/>
      <c r="Y76" s="1244"/>
      <c r="Z76" s="1244"/>
      <c r="AA76" s="1244"/>
      <c r="AB76" s="1244"/>
      <c r="AC76" s="1244"/>
      <c r="AD76" s="1244"/>
      <c r="AE76" s="1244"/>
      <c r="AF76" s="1244"/>
      <c r="AG76" s="1244"/>
      <c r="AH76" s="1239" t="s">
        <v>2048</v>
      </c>
    </row>
    <row r="77" spans="1:34">
      <c r="A77" s="1247" t="s">
        <v>2050</v>
      </c>
      <c r="B77" s="1246"/>
      <c r="C77" s="1246"/>
      <c r="D77" s="1246"/>
      <c r="E77" s="1246"/>
      <c r="F77" s="1246"/>
      <c r="G77" s="1246"/>
      <c r="H77" s="1246"/>
      <c r="I77" s="1245"/>
      <c r="J77" s="1244"/>
      <c r="K77" s="1244"/>
      <c r="L77" s="1244"/>
      <c r="M77" s="1244"/>
      <c r="N77" s="1244"/>
      <c r="O77" s="1244"/>
      <c r="P77" s="1244"/>
      <c r="Q77" s="1244"/>
      <c r="R77" s="1244"/>
      <c r="S77" s="1244"/>
      <c r="T77" s="1244"/>
      <c r="U77" s="1244"/>
      <c r="V77" s="1244"/>
      <c r="W77" s="1244"/>
      <c r="X77" s="1244"/>
      <c r="Y77" s="1244"/>
      <c r="Z77" s="1244"/>
      <c r="AA77" s="1244"/>
      <c r="AB77" s="1244"/>
      <c r="AC77" s="1244"/>
      <c r="AD77" s="1244"/>
      <c r="AE77" s="1244"/>
      <c r="AF77" s="1244"/>
      <c r="AG77" s="1244"/>
      <c r="AH77" s="1239" t="s">
        <v>2048</v>
      </c>
    </row>
    <row r="78" spans="1:34">
      <c r="A78" s="1247" t="s">
        <v>2049</v>
      </c>
      <c r="B78" s="1246"/>
      <c r="C78" s="1246"/>
      <c r="D78" s="1246"/>
      <c r="E78" s="1246"/>
      <c r="F78" s="1246"/>
      <c r="G78" s="1246"/>
      <c r="H78" s="1246"/>
      <c r="I78" s="1245"/>
      <c r="J78" s="1244"/>
      <c r="K78" s="1244"/>
      <c r="L78" s="1244"/>
      <c r="M78" s="1244"/>
      <c r="N78" s="1244"/>
      <c r="O78" s="1244"/>
      <c r="P78" s="1244"/>
      <c r="Q78" s="1244"/>
      <c r="R78" s="1244"/>
      <c r="S78" s="1244"/>
      <c r="T78" s="1244"/>
      <c r="U78" s="1244"/>
      <c r="V78" s="1244"/>
      <c r="W78" s="1244"/>
      <c r="X78" s="1244"/>
      <c r="Y78" s="1244"/>
      <c r="Z78" s="1244"/>
      <c r="AA78" s="1244"/>
      <c r="AB78" s="1244"/>
      <c r="AC78" s="1244"/>
      <c r="AD78" s="1244"/>
      <c r="AE78" s="1244"/>
      <c r="AF78" s="1244"/>
      <c r="AG78" s="1244"/>
      <c r="AH78" s="1239" t="s">
        <v>2048</v>
      </c>
    </row>
    <row r="79" spans="1:34">
      <c r="A79" s="1247" t="s">
        <v>2047</v>
      </c>
      <c r="B79" s="1246"/>
      <c r="C79" s="1246"/>
      <c r="D79" s="1246"/>
      <c r="E79" s="1246"/>
      <c r="F79" s="1246"/>
      <c r="G79" s="1246"/>
      <c r="H79" s="1246"/>
      <c r="I79" s="1245"/>
      <c r="J79" s="1244"/>
      <c r="K79" s="1244"/>
      <c r="L79" s="1244"/>
      <c r="M79" s="1244"/>
      <c r="N79" s="1244"/>
      <c r="O79" s="1244"/>
      <c r="P79" s="1244"/>
      <c r="Q79" s="1244"/>
      <c r="R79" s="1244"/>
      <c r="S79" s="1244"/>
      <c r="T79" s="1244"/>
      <c r="U79" s="1244"/>
      <c r="V79" s="1244"/>
      <c r="W79" s="1244"/>
      <c r="X79" s="1244"/>
      <c r="Y79" s="1244"/>
      <c r="Z79" s="1244"/>
      <c r="AA79" s="1244"/>
      <c r="AB79" s="1244"/>
      <c r="AC79" s="1244"/>
      <c r="AD79" s="1244"/>
      <c r="AE79" s="1244"/>
      <c r="AF79" s="1244"/>
      <c r="AG79" s="1244"/>
      <c r="AH79" s="1239" t="s">
        <v>2044</v>
      </c>
    </row>
    <row r="80" spans="1:34">
      <c r="A80" s="1247" t="s">
        <v>2046</v>
      </c>
      <c r="B80" s="1246"/>
      <c r="C80" s="1246"/>
      <c r="D80" s="1246"/>
      <c r="E80" s="1246"/>
      <c r="F80" s="1246"/>
      <c r="G80" s="1246"/>
      <c r="H80" s="1246"/>
      <c r="I80" s="1245"/>
      <c r="J80" s="1244"/>
      <c r="K80" s="1244"/>
      <c r="L80" s="1244"/>
      <c r="M80" s="1244"/>
      <c r="N80" s="1244"/>
      <c r="O80" s="1244"/>
      <c r="P80" s="1244"/>
      <c r="Q80" s="1244"/>
      <c r="R80" s="1244"/>
      <c r="S80" s="1244"/>
      <c r="T80" s="1244"/>
      <c r="U80" s="1244"/>
      <c r="V80" s="1244"/>
      <c r="W80" s="1244"/>
      <c r="X80" s="1244"/>
      <c r="Y80" s="1244"/>
      <c r="Z80" s="1244"/>
      <c r="AA80" s="1244"/>
      <c r="AB80" s="1244"/>
      <c r="AC80" s="1244"/>
      <c r="AD80" s="1244"/>
      <c r="AE80" s="1244"/>
      <c r="AF80" s="1244"/>
      <c r="AG80" s="1244"/>
      <c r="AH80" s="1239" t="s">
        <v>2042</v>
      </c>
    </row>
    <row r="81" spans="1:34">
      <c r="A81" s="1247" t="s">
        <v>2045</v>
      </c>
      <c r="B81" s="1246"/>
      <c r="C81" s="1246"/>
      <c r="D81" s="1246"/>
      <c r="E81" s="1246"/>
      <c r="F81" s="1246"/>
      <c r="G81" s="1246"/>
      <c r="H81" s="1246"/>
      <c r="I81" s="1245"/>
      <c r="J81" s="1244"/>
      <c r="K81" s="1244"/>
      <c r="L81" s="1244"/>
      <c r="M81" s="1244"/>
      <c r="N81" s="1244"/>
      <c r="O81" s="1244"/>
      <c r="P81" s="1244"/>
      <c r="Q81" s="1244"/>
      <c r="R81" s="1244"/>
      <c r="S81" s="1244"/>
      <c r="T81" s="1244"/>
      <c r="U81" s="1244"/>
      <c r="V81" s="1244"/>
      <c r="W81" s="1244"/>
      <c r="X81" s="1244"/>
      <c r="Y81" s="1244"/>
      <c r="Z81" s="1244"/>
      <c r="AA81" s="1244"/>
      <c r="AB81" s="1244"/>
      <c r="AC81" s="1244"/>
      <c r="AD81" s="1244"/>
      <c r="AE81" s="1244"/>
      <c r="AF81" s="1244"/>
      <c r="AG81" s="1244"/>
      <c r="AH81" s="1239" t="s">
        <v>2044</v>
      </c>
    </row>
    <row r="82" spans="1:34">
      <c r="A82" s="1247" t="s">
        <v>2043</v>
      </c>
      <c r="B82" s="1246"/>
      <c r="C82" s="1246"/>
      <c r="D82" s="1246"/>
      <c r="E82" s="1246"/>
      <c r="F82" s="1246"/>
      <c r="G82" s="1246"/>
      <c r="H82" s="1246"/>
      <c r="I82" s="1245"/>
      <c r="J82" s="1244"/>
      <c r="K82" s="1244"/>
      <c r="L82" s="1244"/>
      <c r="M82" s="1244"/>
      <c r="N82" s="1244"/>
      <c r="O82" s="1244"/>
      <c r="P82" s="1244"/>
      <c r="Q82" s="1244"/>
      <c r="R82" s="1244"/>
      <c r="S82" s="1244"/>
      <c r="T82" s="1244"/>
      <c r="U82" s="1244"/>
      <c r="V82" s="1244"/>
      <c r="W82" s="1244"/>
      <c r="X82" s="1244"/>
      <c r="Y82" s="1244"/>
      <c r="Z82" s="1244"/>
      <c r="AA82" s="1244"/>
      <c r="AB82" s="1244"/>
      <c r="AC82" s="1244"/>
      <c r="AD82" s="1244"/>
      <c r="AE82" s="1244"/>
      <c r="AF82" s="1244"/>
      <c r="AG82" s="1244"/>
      <c r="AH82" s="1239" t="s">
        <v>2042</v>
      </c>
    </row>
    <row r="83" spans="1:34">
      <c r="A83" s="1247"/>
      <c r="B83" s="1246"/>
      <c r="C83" s="1246"/>
      <c r="D83" s="1246"/>
      <c r="E83" s="1246"/>
      <c r="F83" s="1246"/>
      <c r="G83" s="1246"/>
      <c r="H83" s="1246"/>
      <c r="I83" s="1245"/>
      <c r="J83" s="1244"/>
      <c r="K83" s="1244"/>
      <c r="L83" s="1244"/>
      <c r="M83" s="1244"/>
      <c r="N83" s="1244"/>
      <c r="O83" s="1244"/>
      <c r="P83" s="1244"/>
      <c r="Q83" s="1244"/>
      <c r="R83" s="1244"/>
      <c r="S83" s="1244"/>
      <c r="T83" s="1244"/>
      <c r="U83" s="1244"/>
      <c r="V83" s="1244"/>
      <c r="W83" s="1244"/>
      <c r="X83" s="1244"/>
      <c r="Y83" s="1244"/>
      <c r="Z83" s="1244"/>
      <c r="AA83" s="1244"/>
      <c r="AB83" s="1244"/>
      <c r="AC83" s="1244"/>
      <c r="AD83" s="1244"/>
      <c r="AE83" s="1244"/>
      <c r="AF83" s="1244"/>
      <c r="AG83" s="1244"/>
    </row>
    <row r="84" spans="1:34">
      <c r="A84" s="1247"/>
      <c r="B84" s="1246"/>
      <c r="C84" s="1246"/>
      <c r="D84" s="1246"/>
      <c r="E84" s="1246"/>
      <c r="F84" s="1246"/>
      <c r="G84" s="1246"/>
      <c r="H84" s="1246"/>
      <c r="I84" s="1245"/>
      <c r="J84" s="1244"/>
      <c r="K84" s="1244"/>
      <c r="L84" s="1244"/>
      <c r="M84" s="1244"/>
      <c r="N84" s="1244"/>
      <c r="O84" s="1244"/>
      <c r="P84" s="1244"/>
      <c r="Q84" s="1244"/>
      <c r="R84" s="1244"/>
      <c r="S84" s="1244"/>
      <c r="T84" s="1244"/>
      <c r="U84" s="1244"/>
      <c r="V84" s="1244"/>
      <c r="W84" s="1244"/>
      <c r="X84" s="1244"/>
      <c r="Y84" s="1244"/>
      <c r="Z84" s="1244"/>
      <c r="AA84" s="1244"/>
      <c r="AB84" s="1244"/>
      <c r="AC84" s="1244"/>
      <c r="AD84" s="1244"/>
      <c r="AE84" s="1244"/>
      <c r="AF84" s="1244"/>
      <c r="AG84" s="1244"/>
    </row>
    <row r="85" spans="1:34">
      <c r="A85" s="1247" t="s">
        <v>2041</v>
      </c>
      <c r="B85" s="1246"/>
      <c r="C85" s="1246"/>
      <c r="D85" s="1246"/>
      <c r="E85" s="1246"/>
      <c r="F85" s="1246"/>
      <c r="G85" s="1246"/>
      <c r="H85" s="1246"/>
      <c r="I85" s="1245"/>
      <c r="J85" s="1244"/>
      <c r="K85" s="1244"/>
      <c r="L85" s="1244"/>
      <c r="M85" s="1244"/>
      <c r="N85" s="1244"/>
      <c r="O85" s="1244"/>
      <c r="P85" s="1244"/>
      <c r="Q85" s="1244"/>
      <c r="R85" s="1244"/>
      <c r="S85" s="1244"/>
      <c r="T85" s="1244"/>
      <c r="U85" s="1244"/>
      <c r="V85" s="1244"/>
      <c r="W85" s="1244"/>
      <c r="X85" s="1244"/>
      <c r="Y85" s="1244"/>
      <c r="Z85" s="1244"/>
      <c r="AA85" s="1244"/>
      <c r="AB85" s="1244"/>
      <c r="AC85" s="1244"/>
      <c r="AD85" s="1244"/>
      <c r="AE85" s="1244"/>
      <c r="AF85" s="1244"/>
      <c r="AG85" s="1244"/>
    </row>
    <row r="86" spans="1:34">
      <c r="A86" s="1247" t="s">
        <v>2040</v>
      </c>
      <c r="B86" s="1246"/>
      <c r="C86" s="1246"/>
      <c r="D86" s="1246"/>
      <c r="E86" s="1246"/>
      <c r="F86" s="1246"/>
      <c r="G86" s="1246"/>
      <c r="H86" s="1246"/>
      <c r="I86" s="1245"/>
      <c r="J86" s="1244"/>
      <c r="K86" s="1244"/>
      <c r="L86" s="1244"/>
      <c r="M86" s="1244"/>
      <c r="N86" s="1244"/>
      <c r="O86" s="1244"/>
      <c r="P86" s="1244"/>
      <c r="Q86" s="1244"/>
      <c r="R86" s="1244"/>
      <c r="S86" s="1244"/>
      <c r="T86" s="1244"/>
      <c r="U86" s="1244"/>
      <c r="V86" s="1244"/>
      <c r="W86" s="1244"/>
      <c r="X86" s="1244"/>
      <c r="Y86" s="1244"/>
      <c r="Z86" s="1244"/>
      <c r="AA86" s="1244"/>
      <c r="AB86" s="1244"/>
      <c r="AC86" s="1244"/>
      <c r="AD86" s="1244"/>
      <c r="AE86" s="1244"/>
      <c r="AF86" s="1244"/>
      <c r="AG86" s="1244"/>
      <c r="AH86" s="1239" t="s">
        <v>2039</v>
      </c>
    </row>
    <row r="87" spans="1:34">
      <c r="A87" s="1247" t="s">
        <v>2038</v>
      </c>
      <c r="B87" s="1246"/>
      <c r="C87" s="1246"/>
      <c r="D87" s="1246"/>
      <c r="E87" s="1246"/>
      <c r="F87" s="1246"/>
      <c r="G87" s="1246"/>
      <c r="H87" s="1246"/>
      <c r="I87" s="1245"/>
      <c r="J87" s="1244"/>
      <c r="K87" s="1244"/>
      <c r="L87" s="1244"/>
      <c r="M87" s="1244"/>
      <c r="N87" s="1244"/>
      <c r="O87" s="1244"/>
      <c r="P87" s="1244"/>
      <c r="Q87" s="1244"/>
      <c r="R87" s="1244"/>
      <c r="S87" s="1244"/>
      <c r="T87" s="1244"/>
      <c r="U87" s="1244"/>
      <c r="V87" s="1244"/>
      <c r="W87" s="1244"/>
      <c r="X87" s="1244"/>
      <c r="Y87" s="1244"/>
      <c r="Z87" s="1244"/>
      <c r="AA87" s="1244"/>
      <c r="AB87" s="1244"/>
      <c r="AC87" s="1244"/>
      <c r="AD87" s="1244"/>
      <c r="AE87" s="1244"/>
      <c r="AF87" s="1244"/>
      <c r="AG87" s="1244"/>
      <c r="AH87" s="1239" t="s">
        <v>2037</v>
      </c>
    </row>
    <row r="88" spans="1:34">
      <c r="A88" s="1247" t="s">
        <v>2036</v>
      </c>
      <c r="B88" s="1246"/>
      <c r="C88" s="1246"/>
      <c r="D88" s="1246"/>
      <c r="E88" s="1246"/>
      <c r="F88" s="1246"/>
      <c r="G88" s="1246"/>
      <c r="H88" s="1246"/>
      <c r="I88" s="1245"/>
      <c r="J88" s="1244"/>
      <c r="K88" s="1244"/>
      <c r="L88" s="1244"/>
      <c r="M88" s="1244"/>
      <c r="N88" s="1244"/>
      <c r="O88" s="1244"/>
      <c r="P88" s="1244"/>
      <c r="Q88" s="1244"/>
      <c r="R88" s="1244"/>
      <c r="S88" s="1244"/>
      <c r="T88" s="1244"/>
      <c r="U88" s="1244"/>
      <c r="V88" s="1244"/>
      <c r="W88" s="1244"/>
      <c r="X88" s="1244"/>
      <c r="Y88" s="1244"/>
      <c r="Z88" s="1244"/>
      <c r="AA88" s="1244"/>
      <c r="AB88" s="1244"/>
      <c r="AC88" s="1244"/>
      <c r="AD88" s="1244"/>
      <c r="AE88" s="1244"/>
      <c r="AF88" s="1244"/>
      <c r="AG88" s="1244"/>
      <c r="AH88" s="1239" t="s">
        <v>2035</v>
      </c>
    </row>
    <row r="89" spans="1:34">
      <c r="A89" s="1247" t="s">
        <v>2033</v>
      </c>
      <c r="B89" s="1246"/>
      <c r="C89" s="1246"/>
      <c r="D89" s="1246"/>
      <c r="E89" s="1246"/>
      <c r="F89" s="1246"/>
      <c r="G89" s="1246"/>
      <c r="H89" s="1246"/>
      <c r="I89" s="1245"/>
      <c r="J89" s="1244"/>
      <c r="K89" s="1244"/>
      <c r="L89" s="1244"/>
      <c r="M89" s="1244"/>
      <c r="N89" s="1244"/>
      <c r="O89" s="1244"/>
      <c r="P89" s="1244"/>
      <c r="Q89" s="1244"/>
      <c r="R89" s="1244"/>
      <c r="S89" s="1244"/>
      <c r="T89" s="1244"/>
      <c r="U89" s="1244"/>
      <c r="V89" s="1244"/>
      <c r="W89" s="1244"/>
      <c r="X89" s="1244"/>
      <c r="Y89" s="1244"/>
      <c r="Z89" s="1244"/>
      <c r="AA89" s="1244"/>
      <c r="AB89" s="1244"/>
      <c r="AC89" s="1244"/>
      <c r="AD89" s="1244"/>
      <c r="AE89" s="1244"/>
      <c r="AF89" s="1244"/>
      <c r="AG89" s="1244"/>
      <c r="AH89" s="1239" t="s">
        <v>2034</v>
      </c>
    </row>
    <row r="90" spans="1:34">
      <c r="A90" s="1247" t="s">
        <v>2033</v>
      </c>
      <c r="B90" s="1246"/>
      <c r="C90" s="1246"/>
      <c r="D90" s="1246"/>
      <c r="E90" s="1246"/>
      <c r="F90" s="1246"/>
      <c r="G90" s="1246"/>
      <c r="H90" s="1246"/>
      <c r="I90" s="1245"/>
      <c r="J90" s="1244"/>
      <c r="K90" s="1244"/>
      <c r="L90" s="1244"/>
      <c r="M90" s="1244"/>
      <c r="N90" s="1244"/>
      <c r="O90" s="1244"/>
      <c r="P90" s="1244"/>
      <c r="Q90" s="1244"/>
      <c r="R90" s="1244"/>
      <c r="S90" s="1244"/>
      <c r="T90" s="1244"/>
      <c r="U90" s="1244"/>
      <c r="V90" s="1244"/>
      <c r="W90" s="1244"/>
      <c r="X90" s="1244"/>
      <c r="Y90" s="1244"/>
      <c r="Z90" s="1244"/>
      <c r="AA90" s="1244"/>
      <c r="AB90" s="1244"/>
      <c r="AC90" s="1244"/>
      <c r="AD90" s="1244"/>
      <c r="AE90" s="1244"/>
      <c r="AF90" s="1244"/>
      <c r="AG90" s="1244"/>
      <c r="AH90" s="1239" t="s">
        <v>1973</v>
      </c>
    </row>
    <row r="91" spans="1:34">
      <c r="A91" s="1247" t="s">
        <v>2032</v>
      </c>
      <c r="B91" s="1246"/>
      <c r="C91" s="1246"/>
      <c r="D91" s="1246"/>
      <c r="E91" s="1246"/>
      <c r="F91" s="1246"/>
      <c r="G91" s="1246"/>
      <c r="H91" s="1246"/>
      <c r="I91" s="1245"/>
      <c r="J91" s="1244"/>
      <c r="K91" s="1244"/>
      <c r="L91" s="1244"/>
      <c r="M91" s="1244"/>
      <c r="N91" s="1244"/>
      <c r="O91" s="1244"/>
      <c r="P91" s="1244"/>
      <c r="Q91" s="1244"/>
      <c r="R91" s="1244"/>
      <c r="S91" s="1244"/>
      <c r="T91" s="1244"/>
      <c r="U91" s="1244"/>
      <c r="V91" s="1244"/>
      <c r="W91" s="1244"/>
      <c r="X91" s="1244"/>
      <c r="Y91" s="1244"/>
      <c r="Z91" s="1244"/>
      <c r="AA91" s="1244"/>
      <c r="AB91" s="1244"/>
      <c r="AC91" s="1244"/>
      <c r="AD91" s="1244"/>
      <c r="AE91" s="1244"/>
      <c r="AF91" s="1244"/>
      <c r="AG91" s="1244"/>
      <c r="AH91" s="1239" t="s">
        <v>2031</v>
      </c>
    </row>
    <row r="92" spans="1:34">
      <c r="A92" s="1247" t="s">
        <v>2030</v>
      </c>
      <c r="B92" s="1246"/>
      <c r="C92" s="1246"/>
      <c r="D92" s="1246"/>
      <c r="E92" s="1246"/>
      <c r="F92" s="1246"/>
      <c r="G92" s="1246"/>
      <c r="H92" s="1246"/>
      <c r="I92" s="1245"/>
      <c r="J92" s="1244"/>
      <c r="K92" s="1244"/>
      <c r="L92" s="1244"/>
      <c r="M92" s="1244"/>
      <c r="N92" s="1244"/>
      <c r="O92" s="1244"/>
      <c r="P92" s="1244"/>
      <c r="Q92" s="1244"/>
      <c r="R92" s="1244"/>
      <c r="S92" s="1244"/>
      <c r="T92" s="1244"/>
      <c r="U92" s="1244"/>
      <c r="V92" s="1244"/>
      <c r="W92" s="1244"/>
      <c r="X92" s="1244"/>
      <c r="Y92" s="1244"/>
      <c r="Z92" s="1244"/>
      <c r="AA92" s="1244"/>
      <c r="AB92" s="1244"/>
      <c r="AC92" s="1244"/>
      <c r="AD92" s="1244"/>
      <c r="AE92" s="1244"/>
      <c r="AF92" s="1244"/>
      <c r="AG92" s="1244"/>
      <c r="AH92" s="1239" t="s">
        <v>2029</v>
      </c>
    </row>
    <row r="93" spans="1:34">
      <c r="A93" s="1247" t="s">
        <v>2028</v>
      </c>
      <c r="B93" s="1246"/>
      <c r="C93" s="1246"/>
      <c r="D93" s="1246"/>
      <c r="E93" s="1246"/>
      <c r="F93" s="1246"/>
      <c r="G93" s="1246"/>
      <c r="H93" s="1246"/>
      <c r="I93" s="1245"/>
      <c r="J93" s="1244"/>
      <c r="K93" s="1244"/>
      <c r="L93" s="1244"/>
      <c r="M93" s="1244"/>
      <c r="N93" s="1244"/>
      <c r="O93" s="1244"/>
      <c r="P93" s="1244"/>
      <c r="Q93" s="1244"/>
      <c r="R93" s="1244"/>
      <c r="S93" s="1244"/>
      <c r="T93" s="1244"/>
      <c r="U93" s="1244"/>
      <c r="V93" s="1244"/>
      <c r="W93" s="1244"/>
      <c r="X93" s="1244"/>
      <c r="Y93" s="1244"/>
      <c r="Z93" s="1244"/>
      <c r="AA93" s="1244"/>
      <c r="AB93" s="1244"/>
      <c r="AC93" s="1244"/>
      <c r="AD93" s="1244"/>
      <c r="AE93" s="1244"/>
      <c r="AF93" s="1244"/>
      <c r="AG93" s="1244"/>
      <c r="AH93" s="1239" t="s">
        <v>2027</v>
      </c>
    </row>
    <row r="94" spans="1:34">
      <c r="A94" s="1247" t="s">
        <v>2026</v>
      </c>
      <c r="B94" s="1246"/>
      <c r="C94" s="1246"/>
      <c r="D94" s="1246"/>
      <c r="E94" s="1246"/>
      <c r="F94" s="1246"/>
      <c r="G94" s="1246"/>
      <c r="H94" s="1246"/>
      <c r="I94" s="1245"/>
      <c r="J94" s="1244"/>
      <c r="K94" s="1244"/>
      <c r="L94" s="1244"/>
      <c r="M94" s="1244"/>
      <c r="N94" s="1244"/>
      <c r="O94" s="1244"/>
      <c r="P94" s="1244"/>
      <c r="Q94" s="1244"/>
      <c r="R94" s="1244"/>
      <c r="S94" s="1244"/>
      <c r="T94" s="1244"/>
      <c r="U94" s="1244"/>
      <c r="V94" s="1244"/>
      <c r="W94" s="1244"/>
      <c r="X94" s="1244"/>
      <c r="Y94" s="1244"/>
      <c r="Z94" s="1244"/>
      <c r="AA94" s="1244"/>
      <c r="AB94" s="1244"/>
      <c r="AC94" s="1244"/>
      <c r="AD94" s="1244"/>
      <c r="AE94" s="1244"/>
      <c r="AF94" s="1244"/>
      <c r="AG94" s="1244"/>
      <c r="AH94" s="1239" t="s">
        <v>2025</v>
      </c>
    </row>
    <row r="95" spans="1:34">
      <c r="A95" s="1247" t="s">
        <v>2024</v>
      </c>
      <c r="B95" s="1246"/>
      <c r="C95" s="1246"/>
      <c r="D95" s="1246"/>
      <c r="E95" s="1246"/>
      <c r="F95" s="1246"/>
      <c r="G95" s="1246"/>
      <c r="H95" s="1246"/>
      <c r="I95" s="1245"/>
      <c r="J95" s="1244"/>
      <c r="K95" s="1244"/>
      <c r="L95" s="1244"/>
      <c r="M95" s="1244"/>
      <c r="N95" s="1244"/>
      <c r="O95" s="1244"/>
      <c r="P95" s="1244"/>
      <c r="Q95" s="1244"/>
      <c r="R95" s="1244"/>
      <c r="S95" s="1244"/>
      <c r="T95" s="1244"/>
      <c r="U95" s="1244"/>
      <c r="V95" s="1244"/>
      <c r="W95" s="1244"/>
      <c r="X95" s="1244"/>
      <c r="Y95" s="1244"/>
      <c r="Z95" s="1244"/>
      <c r="AA95" s="1244"/>
      <c r="AB95" s="1244"/>
      <c r="AC95" s="1244"/>
      <c r="AD95" s="1244"/>
      <c r="AE95" s="1244"/>
      <c r="AF95" s="1244"/>
      <c r="AG95" s="1244"/>
      <c r="AH95" s="1239" t="s">
        <v>1973</v>
      </c>
    </row>
    <row r="96" spans="1:34">
      <c r="A96" s="1247" t="s">
        <v>2023</v>
      </c>
      <c r="B96" s="1246"/>
      <c r="C96" s="1246"/>
      <c r="D96" s="1246"/>
      <c r="E96" s="1246"/>
      <c r="F96" s="1246"/>
      <c r="G96" s="1246"/>
      <c r="H96" s="1246"/>
      <c r="I96" s="1245"/>
      <c r="J96" s="1244"/>
      <c r="K96" s="1244"/>
      <c r="L96" s="1244"/>
      <c r="M96" s="1244"/>
      <c r="N96" s="1244"/>
      <c r="O96" s="1244"/>
      <c r="P96" s="1244"/>
      <c r="Q96" s="1244"/>
      <c r="R96" s="1244"/>
      <c r="S96" s="1244"/>
      <c r="T96" s="1244"/>
      <c r="U96" s="1244"/>
      <c r="V96" s="1244"/>
      <c r="W96" s="1244"/>
      <c r="X96" s="1244"/>
      <c r="Y96" s="1244"/>
      <c r="Z96" s="1244"/>
      <c r="AA96" s="1244"/>
      <c r="AB96" s="1244"/>
      <c r="AC96" s="1244"/>
      <c r="AD96" s="1244"/>
      <c r="AE96" s="1244"/>
      <c r="AF96" s="1244"/>
      <c r="AG96" s="1244"/>
      <c r="AH96" s="1239" t="s">
        <v>1971</v>
      </c>
    </row>
    <row r="97" spans="1:34">
      <c r="A97" s="1247" t="s">
        <v>2022</v>
      </c>
      <c r="B97" s="1246"/>
      <c r="C97" s="1246"/>
      <c r="D97" s="1246"/>
      <c r="E97" s="1246"/>
      <c r="F97" s="1246"/>
      <c r="G97" s="1246"/>
      <c r="H97" s="1246"/>
      <c r="I97" s="1245"/>
      <c r="J97" s="1244"/>
      <c r="K97" s="1244"/>
      <c r="L97" s="1244"/>
      <c r="M97" s="1244"/>
      <c r="N97" s="1244"/>
      <c r="O97" s="1244"/>
      <c r="P97" s="1244"/>
      <c r="Q97" s="1244"/>
      <c r="R97" s="1244"/>
      <c r="S97" s="1244"/>
      <c r="T97" s="1244"/>
      <c r="U97" s="1244"/>
      <c r="V97" s="1244"/>
      <c r="W97" s="1244"/>
      <c r="X97" s="1244"/>
      <c r="Y97" s="1244"/>
      <c r="Z97" s="1244"/>
      <c r="AA97" s="1244"/>
      <c r="AB97" s="1244"/>
      <c r="AC97" s="1244"/>
      <c r="AD97" s="1244"/>
      <c r="AE97" s="1244"/>
      <c r="AF97" s="1244"/>
      <c r="AG97" s="1244"/>
      <c r="AH97" s="1239" t="s">
        <v>1973</v>
      </c>
    </row>
    <row r="98" spans="1:34">
      <c r="A98" s="1247" t="s">
        <v>2021</v>
      </c>
      <c r="B98" s="1246"/>
      <c r="C98" s="1246"/>
      <c r="D98" s="1246"/>
      <c r="E98" s="1246"/>
      <c r="F98" s="1246"/>
      <c r="G98" s="1246"/>
      <c r="H98" s="1246"/>
      <c r="I98" s="1245"/>
      <c r="J98" s="1244"/>
      <c r="K98" s="1244"/>
      <c r="L98" s="1244"/>
      <c r="M98" s="1244"/>
      <c r="N98" s="1244"/>
      <c r="O98" s="1244"/>
      <c r="P98" s="1244"/>
      <c r="Q98" s="1244"/>
      <c r="R98" s="1244"/>
      <c r="S98" s="1244"/>
      <c r="T98" s="1244"/>
      <c r="U98" s="1244"/>
      <c r="V98" s="1244"/>
      <c r="W98" s="1244"/>
      <c r="X98" s="1244"/>
      <c r="Y98" s="1244"/>
      <c r="Z98" s="1244"/>
      <c r="AA98" s="1244"/>
      <c r="AB98" s="1244"/>
      <c r="AC98" s="1244"/>
      <c r="AD98" s="1244"/>
      <c r="AE98" s="1244"/>
      <c r="AF98" s="1244"/>
      <c r="AG98" s="1244"/>
      <c r="AH98" s="1239" t="s">
        <v>1971</v>
      </c>
    </row>
    <row r="99" spans="1:34">
      <c r="A99" s="1247" t="s">
        <v>2020</v>
      </c>
      <c r="B99" s="1246"/>
      <c r="C99" s="1246"/>
      <c r="D99" s="1246"/>
      <c r="E99" s="1246"/>
      <c r="F99" s="1246"/>
      <c r="G99" s="1246"/>
      <c r="H99" s="1246"/>
      <c r="I99" s="1245"/>
      <c r="J99" s="1244"/>
      <c r="K99" s="1244"/>
      <c r="L99" s="1244"/>
      <c r="M99" s="1244"/>
      <c r="N99" s="1244"/>
      <c r="O99" s="1244"/>
      <c r="P99" s="1244"/>
      <c r="Q99" s="1244"/>
      <c r="R99" s="1244"/>
      <c r="S99" s="1244"/>
      <c r="T99" s="1244"/>
      <c r="U99" s="1244"/>
      <c r="V99" s="1244"/>
      <c r="W99" s="1244"/>
      <c r="X99" s="1244"/>
      <c r="Y99" s="1244"/>
      <c r="Z99" s="1244"/>
      <c r="AA99" s="1244"/>
      <c r="AB99" s="1244"/>
      <c r="AC99" s="1244"/>
      <c r="AD99" s="1244"/>
      <c r="AE99" s="1244"/>
      <c r="AF99" s="1244"/>
      <c r="AG99" s="1244"/>
      <c r="AH99" s="1239" t="s">
        <v>2019</v>
      </c>
    </row>
    <row r="100" spans="1:34">
      <c r="A100" s="1247" t="s">
        <v>2018</v>
      </c>
      <c r="B100" s="1246"/>
      <c r="C100" s="1246"/>
      <c r="D100" s="1246"/>
      <c r="E100" s="1246"/>
      <c r="F100" s="1246"/>
      <c r="G100" s="1246"/>
      <c r="H100" s="1246"/>
      <c r="I100" s="1245"/>
      <c r="J100" s="1244"/>
      <c r="K100" s="1244"/>
      <c r="L100" s="1244"/>
      <c r="M100" s="1244"/>
      <c r="N100" s="1244"/>
      <c r="O100" s="1244"/>
      <c r="P100" s="1244"/>
      <c r="Q100" s="1244"/>
      <c r="R100" s="1244"/>
      <c r="S100" s="1244"/>
      <c r="T100" s="1244"/>
      <c r="U100" s="1244"/>
      <c r="V100" s="1244"/>
      <c r="W100" s="1244"/>
      <c r="X100" s="1244"/>
      <c r="Y100" s="1244"/>
      <c r="Z100" s="1244"/>
      <c r="AA100" s="1244"/>
      <c r="AB100" s="1244"/>
      <c r="AC100" s="1244"/>
      <c r="AD100" s="1244"/>
      <c r="AE100" s="1244"/>
      <c r="AF100" s="1244"/>
      <c r="AG100" s="1244"/>
      <c r="AH100" s="1239" t="s">
        <v>2017</v>
      </c>
    </row>
    <row r="101" spans="1:34">
      <c r="A101" s="1247" t="s">
        <v>2016</v>
      </c>
      <c r="B101" s="1246"/>
      <c r="C101" s="1246"/>
      <c r="D101" s="1246"/>
      <c r="E101" s="1246"/>
      <c r="F101" s="1246"/>
      <c r="G101" s="1246"/>
      <c r="H101" s="1246"/>
      <c r="I101" s="1245"/>
      <c r="J101" s="1244"/>
      <c r="K101" s="1244"/>
      <c r="L101" s="1244"/>
      <c r="M101" s="1244"/>
      <c r="N101" s="1244"/>
      <c r="O101" s="1244"/>
      <c r="P101" s="1244"/>
      <c r="Q101" s="1244"/>
      <c r="R101" s="1244"/>
      <c r="S101" s="1244"/>
      <c r="T101" s="1244"/>
      <c r="U101" s="1244"/>
      <c r="V101" s="1244"/>
      <c r="W101" s="1244"/>
      <c r="X101" s="1244"/>
      <c r="Y101" s="1244"/>
      <c r="Z101" s="1244"/>
      <c r="AA101" s="1244"/>
      <c r="AB101" s="1244"/>
      <c r="AC101" s="1244"/>
      <c r="AD101" s="1244"/>
      <c r="AE101" s="1244"/>
      <c r="AF101" s="1244"/>
      <c r="AG101" s="1244"/>
      <c r="AH101" s="1239" t="s">
        <v>2015</v>
      </c>
    </row>
    <row r="102" spans="1:34">
      <c r="A102" s="1247" t="s">
        <v>2014</v>
      </c>
      <c r="B102" s="1246"/>
      <c r="C102" s="1246"/>
      <c r="D102" s="1246"/>
      <c r="E102" s="1246"/>
      <c r="F102" s="1246"/>
      <c r="G102" s="1246"/>
      <c r="H102" s="1246"/>
      <c r="I102" s="1245"/>
      <c r="J102" s="1244"/>
      <c r="K102" s="1244"/>
      <c r="L102" s="1244"/>
      <c r="M102" s="1244"/>
      <c r="N102" s="1244"/>
      <c r="O102" s="1244"/>
      <c r="P102" s="1244"/>
      <c r="Q102" s="1244"/>
      <c r="R102" s="1244"/>
      <c r="S102" s="1244"/>
      <c r="T102" s="1244"/>
      <c r="U102" s="1244"/>
      <c r="V102" s="1244"/>
      <c r="W102" s="1244"/>
      <c r="X102" s="1244"/>
      <c r="Y102" s="1244"/>
      <c r="Z102" s="1244"/>
      <c r="AA102" s="1244"/>
      <c r="AB102" s="1244"/>
      <c r="AC102" s="1244"/>
      <c r="AD102" s="1244"/>
      <c r="AE102" s="1244"/>
      <c r="AF102" s="1244"/>
      <c r="AG102" s="1244"/>
      <c r="AH102" s="1239" t="s">
        <v>2013</v>
      </c>
    </row>
    <row r="103" spans="1:34">
      <c r="A103" s="1247" t="s">
        <v>2012</v>
      </c>
      <c r="B103" s="1246"/>
      <c r="C103" s="1246"/>
      <c r="D103" s="1246"/>
      <c r="E103" s="1246"/>
      <c r="F103" s="1246"/>
      <c r="G103" s="1246"/>
      <c r="H103" s="1246"/>
      <c r="I103" s="1245"/>
      <c r="J103" s="1244"/>
      <c r="K103" s="1244"/>
      <c r="L103" s="1244"/>
      <c r="M103" s="1244"/>
      <c r="N103" s="1244"/>
      <c r="O103" s="1244"/>
      <c r="P103" s="1244"/>
      <c r="Q103" s="1244"/>
      <c r="R103" s="1244"/>
      <c r="S103" s="1244"/>
      <c r="T103" s="1244"/>
      <c r="U103" s="1244"/>
      <c r="V103" s="1244"/>
      <c r="W103" s="1244"/>
      <c r="X103" s="1244"/>
      <c r="Y103" s="1244"/>
      <c r="Z103" s="1244"/>
      <c r="AA103" s="1244"/>
      <c r="AB103" s="1244"/>
      <c r="AC103" s="1244"/>
      <c r="AD103" s="1244"/>
      <c r="AE103" s="1244"/>
      <c r="AF103" s="1244"/>
      <c r="AG103" s="1244"/>
      <c r="AH103" s="1239" t="s">
        <v>2011</v>
      </c>
    </row>
    <row r="104" spans="1:34">
      <c r="A104" s="1247" t="s">
        <v>2010</v>
      </c>
      <c r="B104" s="1246"/>
      <c r="C104" s="1246"/>
      <c r="D104" s="1246"/>
      <c r="E104" s="1246"/>
      <c r="F104" s="1246"/>
      <c r="G104" s="1246"/>
      <c r="H104" s="1246"/>
      <c r="I104" s="1245"/>
      <c r="J104" s="1244"/>
      <c r="K104" s="1244"/>
      <c r="L104" s="1244"/>
      <c r="M104" s="1244"/>
      <c r="N104" s="1244"/>
      <c r="O104" s="1244"/>
      <c r="P104" s="1244"/>
      <c r="Q104" s="1244"/>
      <c r="R104" s="1244"/>
      <c r="S104" s="1244"/>
      <c r="T104" s="1244"/>
      <c r="U104" s="1244"/>
      <c r="V104" s="1244"/>
      <c r="W104" s="1244"/>
      <c r="X104" s="1244"/>
      <c r="Y104" s="1244"/>
      <c r="Z104" s="1244"/>
      <c r="AA104" s="1244"/>
      <c r="AB104" s="1244"/>
      <c r="AC104" s="1244"/>
      <c r="AD104" s="1244"/>
      <c r="AE104" s="1244"/>
      <c r="AF104" s="1244"/>
      <c r="AG104" s="1244"/>
      <c r="AH104" s="1239" t="s">
        <v>2009</v>
      </c>
    </row>
    <row r="105" spans="1:34">
      <c r="A105" s="1247" t="s">
        <v>2008</v>
      </c>
      <c r="B105" s="1246"/>
      <c r="C105" s="1246"/>
      <c r="D105" s="1246"/>
      <c r="E105" s="1246"/>
      <c r="F105" s="1246"/>
      <c r="G105" s="1246"/>
      <c r="H105" s="1246"/>
      <c r="I105" s="1245"/>
      <c r="J105" s="1244"/>
      <c r="K105" s="1244"/>
      <c r="L105" s="1244"/>
      <c r="M105" s="1244"/>
      <c r="N105" s="1244"/>
      <c r="O105" s="1244"/>
      <c r="P105" s="1244"/>
      <c r="Q105" s="1244"/>
      <c r="R105" s="1244"/>
      <c r="S105" s="1244"/>
      <c r="T105" s="1244"/>
      <c r="U105" s="1244"/>
      <c r="V105" s="1244"/>
      <c r="W105" s="1244"/>
      <c r="X105" s="1244"/>
      <c r="Y105" s="1244"/>
      <c r="Z105" s="1244"/>
      <c r="AA105" s="1244"/>
      <c r="AB105" s="1244"/>
      <c r="AC105" s="1244"/>
      <c r="AD105" s="1244"/>
      <c r="AE105" s="1244"/>
      <c r="AF105" s="1244"/>
      <c r="AG105" s="1244"/>
      <c r="AH105" s="1239" t="s">
        <v>2007</v>
      </c>
    </row>
    <row r="106" spans="1:34">
      <c r="A106" s="1247" t="s">
        <v>2006</v>
      </c>
      <c r="B106" s="1246"/>
      <c r="C106" s="1246"/>
      <c r="D106" s="1246"/>
      <c r="E106" s="1246"/>
      <c r="F106" s="1246"/>
      <c r="G106" s="1246"/>
      <c r="H106" s="1246"/>
      <c r="I106" s="1245"/>
      <c r="J106" s="1244"/>
      <c r="K106" s="1244"/>
      <c r="L106" s="1244"/>
      <c r="M106" s="1244"/>
      <c r="N106" s="1244"/>
      <c r="O106" s="1244"/>
      <c r="P106" s="1244"/>
      <c r="Q106" s="1244"/>
      <c r="R106" s="1244"/>
      <c r="S106" s="1244"/>
      <c r="T106" s="1244"/>
      <c r="U106" s="1244"/>
      <c r="V106" s="1244"/>
      <c r="W106" s="1244"/>
      <c r="X106" s="1244"/>
      <c r="Y106" s="1244"/>
      <c r="Z106" s="1244"/>
      <c r="AA106" s="1244"/>
      <c r="AB106" s="1244"/>
      <c r="AC106" s="1244"/>
      <c r="AD106" s="1244"/>
      <c r="AE106" s="1244"/>
      <c r="AF106" s="1244"/>
      <c r="AG106" s="1244"/>
      <c r="AH106" s="1239" t="s">
        <v>2005</v>
      </c>
    </row>
    <row r="107" spans="1:34">
      <c r="A107" s="1247" t="s">
        <v>2004</v>
      </c>
      <c r="B107" s="1246"/>
      <c r="C107" s="1246"/>
      <c r="D107" s="1246"/>
      <c r="E107" s="1246"/>
      <c r="F107" s="1246"/>
      <c r="G107" s="1246"/>
      <c r="H107" s="1246"/>
      <c r="I107" s="1245"/>
      <c r="J107" s="1244"/>
      <c r="K107" s="1244"/>
      <c r="L107" s="1244"/>
      <c r="M107" s="1244"/>
      <c r="N107" s="1244"/>
      <c r="O107" s="1244"/>
      <c r="P107" s="1244"/>
      <c r="Q107" s="1244"/>
      <c r="R107" s="1244"/>
      <c r="S107" s="1244"/>
      <c r="T107" s="1244"/>
      <c r="U107" s="1244"/>
      <c r="V107" s="1244"/>
      <c r="W107" s="1244"/>
      <c r="X107" s="1244"/>
      <c r="Y107" s="1244"/>
      <c r="Z107" s="1244"/>
      <c r="AA107" s="1244"/>
      <c r="AB107" s="1244"/>
      <c r="AC107" s="1244"/>
      <c r="AD107" s="1244"/>
      <c r="AE107" s="1244"/>
      <c r="AF107" s="1244"/>
      <c r="AG107" s="1244"/>
      <c r="AH107" s="1239" t="s">
        <v>2003</v>
      </c>
    </row>
    <row r="108" spans="1:34">
      <c r="A108" s="1247" t="s">
        <v>2002</v>
      </c>
      <c r="B108" s="1246"/>
      <c r="C108" s="1246"/>
      <c r="D108" s="1246"/>
      <c r="E108" s="1246"/>
      <c r="F108" s="1246"/>
      <c r="G108" s="1246"/>
      <c r="H108" s="1246"/>
      <c r="I108" s="1245"/>
      <c r="J108" s="1244"/>
      <c r="K108" s="1244"/>
      <c r="L108" s="1244"/>
      <c r="M108" s="1244"/>
      <c r="N108" s="1244"/>
      <c r="O108" s="1244"/>
      <c r="P108" s="1244"/>
      <c r="Q108" s="1244"/>
      <c r="R108" s="1244"/>
      <c r="S108" s="1244"/>
      <c r="T108" s="1244"/>
      <c r="U108" s="1244"/>
      <c r="V108" s="1244"/>
      <c r="W108" s="1244"/>
      <c r="X108" s="1244"/>
      <c r="Y108" s="1244"/>
      <c r="Z108" s="1244"/>
      <c r="AA108" s="1244"/>
      <c r="AB108" s="1244"/>
      <c r="AC108" s="1244"/>
      <c r="AD108" s="1244"/>
      <c r="AE108" s="1244"/>
      <c r="AF108" s="1244"/>
      <c r="AG108" s="1244"/>
      <c r="AH108" s="1239" t="s">
        <v>2001</v>
      </c>
    </row>
    <row r="109" spans="1:34">
      <c r="A109" s="1247" t="s">
        <v>2000</v>
      </c>
      <c r="B109" s="1246"/>
      <c r="C109" s="1246"/>
      <c r="D109" s="1246"/>
      <c r="E109" s="1246"/>
      <c r="F109" s="1246"/>
      <c r="G109" s="1246"/>
      <c r="H109" s="1246"/>
      <c r="I109" s="1245"/>
      <c r="J109" s="1244"/>
      <c r="K109" s="1244"/>
      <c r="L109" s="1244"/>
      <c r="M109" s="1244"/>
      <c r="N109" s="1244"/>
      <c r="O109" s="1244"/>
      <c r="P109" s="1244"/>
      <c r="Q109" s="1244"/>
      <c r="R109" s="1244"/>
      <c r="S109" s="1244"/>
      <c r="T109" s="1244"/>
      <c r="U109" s="1244"/>
      <c r="V109" s="1244"/>
      <c r="W109" s="1244"/>
      <c r="X109" s="1244"/>
      <c r="Y109" s="1244"/>
      <c r="Z109" s="1244"/>
      <c r="AA109" s="1244"/>
      <c r="AB109" s="1244"/>
      <c r="AC109" s="1244"/>
      <c r="AD109" s="1244"/>
      <c r="AE109" s="1244"/>
      <c r="AF109" s="1244"/>
      <c r="AG109" s="1244"/>
      <c r="AH109" s="1239" t="s">
        <v>1999</v>
      </c>
    </row>
    <row r="110" spans="1:34">
      <c r="A110" s="1247" t="s">
        <v>1998</v>
      </c>
      <c r="B110" s="1246"/>
      <c r="C110" s="1246"/>
      <c r="D110" s="1246"/>
      <c r="E110" s="1246"/>
      <c r="F110" s="1246"/>
      <c r="G110" s="1246"/>
      <c r="H110" s="1246"/>
      <c r="I110" s="1245"/>
      <c r="J110" s="1244"/>
      <c r="K110" s="1244"/>
      <c r="L110" s="1244"/>
      <c r="M110" s="1244"/>
      <c r="N110" s="1244"/>
      <c r="O110" s="1244"/>
      <c r="P110" s="1244"/>
      <c r="Q110" s="1244"/>
      <c r="R110" s="1244"/>
      <c r="S110" s="1244"/>
      <c r="T110" s="1244"/>
      <c r="U110" s="1244"/>
      <c r="V110" s="1244"/>
      <c r="W110" s="1244"/>
      <c r="X110" s="1244"/>
      <c r="Y110" s="1244"/>
      <c r="Z110" s="1244"/>
      <c r="AA110" s="1244"/>
      <c r="AB110" s="1244"/>
      <c r="AC110" s="1244"/>
      <c r="AD110" s="1244"/>
      <c r="AE110" s="1244"/>
      <c r="AF110" s="1244"/>
      <c r="AG110" s="1244"/>
      <c r="AH110" s="1239" t="s">
        <v>1997</v>
      </c>
    </row>
    <row r="111" spans="1:34">
      <c r="A111" s="1247" t="s">
        <v>1996</v>
      </c>
      <c r="B111" s="1246"/>
      <c r="C111" s="1246"/>
      <c r="D111" s="1246"/>
      <c r="E111" s="1246"/>
      <c r="F111" s="1246"/>
      <c r="G111" s="1246"/>
      <c r="H111" s="1246"/>
      <c r="I111" s="1245"/>
      <c r="J111" s="1244"/>
      <c r="K111" s="1244"/>
      <c r="L111" s="1244"/>
      <c r="M111" s="1244"/>
      <c r="N111" s="1244"/>
      <c r="O111" s="1244"/>
      <c r="P111" s="1244"/>
      <c r="Q111" s="1244"/>
      <c r="R111" s="1244"/>
      <c r="S111" s="1244"/>
      <c r="T111" s="1244"/>
      <c r="U111" s="1244"/>
      <c r="V111" s="1244"/>
      <c r="W111" s="1244"/>
      <c r="X111" s="1244"/>
      <c r="Y111" s="1244"/>
      <c r="Z111" s="1244"/>
      <c r="AA111" s="1244"/>
      <c r="AB111" s="1244"/>
      <c r="AC111" s="1244"/>
      <c r="AD111" s="1244"/>
      <c r="AE111" s="1244"/>
      <c r="AF111" s="1244"/>
      <c r="AG111" s="1244"/>
      <c r="AH111" s="1239" t="s">
        <v>1995</v>
      </c>
    </row>
    <row r="112" spans="1:34">
      <c r="A112" s="1247" t="s">
        <v>1994</v>
      </c>
      <c r="B112" s="1246"/>
      <c r="C112" s="1246"/>
      <c r="D112" s="1246"/>
      <c r="E112" s="1246"/>
      <c r="F112" s="1246"/>
      <c r="G112" s="1246"/>
      <c r="H112" s="1246"/>
      <c r="I112" s="1245"/>
      <c r="J112" s="1244"/>
      <c r="K112" s="1244"/>
      <c r="L112" s="1244"/>
      <c r="M112" s="1244"/>
      <c r="N112" s="1244"/>
      <c r="O112" s="1244"/>
      <c r="P112" s="1244"/>
      <c r="Q112" s="1244"/>
      <c r="R112" s="1244"/>
      <c r="S112" s="1244"/>
      <c r="T112" s="1244"/>
      <c r="U112" s="1244"/>
      <c r="V112" s="1244"/>
      <c r="W112" s="1244"/>
      <c r="X112" s="1244"/>
      <c r="Y112" s="1244"/>
      <c r="Z112" s="1244"/>
      <c r="AA112" s="1244"/>
      <c r="AB112" s="1244"/>
      <c r="AC112" s="1244"/>
      <c r="AD112" s="1244"/>
      <c r="AE112" s="1244"/>
      <c r="AF112" s="1244"/>
      <c r="AG112" s="1244"/>
      <c r="AH112" s="1239" t="s">
        <v>1993</v>
      </c>
    </row>
    <row r="113" spans="1:34">
      <c r="A113" s="1247" t="s">
        <v>1990</v>
      </c>
      <c r="B113" s="1246"/>
      <c r="C113" s="1246"/>
      <c r="D113" s="1246"/>
      <c r="E113" s="1246"/>
      <c r="F113" s="1246"/>
      <c r="G113" s="1246"/>
      <c r="H113" s="1246"/>
      <c r="I113" s="1245"/>
      <c r="J113" s="1244"/>
      <c r="K113" s="1244"/>
      <c r="L113" s="1244"/>
      <c r="M113" s="1244"/>
      <c r="N113" s="1244"/>
      <c r="O113" s="1244"/>
      <c r="P113" s="1244"/>
      <c r="Q113" s="1244"/>
      <c r="R113" s="1244"/>
      <c r="S113" s="1244"/>
      <c r="T113" s="1244"/>
      <c r="U113" s="1244"/>
      <c r="V113" s="1244"/>
      <c r="W113" s="1244"/>
      <c r="X113" s="1244"/>
      <c r="Y113" s="1244"/>
      <c r="Z113" s="1244"/>
      <c r="AA113" s="1244"/>
      <c r="AB113" s="1244"/>
      <c r="AC113" s="1244"/>
      <c r="AD113" s="1244"/>
      <c r="AE113" s="1244"/>
      <c r="AF113" s="1244"/>
      <c r="AG113" s="1244"/>
      <c r="AH113" s="1239" t="s">
        <v>1992</v>
      </c>
    </row>
    <row r="114" spans="1:34">
      <c r="A114" s="1247" t="s">
        <v>1988</v>
      </c>
      <c r="B114" s="1246"/>
      <c r="C114" s="1246"/>
      <c r="D114" s="1246"/>
      <c r="E114" s="1246"/>
      <c r="F114" s="1246"/>
      <c r="G114" s="1246"/>
      <c r="H114" s="1246"/>
      <c r="I114" s="1245"/>
      <c r="J114" s="1244"/>
      <c r="K114" s="1244"/>
      <c r="L114" s="1244"/>
      <c r="M114" s="1244"/>
      <c r="N114" s="1244"/>
      <c r="O114" s="1244"/>
      <c r="P114" s="1244"/>
      <c r="Q114" s="1244"/>
      <c r="R114" s="1244"/>
      <c r="S114" s="1244"/>
      <c r="T114" s="1244"/>
      <c r="U114" s="1244"/>
      <c r="V114" s="1244"/>
      <c r="W114" s="1244"/>
      <c r="X114" s="1244"/>
      <c r="Y114" s="1244"/>
      <c r="Z114" s="1244"/>
      <c r="AA114" s="1244"/>
      <c r="AB114" s="1244"/>
      <c r="AC114" s="1244"/>
      <c r="AD114" s="1244"/>
      <c r="AE114" s="1244"/>
      <c r="AF114" s="1244"/>
      <c r="AG114" s="1244"/>
      <c r="AH114" s="1239" t="s">
        <v>1991</v>
      </c>
    </row>
    <row r="115" spans="1:34">
      <c r="A115" s="1247" t="s">
        <v>1990</v>
      </c>
      <c r="B115" s="1246"/>
      <c r="C115" s="1246"/>
      <c r="D115" s="1246"/>
      <c r="E115" s="1246"/>
      <c r="F115" s="1246"/>
      <c r="G115" s="1246"/>
      <c r="H115" s="1246"/>
      <c r="I115" s="1245"/>
      <c r="J115" s="1244"/>
      <c r="K115" s="1244"/>
      <c r="L115" s="1244"/>
      <c r="M115" s="1244"/>
      <c r="N115" s="1244"/>
      <c r="O115" s="1244"/>
      <c r="P115" s="1244"/>
      <c r="Q115" s="1244"/>
      <c r="R115" s="1244"/>
      <c r="S115" s="1244"/>
      <c r="T115" s="1244"/>
      <c r="U115" s="1244"/>
      <c r="V115" s="1244"/>
      <c r="W115" s="1244"/>
      <c r="X115" s="1244"/>
      <c r="Y115" s="1244"/>
      <c r="Z115" s="1244"/>
      <c r="AA115" s="1244"/>
      <c r="AB115" s="1244"/>
      <c r="AC115" s="1244"/>
      <c r="AD115" s="1244"/>
      <c r="AE115" s="1244"/>
      <c r="AF115" s="1244"/>
      <c r="AG115" s="1244"/>
      <c r="AH115" s="1239" t="s">
        <v>1989</v>
      </c>
    </row>
    <row r="116" spans="1:34">
      <c r="A116" s="1247" t="s">
        <v>1988</v>
      </c>
      <c r="B116" s="1246"/>
      <c r="C116" s="1246"/>
      <c r="D116" s="1246"/>
      <c r="E116" s="1246"/>
      <c r="F116" s="1246"/>
      <c r="G116" s="1246"/>
      <c r="H116" s="1246"/>
      <c r="I116" s="1245"/>
      <c r="J116" s="1244"/>
      <c r="K116" s="1244"/>
      <c r="L116" s="1244"/>
      <c r="M116" s="1244"/>
      <c r="N116" s="1244"/>
      <c r="O116" s="1244"/>
      <c r="P116" s="1244"/>
      <c r="Q116" s="1244"/>
      <c r="R116" s="1244"/>
      <c r="S116" s="1244"/>
      <c r="T116" s="1244"/>
      <c r="U116" s="1244"/>
      <c r="V116" s="1244"/>
      <c r="W116" s="1244"/>
      <c r="X116" s="1244"/>
      <c r="Y116" s="1244"/>
      <c r="Z116" s="1244"/>
      <c r="AA116" s="1244"/>
      <c r="AB116" s="1244"/>
      <c r="AC116" s="1244"/>
      <c r="AD116" s="1244"/>
      <c r="AE116" s="1244"/>
      <c r="AF116" s="1244"/>
      <c r="AG116" s="1244"/>
      <c r="AH116" s="1239" t="s">
        <v>1987</v>
      </c>
    </row>
    <row r="117" spans="1:34">
      <c r="A117" s="1247" t="s">
        <v>1986</v>
      </c>
      <c r="B117" s="1246"/>
      <c r="C117" s="1246"/>
      <c r="D117" s="1246"/>
      <c r="E117" s="1246"/>
      <c r="F117" s="1246"/>
      <c r="G117" s="1246"/>
      <c r="H117" s="1246"/>
      <c r="I117" s="1245"/>
      <c r="J117" s="1244"/>
      <c r="K117" s="1244"/>
      <c r="L117" s="1244"/>
      <c r="M117" s="1244"/>
      <c r="N117" s="1244"/>
      <c r="O117" s="1244"/>
      <c r="P117" s="1244"/>
      <c r="Q117" s="1244"/>
      <c r="R117" s="1244"/>
      <c r="S117" s="1244"/>
      <c r="T117" s="1244"/>
      <c r="U117" s="1244"/>
      <c r="V117" s="1244"/>
      <c r="W117" s="1244"/>
      <c r="X117" s="1244"/>
      <c r="Y117" s="1244"/>
      <c r="Z117" s="1244"/>
      <c r="AA117" s="1244"/>
      <c r="AB117" s="1244"/>
      <c r="AC117" s="1244"/>
      <c r="AD117" s="1244"/>
      <c r="AE117" s="1244"/>
      <c r="AF117" s="1244"/>
      <c r="AG117" s="1244"/>
      <c r="AH117" s="1239" t="s">
        <v>1985</v>
      </c>
    </row>
    <row r="118" spans="1:34">
      <c r="A118" s="1247" t="s">
        <v>1984</v>
      </c>
      <c r="B118" s="1246"/>
      <c r="C118" s="1246"/>
      <c r="D118" s="1246"/>
      <c r="E118" s="1246"/>
      <c r="F118" s="1246"/>
      <c r="G118" s="1246"/>
      <c r="H118" s="1246"/>
      <c r="I118" s="1245"/>
      <c r="J118" s="1244"/>
      <c r="K118" s="1244"/>
      <c r="L118" s="1244"/>
      <c r="M118" s="1244"/>
      <c r="N118" s="1244"/>
      <c r="O118" s="1244"/>
      <c r="P118" s="1244"/>
      <c r="Q118" s="1244"/>
      <c r="R118" s="1244"/>
      <c r="S118" s="1244"/>
      <c r="T118" s="1244"/>
      <c r="U118" s="1244"/>
      <c r="V118" s="1244"/>
      <c r="W118" s="1244"/>
      <c r="X118" s="1244"/>
      <c r="Y118" s="1244"/>
      <c r="Z118" s="1244"/>
      <c r="AA118" s="1244"/>
      <c r="AB118" s="1244"/>
      <c r="AC118" s="1244"/>
      <c r="AD118" s="1244"/>
      <c r="AE118" s="1244"/>
      <c r="AF118" s="1244"/>
      <c r="AG118" s="1244"/>
      <c r="AH118" s="1239" t="s">
        <v>1983</v>
      </c>
    </row>
    <row r="119" spans="1:34">
      <c r="A119" s="1247" t="s">
        <v>1982</v>
      </c>
      <c r="B119" s="1246"/>
      <c r="C119" s="1246"/>
      <c r="D119" s="1246"/>
      <c r="E119" s="1246"/>
      <c r="F119" s="1246"/>
      <c r="G119" s="1246"/>
      <c r="H119" s="1246"/>
      <c r="I119" s="1245"/>
      <c r="J119" s="1244"/>
      <c r="K119" s="1244"/>
      <c r="L119" s="1244"/>
      <c r="M119" s="1244"/>
      <c r="N119" s="1244"/>
      <c r="O119" s="1244"/>
      <c r="P119" s="1244"/>
      <c r="Q119" s="1244"/>
      <c r="R119" s="1244"/>
      <c r="S119" s="1244"/>
      <c r="T119" s="1244"/>
      <c r="U119" s="1244"/>
      <c r="V119" s="1244"/>
      <c r="W119" s="1244"/>
      <c r="X119" s="1244"/>
      <c r="Y119" s="1244"/>
      <c r="Z119" s="1244"/>
      <c r="AA119" s="1244"/>
      <c r="AB119" s="1244"/>
      <c r="AC119" s="1244"/>
      <c r="AD119" s="1244"/>
      <c r="AE119" s="1244"/>
      <c r="AF119" s="1244"/>
      <c r="AG119" s="1244"/>
      <c r="AH119" s="1239" t="s">
        <v>1981</v>
      </c>
    </row>
    <row r="120" spans="1:34">
      <c r="A120" s="1247" t="s">
        <v>1980</v>
      </c>
      <c r="B120" s="1246"/>
      <c r="C120" s="1246"/>
      <c r="D120" s="1246"/>
      <c r="E120" s="1246"/>
      <c r="F120" s="1246"/>
      <c r="G120" s="1246"/>
      <c r="H120" s="1246"/>
      <c r="I120" s="1245"/>
      <c r="J120" s="1244"/>
      <c r="K120" s="1244"/>
      <c r="L120" s="1244"/>
      <c r="M120" s="1244"/>
      <c r="N120" s="1244"/>
      <c r="O120" s="1244"/>
      <c r="P120" s="1244"/>
      <c r="Q120" s="1244"/>
      <c r="R120" s="1244"/>
      <c r="S120" s="1244"/>
      <c r="T120" s="1244"/>
      <c r="U120" s="1244"/>
      <c r="V120" s="1244"/>
      <c r="W120" s="1244"/>
      <c r="X120" s="1244"/>
      <c r="Y120" s="1244"/>
      <c r="Z120" s="1244"/>
      <c r="AA120" s="1244"/>
      <c r="AB120" s="1244"/>
      <c r="AC120" s="1244"/>
      <c r="AD120" s="1244"/>
      <c r="AE120" s="1244"/>
      <c r="AF120" s="1244"/>
      <c r="AG120" s="1244"/>
      <c r="AH120" s="1239" t="s">
        <v>1979</v>
      </c>
    </row>
    <row r="121" spans="1:34">
      <c r="A121" s="1247" t="s">
        <v>1978</v>
      </c>
      <c r="B121" s="1246"/>
      <c r="C121" s="1246"/>
      <c r="D121" s="1246"/>
      <c r="E121" s="1246"/>
      <c r="F121" s="1246"/>
      <c r="G121" s="1246"/>
      <c r="H121" s="1246"/>
      <c r="I121" s="1245"/>
      <c r="J121" s="1244"/>
      <c r="K121" s="1244"/>
      <c r="L121" s="1244"/>
      <c r="M121" s="1244"/>
      <c r="N121" s="1244"/>
      <c r="O121" s="1244"/>
      <c r="P121" s="1244"/>
      <c r="Q121" s="1244"/>
      <c r="R121" s="1244"/>
      <c r="S121" s="1244"/>
      <c r="T121" s="1244"/>
      <c r="U121" s="1244"/>
      <c r="V121" s="1244"/>
      <c r="W121" s="1244"/>
      <c r="X121" s="1244"/>
      <c r="Y121" s="1244"/>
      <c r="Z121" s="1244"/>
      <c r="AA121" s="1244"/>
      <c r="AB121" s="1244"/>
      <c r="AC121" s="1244"/>
      <c r="AD121" s="1244"/>
      <c r="AE121" s="1244"/>
      <c r="AF121" s="1244"/>
      <c r="AG121" s="1244"/>
      <c r="AH121" s="1239" t="s">
        <v>1977</v>
      </c>
    </row>
    <row r="122" spans="1:34">
      <c r="A122" s="1247" t="s">
        <v>1976</v>
      </c>
      <c r="B122" s="1246"/>
      <c r="C122" s="1246"/>
      <c r="D122" s="1246"/>
      <c r="E122" s="1246"/>
      <c r="F122" s="1246"/>
      <c r="G122" s="1246"/>
      <c r="H122" s="1246"/>
      <c r="I122" s="1245"/>
      <c r="J122" s="1244"/>
      <c r="K122" s="1244"/>
      <c r="L122" s="1244"/>
      <c r="M122" s="1244"/>
      <c r="N122" s="1244"/>
      <c r="O122" s="1244"/>
      <c r="P122" s="1244"/>
      <c r="Q122" s="1244"/>
      <c r="R122" s="1244"/>
      <c r="S122" s="1244"/>
      <c r="T122" s="1244"/>
      <c r="U122" s="1244"/>
      <c r="V122" s="1244"/>
      <c r="W122" s="1244"/>
      <c r="X122" s="1244"/>
      <c r="Y122" s="1244"/>
      <c r="Z122" s="1244"/>
      <c r="AA122" s="1244"/>
      <c r="AB122" s="1244"/>
      <c r="AC122" s="1244"/>
      <c r="AD122" s="1244"/>
      <c r="AE122" s="1244"/>
      <c r="AF122" s="1244"/>
      <c r="AG122" s="1244"/>
      <c r="AH122" s="1239" t="s">
        <v>1975</v>
      </c>
    </row>
    <row r="123" spans="1:34">
      <c r="A123" s="1247" t="s">
        <v>1974</v>
      </c>
      <c r="B123" s="1246"/>
      <c r="C123" s="1246"/>
      <c r="D123" s="1246"/>
      <c r="E123" s="1246"/>
      <c r="F123" s="1246"/>
      <c r="G123" s="1246"/>
      <c r="H123" s="1246"/>
      <c r="I123" s="1245"/>
      <c r="J123" s="1244"/>
      <c r="K123" s="1244"/>
      <c r="L123" s="1244"/>
      <c r="M123" s="1244"/>
      <c r="N123" s="1244"/>
      <c r="O123" s="1244"/>
      <c r="P123" s="1244"/>
      <c r="Q123" s="1244"/>
      <c r="R123" s="1244"/>
      <c r="S123" s="1244"/>
      <c r="T123" s="1244"/>
      <c r="U123" s="1244"/>
      <c r="V123" s="1244"/>
      <c r="W123" s="1244"/>
      <c r="X123" s="1244"/>
      <c r="Y123" s="1244"/>
      <c r="Z123" s="1244"/>
      <c r="AA123" s="1244"/>
      <c r="AB123" s="1244"/>
      <c r="AC123" s="1244"/>
      <c r="AD123" s="1244"/>
      <c r="AE123" s="1244"/>
      <c r="AF123" s="1244"/>
      <c r="AG123" s="1244"/>
      <c r="AH123" s="1239" t="s">
        <v>1973</v>
      </c>
    </row>
    <row r="124" spans="1:34">
      <c r="A124" s="1247" t="s">
        <v>1972</v>
      </c>
      <c r="B124" s="1246"/>
      <c r="C124" s="1246"/>
      <c r="D124" s="1246"/>
      <c r="E124" s="1246"/>
      <c r="F124" s="1246"/>
      <c r="G124" s="1246"/>
      <c r="H124" s="1246"/>
      <c r="I124" s="1245"/>
      <c r="J124" s="1244"/>
      <c r="K124" s="1244"/>
      <c r="L124" s="1244"/>
      <c r="M124" s="1244"/>
      <c r="N124" s="1244"/>
      <c r="O124" s="1244"/>
      <c r="P124" s="1244"/>
      <c r="Q124" s="1244"/>
      <c r="R124" s="1244"/>
      <c r="S124" s="1244"/>
      <c r="T124" s="1244"/>
      <c r="U124" s="1244"/>
      <c r="V124" s="1244"/>
      <c r="W124" s="1244"/>
      <c r="X124" s="1244"/>
      <c r="Y124" s="1244"/>
      <c r="Z124" s="1244"/>
      <c r="AA124" s="1244"/>
      <c r="AB124" s="1244"/>
      <c r="AC124" s="1244"/>
      <c r="AD124" s="1244"/>
      <c r="AE124" s="1244"/>
      <c r="AF124" s="1244"/>
      <c r="AG124" s="1244"/>
      <c r="AH124" s="1239" t="s">
        <v>1971</v>
      </c>
    </row>
    <row r="125" spans="1:34">
      <c r="A125" s="1247" t="s">
        <v>1970</v>
      </c>
      <c r="B125" s="1246"/>
      <c r="C125" s="1246"/>
      <c r="D125" s="1246"/>
      <c r="E125" s="1246"/>
      <c r="F125" s="1246"/>
      <c r="G125" s="1246"/>
      <c r="H125" s="1246"/>
      <c r="I125" s="1245"/>
      <c r="J125" s="1244"/>
      <c r="K125" s="1244"/>
      <c r="L125" s="1244"/>
      <c r="M125" s="1244"/>
      <c r="N125" s="1244"/>
      <c r="O125" s="1244"/>
      <c r="P125" s="1244"/>
      <c r="Q125" s="1244"/>
      <c r="R125" s="1244"/>
      <c r="S125" s="1244"/>
      <c r="T125" s="1244"/>
      <c r="U125" s="1244"/>
      <c r="V125" s="1244"/>
      <c r="W125" s="1244"/>
      <c r="X125" s="1244"/>
      <c r="Y125" s="1244"/>
      <c r="Z125" s="1244"/>
      <c r="AA125" s="1244"/>
      <c r="AB125" s="1244"/>
      <c r="AC125" s="1244"/>
      <c r="AD125" s="1244"/>
      <c r="AE125" s="1244"/>
      <c r="AF125" s="1244"/>
      <c r="AG125" s="1244"/>
      <c r="AH125" s="1239" t="s">
        <v>1969</v>
      </c>
    </row>
    <row r="126" spans="1:34">
      <c r="A126" s="1247" t="s">
        <v>1968</v>
      </c>
      <c r="B126" s="1246"/>
      <c r="C126" s="1246"/>
      <c r="D126" s="1246"/>
      <c r="E126" s="1246"/>
      <c r="F126" s="1246"/>
      <c r="G126" s="1246"/>
      <c r="H126" s="1246"/>
      <c r="I126" s="1245"/>
      <c r="J126" s="1244"/>
      <c r="K126" s="1244"/>
      <c r="L126" s="1244"/>
      <c r="M126" s="1244"/>
      <c r="N126" s="1244"/>
      <c r="O126" s="1244"/>
      <c r="P126" s="1244"/>
      <c r="Q126" s="1244"/>
      <c r="R126" s="1244"/>
      <c r="S126" s="1244"/>
      <c r="T126" s="1244"/>
      <c r="U126" s="1244"/>
      <c r="V126" s="1244"/>
      <c r="W126" s="1244"/>
      <c r="X126" s="1244"/>
      <c r="Y126" s="1244"/>
      <c r="Z126" s="1244"/>
      <c r="AA126" s="1244"/>
      <c r="AB126" s="1244"/>
      <c r="AC126" s="1244"/>
      <c r="AD126" s="1244"/>
      <c r="AE126" s="1244"/>
      <c r="AF126" s="1244"/>
      <c r="AG126" s="1244"/>
      <c r="AH126" s="1239" t="s">
        <v>1967</v>
      </c>
    </row>
    <row r="127" spans="1:34">
      <c r="A127" s="1247" t="s">
        <v>1966</v>
      </c>
      <c r="B127" s="1246"/>
      <c r="C127" s="1246"/>
      <c r="D127" s="1246"/>
      <c r="E127" s="1246"/>
      <c r="F127" s="1246"/>
      <c r="G127" s="1246"/>
      <c r="H127" s="1246"/>
      <c r="I127" s="1245"/>
      <c r="J127" s="1244"/>
      <c r="K127" s="1244"/>
      <c r="L127" s="1244"/>
      <c r="M127" s="1244"/>
      <c r="N127" s="1244"/>
      <c r="O127" s="1244"/>
      <c r="P127" s="1244"/>
      <c r="Q127" s="1244"/>
      <c r="R127" s="1244"/>
      <c r="S127" s="1244"/>
      <c r="T127" s="1244"/>
      <c r="U127" s="1244"/>
      <c r="V127" s="1244"/>
      <c r="W127" s="1244"/>
      <c r="X127" s="1244"/>
      <c r="Y127" s="1244"/>
      <c r="Z127" s="1244"/>
      <c r="AA127" s="1244"/>
      <c r="AB127" s="1244"/>
      <c r="AC127" s="1244"/>
      <c r="AD127" s="1244"/>
      <c r="AE127" s="1244"/>
      <c r="AF127" s="1244"/>
      <c r="AG127" s="1244"/>
      <c r="AH127" s="1239" t="s">
        <v>1964</v>
      </c>
    </row>
    <row r="128" spans="1:34">
      <c r="A128" s="1247" t="s">
        <v>1965</v>
      </c>
      <c r="B128" s="1246"/>
      <c r="C128" s="1246"/>
      <c r="D128" s="1246"/>
      <c r="E128" s="1246"/>
      <c r="F128" s="1246"/>
      <c r="G128" s="1246"/>
      <c r="H128" s="1246"/>
      <c r="I128" s="1245"/>
      <c r="J128" s="1244"/>
      <c r="K128" s="1244"/>
      <c r="L128" s="1244"/>
      <c r="M128" s="1244"/>
      <c r="N128" s="1244"/>
      <c r="O128" s="1244"/>
      <c r="P128" s="1244"/>
      <c r="Q128" s="1244"/>
      <c r="R128" s="1244"/>
      <c r="S128" s="1244"/>
      <c r="T128" s="1244"/>
      <c r="U128" s="1244"/>
      <c r="V128" s="1244"/>
      <c r="W128" s="1244"/>
      <c r="X128" s="1244"/>
      <c r="Y128" s="1244"/>
      <c r="Z128" s="1244"/>
      <c r="AA128" s="1244"/>
      <c r="AB128" s="1244"/>
      <c r="AC128" s="1244"/>
      <c r="AD128" s="1244"/>
      <c r="AE128" s="1244"/>
      <c r="AF128" s="1244"/>
      <c r="AG128" s="1244"/>
      <c r="AH128" s="1239" t="s">
        <v>1964</v>
      </c>
    </row>
    <row r="129" spans="1:48">
      <c r="A129" s="1247"/>
      <c r="B129" s="1246"/>
      <c r="C129" s="1246"/>
      <c r="D129" s="1246"/>
      <c r="E129" s="1246"/>
      <c r="F129" s="1246"/>
      <c r="G129" s="1246"/>
      <c r="H129" s="1246"/>
      <c r="I129" s="1245"/>
      <c r="J129" s="1244"/>
      <c r="K129" s="1244"/>
      <c r="L129" s="1244"/>
      <c r="M129" s="1244"/>
      <c r="N129" s="1244"/>
      <c r="O129" s="1244"/>
      <c r="P129" s="1244"/>
      <c r="Q129" s="1244"/>
      <c r="R129" s="1244"/>
      <c r="S129" s="1244"/>
      <c r="T129" s="1244"/>
      <c r="U129" s="1244"/>
      <c r="V129" s="1244"/>
      <c r="W129" s="1244"/>
      <c r="X129" s="1244"/>
      <c r="Y129" s="1244"/>
      <c r="Z129" s="1244"/>
      <c r="AA129" s="1244"/>
      <c r="AB129" s="1244"/>
      <c r="AC129" s="1244"/>
      <c r="AD129" s="1244"/>
      <c r="AE129" s="1244"/>
      <c r="AF129" s="1244"/>
      <c r="AG129" s="1244"/>
    </row>
    <row r="130" spans="1:48">
      <c r="A130" s="1247" t="s">
        <v>1963</v>
      </c>
      <c r="B130" s="1246"/>
      <c r="C130" s="1246"/>
      <c r="D130" s="1246"/>
      <c r="E130" s="1246"/>
      <c r="F130" s="1246"/>
      <c r="G130" s="1246"/>
      <c r="H130" s="1246"/>
      <c r="I130" s="1245"/>
      <c r="J130" s="1244"/>
      <c r="K130" s="1244"/>
      <c r="L130" s="1244"/>
      <c r="M130" s="1244"/>
      <c r="N130" s="1244"/>
      <c r="O130" s="1244"/>
      <c r="P130" s="1244"/>
      <c r="Q130" s="1244"/>
      <c r="R130" s="1244"/>
      <c r="S130" s="1244"/>
      <c r="T130" s="1244"/>
      <c r="U130" s="1244"/>
      <c r="V130" s="1244"/>
      <c r="W130" s="1244"/>
      <c r="X130" s="1244"/>
      <c r="Y130" s="1244"/>
      <c r="Z130" s="1244"/>
      <c r="AA130" s="1244"/>
      <c r="AB130" s="1244"/>
      <c r="AC130" s="1244"/>
      <c r="AD130" s="1244"/>
      <c r="AE130" s="1244"/>
      <c r="AF130" s="1244"/>
      <c r="AG130" s="1244"/>
      <c r="AU130" s="1239" t="s">
        <v>1962</v>
      </c>
      <c r="AV130" s="1239" t="s">
        <v>1961</v>
      </c>
    </row>
    <row r="131" spans="1:48">
      <c r="A131" s="1247" t="s">
        <v>1463</v>
      </c>
      <c r="B131" s="1246"/>
      <c r="C131" s="1246"/>
      <c r="D131" s="1246"/>
      <c r="E131" s="1246"/>
      <c r="F131" s="1246"/>
      <c r="G131" s="1246"/>
      <c r="H131" s="1246"/>
      <c r="I131" s="1245"/>
      <c r="J131" s="1244"/>
      <c r="K131" s="1244"/>
      <c r="L131" s="1244"/>
      <c r="M131" s="1244"/>
      <c r="N131" s="1244"/>
      <c r="O131" s="1244"/>
      <c r="P131" s="1244"/>
      <c r="Q131" s="1244"/>
      <c r="R131" s="1244"/>
      <c r="S131" s="1244"/>
      <c r="T131" s="1244"/>
      <c r="U131" s="1244"/>
      <c r="V131" s="1244"/>
      <c r="W131" s="1244"/>
      <c r="X131" s="1244"/>
      <c r="Y131" s="1244"/>
      <c r="Z131" s="1244"/>
      <c r="AA131" s="1244"/>
      <c r="AB131" s="1244"/>
      <c r="AC131" s="1244"/>
      <c r="AD131" s="1244"/>
      <c r="AE131" s="1244"/>
      <c r="AF131" s="1244"/>
      <c r="AG131" s="1244"/>
      <c r="AU131" s="1244"/>
      <c r="AV131" s="1244"/>
    </row>
    <row r="132" spans="1:48">
      <c r="A132" s="1247" t="s">
        <v>1960</v>
      </c>
      <c r="B132" s="1246"/>
      <c r="C132" s="1246"/>
      <c r="D132" s="1246"/>
      <c r="E132" s="1246"/>
      <c r="F132" s="1246"/>
      <c r="G132" s="1246"/>
      <c r="H132" s="1246"/>
      <c r="I132" s="1245"/>
      <c r="J132" s="1244"/>
      <c r="K132" s="1244"/>
      <c r="L132" s="1244"/>
      <c r="M132" s="1244"/>
      <c r="N132" s="1244"/>
      <c r="O132" s="1244"/>
      <c r="P132" s="1244"/>
      <c r="Q132" s="1244"/>
      <c r="R132" s="1244"/>
      <c r="S132" s="1244"/>
      <c r="T132" s="1244"/>
      <c r="U132" s="1244"/>
      <c r="V132" s="1244"/>
      <c r="W132" s="1244"/>
      <c r="X132" s="1244"/>
      <c r="Y132" s="1244"/>
      <c r="Z132" s="1244"/>
      <c r="AA132" s="1244"/>
      <c r="AB132" s="1244"/>
      <c r="AC132" s="1244"/>
      <c r="AD132" s="1244"/>
      <c r="AE132" s="1244"/>
      <c r="AF132" s="1244"/>
      <c r="AG132" s="1244"/>
      <c r="AH132" s="1239" t="s">
        <v>1959</v>
      </c>
      <c r="AU132" s="1239">
        <v>600</v>
      </c>
      <c r="AV132" s="1239">
        <v>4.8</v>
      </c>
    </row>
    <row r="133" spans="1:48">
      <c r="A133" s="1247" t="s">
        <v>1958</v>
      </c>
      <c r="B133" s="1246"/>
      <c r="C133" s="1246"/>
      <c r="D133" s="1246"/>
      <c r="E133" s="1246"/>
      <c r="F133" s="1246"/>
      <c r="G133" s="1246"/>
      <c r="H133" s="1246"/>
      <c r="I133" s="1245"/>
      <c r="J133" s="1244"/>
      <c r="K133" s="1244"/>
      <c r="L133" s="1244"/>
      <c r="M133" s="1244"/>
      <c r="N133" s="1244"/>
      <c r="O133" s="1244"/>
      <c r="P133" s="1244"/>
      <c r="Q133" s="1244"/>
      <c r="R133" s="1244"/>
      <c r="S133" s="1244"/>
      <c r="T133" s="1244"/>
      <c r="U133" s="1244"/>
      <c r="V133" s="1244"/>
      <c r="W133" s="1244"/>
      <c r="X133" s="1244"/>
      <c r="Y133" s="1244"/>
      <c r="Z133" s="1244"/>
      <c r="AA133" s="1244"/>
      <c r="AB133" s="1244"/>
      <c r="AC133" s="1244"/>
      <c r="AD133" s="1244"/>
      <c r="AE133" s="1244"/>
      <c r="AF133" s="1244"/>
      <c r="AG133" s="1244"/>
      <c r="AH133" s="1239" t="s">
        <v>1957</v>
      </c>
      <c r="AQ133" s="1239" t="s">
        <v>1904</v>
      </c>
    </row>
    <row r="134" spans="1:48">
      <c r="A134" s="1247" t="s">
        <v>1956</v>
      </c>
      <c r="B134" s="1246"/>
      <c r="C134" s="1246"/>
      <c r="D134" s="1246"/>
      <c r="E134" s="1246"/>
      <c r="F134" s="1246"/>
      <c r="G134" s="1246"/>
      <c r="H134" s="1246"/>
      <c r="I134" s="1245"/>
      <c r="J134" s="1244"/>
      <c r="K134" s="1244"/>
      <c r="L134" s="1244"/>
      <c r="M134" s="1244"/>
      <c r="N134" s="1244"/>
      <c r="O134" s="1244"/>
      <c r="P134" s="1244"/>
      <c r="Q134" s="1244"/>
      <c r="R134" s="1244"/>
      <c r="S134" s="1244"/>
      <c r="T134" s="1244"/>
      <c r="U134" s="1244"/>
      <c r="V134" s="1244"/>
      <c r="W134" s="1244"/>
      <c r="X134" s="1244"/>
      <c r="Y134" s="1244"/>
      <c r="Z134" s="1244"/>
      <c r="AA134" s="1244"/>
      <c r="AB134" s="1244"/>
      <c r="AC134" s="1244"/>
      <c r="AD134" s="1244"/>
      <c r="AE134" s="1244"/>
      <c r="AF134" s="1244"/>
      <c r="AG134" s="1244"/>
      <c r="AH134" s="1239" t="s">
        <v>1955</v>
      </c>
      <c r="AU134" s="1239">
        <v>100</v>
      </c>
      <c r="AV134" s="1239">
        <v>0.1</v>
      </c>
    </row>
    <row r="135" spans="1:48">
      <c r="A135" s="1247" t="s">
        <v>1954</v>
      </c>
      <c r="B135" s="1246"/>
      <c r="C135" s="1246"/>
      <c r="D135" s="1246"/>
      <c r="E135" s="1246"/>
      <c r="F135" s="1246"/>
      <c r="G135" s="1246"/>
      <c r="H135" s="1246"/>
      <c r="I135" s="1245"/>
      <c r="J135" s="1244"/>
      <c r="K135" s="1244"/>
      <c r="L135" s="1244"/>
      <c r="M135" s="1244"/>
      <c r="N135" s="1244"/>
      <c r="O135" s="1244"/>
      <c r="P135" s="1244"/>
      <c r="Q135" s="1244"/>
      <c r="R135" s="1244"/>
      <c r="S135" s="1244"/>
      <c r="T135" s="1244"/>
      <c r="U135" s="1244"/>
      <c r="V135" s="1244"/>
      <c r="W135" s="1244"/>
      <c r="X135" s="1244"/>
      <c r="Y135" s="1244"/>
      <c r="Z135" s="1244"/>
      <c r="AA135" s="1244"/>
      <c r="AB135" s="1244"/>
      <c r="AC135" s="1244"/>
      <c r="AD135" s="1244"/>
      <c r="AE135" s="1244"/>
      <c r="AF135" s="1244"/>
      <c r="AG135" s="1244"/>
      <c r="AH135" s="1239" t="s">
        <v>1953</v>
      </c>
      <c r="AQ135" s="1239" t="s">
        <v>1904</v>
      </c>
    </row>
    <row r="136" spans="1:48">
      <c r="A136" s="1247" t="s">
        <v>1952</v>
      </c>
      <c r="B136" s="1246"/>
      <c r="C136" s="1246"/>
      <c r="D136" s="1246"/>
      <c r="E136" s="1246"/>
      <c r="F136" s="1246"/>
      <c r="G136" s="1246"/>
      <c r="H136" s="1246"/>
      <c r="I136" s="1245"/>
      <c r="J136" s="1244"/>
      <c r="K136" s="1244"/>
      <c r="L136" s="1244"/>
      <c r="M136" s="1244"/>
      <c r="N136" s="1244"/>
      <c r="O136" s="1244"/>
      <c r="P136" s="1244"/>
      <c r="Q136" s="1244"/>
      <c r="R136" s="1244"/>
      <c r="S136" s="1244"/>
      <c r="T136" s="1244"/>
      <c r="U136" s="1244"/>
      <c r="V136" s="1244"/>
      <c r="W136" s="1244"/>
      <c r="X136" s="1244"/>
      <c r="Y136" s="1244"/>
      <c r="Z136" s="1244"/>
      <c r="AA136" s="1244"/>
      <c r="AB136" s="1244"/>
      <c r="AC136" s="1244"/>
      <c r="AD136" s="1244"/>
      <c r="AE136" s="1244"/>
      <c r="AF136" s="1244"/>
      <c r="AG136" s="1244"/>
      <c r="AH136" s="1239" t="s">
        <v>1951</v>
      </c>
      <c r="AU136" s="1239">
        <v>1000</v>
      </c>
      <c r="AV136" s="1239">
        <v>8</v>
      </c>
    </row>
    <row r="137" spans="1:48">
      <c r="A137" s="1247" t="s">
        <v>1950</v>
      </c>
      <c r="B137" s="1246"/>
      <c r="C137" s="1246"/>
      <c r="D137" s="1246"/>
      <c r="E137" s="1246"/>
      <c r="F137" s="1246"/>
      <c r="G137" s="1246"/>
      <c r="H137" s="1246"/>
      <c r="I137" s="1245"/>
      <c r="J137" s="1244"/>
      <c r="K137" s="1244"/>
      <c r="L137" s="1244"/>
      <c r="M137" s="1244"/>
      <c r="N137" s="1244"/>
      <c r="O137" s="1244"/>
      <c r="P137" s="1244"/>
      <c r="Q137" s="1244"/>
      <c r="R137" s="1244"/>
      <c r="S137" s="1244"/>
      <c r="T137" s="1244"/>
      <c r="U137" s="1244"/>
      <c r="V137" s="1244"/>
      <c r="W137" s="1244"/>
      <c r="X137" s="1244"/>
      <c r="Y137" s="1244"/>
      <c r="Z137" s="1244"/>
      <c r="AA137" s="1244"/>
      <c r="AB137" s="1244"/>
      <c r="AC137" s="1244"/>
      <c r="AD137" s="1244"/>
      <c r="AE137" s="1244"/>
      <c r="AF137" s="1244"/>
      <c r="AG137" s="1244"/>
      <c r="AH137" s="1239" t="s">
        <v>1949</v>
      </c>
      <c r="AQ137" s="1239" t="s">
        <v>1904</v>
      </c>
    </row>
    <row r="138" spans="1:48">
      <c r="A138" s="1247" t="s">
        <v>1948</v>
      </c>
      <c r="B138" s="1246"/>
      <c r="C138" s="1246"/>
      <c r="D138" s="1246"/>
      <c r="E138" s="1246"/>
      <c r="F138" s="1246"/>
      <c r="G138" s="1246"/>
      <c r="H138" s="1246"/>
      <c r="I138" s="1245"/>
      <c r="J138" s="1244"/>
      <c r="K138" s="1244"/>
      <c r="L138" s="1244"/>
      <c r="M138" s="1244"/>
      <c r="N138" s="1244"/>
      <c r="O138" s="1244"/>
      <c r="P138" s="1244"/>
      <c r="Q138" s="1244"/>
      <c r="R138" s="1244"/>
      <c r="S138" s="1244"/>
      <c r="T138" s="1244"/>
      <c r="U138" s="1244"/>
      <c r="V138" s="1244"/>
      <c r="W138" s="1244"/>
      <c r="X138" s="1244"/>
      <c r="Y138" s="1244"/>
      <c r="Z138" s="1244"/>
      <c r="AA138" s="1244"/>
      <c r="AB138" s="1244"/>
      <c r="AC138" s="1244"/>
      <c r="AD138" s="1244"/>
      <c r="AE138" s="1244"/>
      <c r="AF138" s="1244"/>
      <c r="AG138" s="1244"/>
      <c r="AH138" s="1239" t="s">
        <v>1947</v>
      </c>
      <c r="AU138" s="1239">
        <v>50</v>
      </c>
      <c r="AV138" s="1239">
        <v>0.1</v>
      </c>
    </row>
    <row r="139" spans="1:48">
      <c r="A139" s="1247" t="s">
        <v>1946</v>
      </c>
      <c r="B139" s="1246"/>
      <c r="C139" s="1246"/>
      <c r="D139" s="1246"/>
      <c r="E139" s="1246"/>
      <c r="F139" s="1246"/>
      <c r="G139" s="1246"/>
      <c r="H139" s="1246"/>
      <c r="I139" s="1245"/>
      <c r="J139" s="1244"/>
      <c r="K139" s="1244"/>
      <c r="L139" s="1244"/>
      <c r="M139" s="1244"/>
      <c r="N139" s="1244"/>
      <c r="O139" s="1244"/>
      <c r="P139" s="1244"/>
      <c r="Q139" s="1244"/>
      <c r="R139" s="1244"/>
      <c r="S139" s="1244"/>
      <c r="T139" s="1244"/>
      <c r="U139" s="1244"/>
      <c r="V139" s="1244"/>
      <c r="W139" s="1244"/>
      <c r="X139" s="1244"/>
      <c r="Y139" s="1244"/>
      <c r="Z139" s="1244"/>
      <c r="AA139" s="1244"/>
      <c r="AB139" s="1244"/>
      <c r="AC139" s="1244"/>
      <c r="AD139" s="1244"/>
      <c r="AE139" s="1244"/>
      <c r="AF139" s="1244"/>
      <c r="AG139" s="1244"/>
      <c r="AH139" s="1239" t="s">
        <v>1945</v>
      </c>
      <c r="AQ139" s="1239" t="s">
        <v>1904</v>
      </c>
    </row>
    <row r="140" spans="1:48">
      <c r="A140" s="1247" t="s">
        <v>1944</v>
      </c>
      <c r="B140" s="1246"/>
      <c r="C140" s="1246"/>
      <c r="D140" s="1246"/>
      <c r="E140" s="1246"/>
      <c r="F140" s="1246"/>
      <c r="G140" s="1246"/>
      <c r="H140" s="1246"/>
      <c r="I140" s="1245"/>
      <c r="J140" s="1244"/>
      <c r="K140" s="1244"/>
      <c r="L140" s="1244"/>
      <c r="M140" s="1244"/>
      <c r="N140" s="1244"/>
      <c r="O140" s="1244"/>
      <c r="P140" s="1244"/>
      <c r="Q140" s="1244"/>
      <c r="R140" s="1244"/>
      <c r="S140" s="1244"/>
      <c r="T140" s="1244"/>
      <c r="U140" s="1244"/>
      <c r="V140" s="1244"/>
      <c r="W140" s="1244"/>
      <c r="X140" s="1244"/>
      <c r="Y140" s="1244"/>
      <c r="Z140" s="1244"/>
      <c r="AA140" s="1244"/>
      <c r="AB140" s="1244"/>
      <c r="AC140" s="1244"/>
      <c r="AD140" s="1244"/>
      <c r="AE140" s="1244"/>
      <c r="AF140" s="1244"/>
      <c r="AG140" s="1244"/>
      <c r="AH140" s="1239" t="s">
        <v>1943</v>
      </c>
      <c r="AU140" s="1239">
        <v>49</v>
      </c>
      <c r="AV140" s="1239">
        <v>0.7</v>
      </c>
    </row>
    <row r="141" spans="1:48">
      <c r="A141" s="1247" t="s">
        <v>1942</v>
      </c>
      <c r="B141" s="1246"/>
      <c r="C141" s="1246"/>
      <c r="D141" s="1246"/>
      <c r="E141" s="1246"/>
      <c r="F141" s="1246"/>
      <c r="G141" s="1246"/>
      <c r="H141" s="1246"/>
      <c r="I141" s="1245"/>
      <c r="J141" s="1244"/>
      <c r="K141" s="1244"/>
      <c r="L141" s="1244"/>
      <c r="M141" s="1244"/>
      <c r="N141" s="1244"/>
      <c r="O141" s="1244"/>
      <c r="P141" s="1244"/>
      <c r="Q141" s="1244"/>
      <c r="R141" s="1244"/>
      <c r="S141" s="1244"/>
      <c r="T141" s="1244"/>
      <c r="U141" s="1244"/>
      <c r="V141" s="1244"/>
      <c r="W141" s="1244"/>
      <c r="X141" s="1244"/>
      <c r="Y141" s="1244"/>
      <c r="Z141" s="1244"/>
      <c r="AA141" s="1244"/>
      <c r="AB141" s="1244"/>
      <c r="AC141" s="1244"/>
      <c r="AD141" s="1244"/>
      <c r="AE141" s="1244"/>
      <c r="AF141" s="1244"/>
      <c r="AG141" s="1244"/>
      <c r="AH141" s="1239" t="s">
        <v>1941</v>
      </c>
      <c r="AQ141" s="1239" t="s">
        <v>1904</v>
      </c>
    </row>
    <row r="142" spans="1:48">
      <c r="A142" s="1247" t="s">
        <v>1940</v>
      </c>
      <c r="B142" s="1246"/>
      <c r="C142" s="1246"/>
      <c r="D142" s="1246"/>
      <c r="E142" s="1246"/>
      <c r="F142" s="1246"/>
      <c r="G142" s="1246"/>
      <c r="H142" s="1246"/>
      <c r="I142" s="1245"/>
      <c r="J142" s="1244"/>
      <c r="K142" s="1244"/>
      <c r="L142" s="1244"/>
      <c r="M142" s="1244"/>
      <c r="N142" s="1244"/>
      <c r="O142" s="1244"/>
      <c r="P142" s="1244"/>
      <c r="Q142" s="1244"/>
      <c r="R142" s="1244"/>
      <c r="S142" s="1244"/>
      <c r="T142" s="1244"/>
      <c r="U142" s="1244"/>
      <c r="V142" s="1244"/>
      <c r="W142" s="1244"/>
      <c r="X142" s="1244"/>
      <c r="Y142" s="1244"/>
      <c r="Z142" s="1244"/>
      <c r="AA142" s="1244"/>
      <c r="AB142" s="1244"/>
      <c r="AC142" s="1244"/>
      <c r="AD142" s="1244"/>
      <c r="AE142" s="1244"/>
      <c r="AF142" s="1244"/>
      <c r="AG142" s="1244"/>
      <c r="AH142" s="1239" t="s">
        <v>1939</v>
      </c>
      <c r="AU142" s="1239">
        <v>660</v>
      </c>
      <c r="AV142" s="1239">
        <v>1</v>
      </c>
    </row>
    <row r="143" spans="1:48">
      <c r="A143" s="1247" t="s">
        <v>1938</v>
      </c>
      <c r="B143" s="1246"/>
      <c r="C143" s="1246"/>
      <c r="D143" s="1246"/>
      <c r="E143" s="1246"/>
      <c r="F143" s="1246"/>
      <c r="G143" s="1246"/>
      <c r="H143" s="1246"/>
      <c r="I143" s="1245"/>
      <c r="J143" s="1244"/>
      <c r="K143" s="1244"/>
      <c r="L143" s="1244"/>
      <c r="M143" s="1244"/>
      <c r="N143" s="1244"/>
      <c r="O143" s="1244"/>
      <c r="P143" s="1244"/>
      <c r="Q143" s="1244"/>
      <c r="R143" s="1244"/>
      <c r="S143" s="1244"/>
      <c r="T143" s="1244"/>
      <c r="U143" s="1244"/>
      <c r="V143" s="1244"/>
      <c r="W143" s="1244"/>
      <c r="X143" s="1244"/>
      <c r="Y143" s="1244"/>
      <c r="Z143" s="1244"/>
      <c r="AA143" s="1244"/>
      <c r="AB143" s="1244"/>
      <c r="AC143" s="1244"/>
      <c r="AD143" s="1244"/>
      <c r="AE143" s="1244"/>
      <c r="AF143" s="1244"/>
      <c r="AG143" s="1244"/>
      <c r="AH143" s="1239" t="s">
        <v>1937</v>
      </c>
      <c r="AQ143" s="1239" t="s">
        <v>1904</v>
      </c>
    </row>
    <row r="144" spans="1:48">
      <c r="A144" s="1247" t="s">
        <v>1936</v>
      </c>
      <c r="B144" s="1246"/>
      <c r="C144" s="1246"/>
      <c r="D144" s="1246"/>
      <c r="E144" s="1246"/>
      <c r="F144" s="1246"/>
      <c r="G144" s="1246"/>
      <c r="H144" s="1246"/>
      <c r="I144" s="1245"/>
      <c r="J144" s="1244"/>
      <c r="K144" s="1244"/>
      <c r="L144" s="1244"/>
      <c r="M144" s="1244"/>
      <c r="N144" s="1244"/>
      <c r="O144" s="1244"/>
      <c r="P144" s="1244"/>
      <c r="Q144" s="1244"/>
      <c r="R144" s="1244"/>
      <c r="S144" s="1244"/>
      <c r="T144" s="1244"/>
      <c r="U144" s="1244"/>
      <c r="V144" s="1244"/>
      <c r="W144" s="1244"/>
      <c r="X144" s="1244"/>
      <c r="Y144" s="1244"/>
      <c r="Z144" s="1244"/>
      <c r="AA144" s="1244"/>
      <c r="AB144" s="1244"/>
      <c r="AC144" s="1244"/>
      <c r="AD144" s="1244"/>
      <c r="AE144" s="1244"/>
      <c r="AF144" s="1244"/>
      <c r="AG144" s="1244"/>
      <c r="AH144" s="1239" t="s">
        <v>1935</v>
      </c>
      <c r="AU144" s="1239">
        <v>460</v>
      </c>
      <c r="AV144" s="1239">
        <v>9</v>
      </c>
    </row>
    <row r="145" spans="1:48">
      <c r="A145" s="1247" t="s">
        <v>1934</v>
      </c>
      <c r="B145" s="1246"/>
      <c r="C145" s="1246"/>
      <c r="D145" s="1246"/>
      <c r="E145" s="1246"/>
      <c r="F145" s="1246"/>
      <c r="G145" s="1246"/>
      <c r="H145" s="1246"/>
      <c r="I145" s="1245"/>
      <c r="J145" s="1244"/>
      <c r="K145" s="1244"/>
      <c r="L145" s="1244"/>
      <c r="M145" s="1244"/>
      <c r="N145" s="1244"/>
      <c r="O145" s="1244"/>
      <c r="P145" s="1244"/>
      <c r="Q145" s="1244"/>
      <c r="R145" s="1244"/>
      <c r="S145" s="1244"/>
      <c r="T145" s="1244"/>
      <c r="U145" s="1244"/>
      <c r="V145" s="1244"/>
      <c r="W145" s="1244"/>
      <c r="X145" s="1244"/>
      <c r="Y145" s="1244"/>
      <c r="Z145" s="1244"/>
      <c r="AA145" s="1244"/>
      <c r="AB145" s="1244"/>
      <c r="AC145" s="1244"/>
      <c r="AD145" s="1244"/>
      <c r="AE145" s="1244"/>
      <c r="AF145" s="1244"/>
      <c r="AG145" s="1244"/>
      <c r="AH145" s="1239" t="s">
        <v>1933</v>
      </c>
      <c r="AQ145" s="1239" t="s">
        <v>1904</v>
      </c>
    </row>
    <row r="146" spans="1:48">
      <c r="A146" s="1247" t="s">
        <v>1932</v>
      </c>
      <c r="B146" s="1246"/>
      <c r="C146" s="1246"/>
      <c r="D146" s="1246"/>
      <c r="E146" s="1246"/>
      <c r="F146" s="1246"/>
      <c r="G146" s="1246"/>
      <c r="H146" s="1246"/>
      <c r="I146" s="1245"/>
      <c r="J146" s="1244"/>
      <c r="K146" s="1244"/>
      <c r="L146" s="1244"/>
      <c r="M146" s="1244"/>
      <c r="N146" s="1244"/>
      <c r="O146" s="1244"/>
      <c r="P146" s="1244"/>
      <c r="Q146" s="1244"/>
      <c r="R146" s="1244"/>
      <c r="S146" s="1244"/>
      <c r="T146" s="1244"/>
      <c r="U146" s="1244"/>
      <c r="V146" s="1244"/>
      <c r="W146" s="1244"/>
      <c r="X146" s="1244"/>
      <c r="Y146" s="1244"/>
      <c r="Z146" s="1244"/>
      <c r="AA146" s="1244"/>
      <c r="AB146" s="1244"/>
      <c r="AC146" s="1244"/>
      <c r="AD146" s="1244"/>
      <c r="AE146" s="1244"/>
      <c r="AF146" s="1244"/>
      <c r="AG146" s="1244"/>
      <c r="AH146" s="1239" t="s">
        <v>1931</v>
      </c>
      <c r="AU146" s="1239">
        <v>420</v>
      </c>
      <c r="AV146" s="1239">
        <v>8</v>
      </c>
    </row>
    <row r="147" spans="1:48">
      <c r="A147" s="1247" t="s">
        <v>1930</v>
      </c>
      <c r="B147" s="1246"/>
      <c r="C147" s="1246"/>
      <c r="D147" s="1246"/>
      <c r="E147" s="1246"/>
      <c r="F147" s="1246"/>
      <c r="G147" s="1246"/>
      <c r="H147" s="1246"/>
      <c r="I147" s="1245"/>
      <c r="J147" s="1244"/>
      <c r="K147" s="1244"/>
      <c r="L147" s="1244"/>
      <c r="M147" s="1244"/>
      <c r="N147" s="1244"/>
      <c r="O147" s="1244"/>
      <c r="P147" s="1244"/>
      <c r="Q147" s="1244"/>
      <c r="R147" s="1244"/>
      <c r="S147" s="1244"/>
      <c r="T147" s="1244"/>
      <c r="U147" s="1244"/>
      <c r="V147" s="1244"/>
      <c r="W147" s="1244"/>
      <c r="X147" s="1244"/>
      <c r="Y147" s="1244"/>
      <c r="Z147" s="1244"/>
      <c r="AA147" s="1244"/>
      <c r="AB147" s="1244"/>
      <c r="AC147" s="1244"/>
      <c r="AD147" s="1244"/>
      <c r="AE147" s="1244"/>
      <c r="AF147" s="1244"/>
      <c r="AG147" s="1244"/>
      <c r="AH147" s="1239" t="s">
        <v>1929</v>
      </c>
      <c r="AQ147" s="1239" t="s">
        <v>1904</v>
      </c>
    </row>
    <row r="148" spans="1:48">
      <c r="A148" s="1247" t="s">
        <v>1928</v>
      </c>
      <c r="B148" s="1246"/>
      <c r="C148" s="1246"/>
      <c r="D148" s="1246"/>
      <c r="E148" s="1246"/>
      <c r="F148" s="1246"/>
      <c r="G148" s="1246"/>
      <c r="H148" s="1246"/>
      <c r="I148" s="1245"/>
      <c r="J148" s="1244"/>
      <c r="K148" s="1244"/>
      <c r="L148" s="1244"/>
      <c r="M148" s="1244"/>
      <c r="N148" s="1244"/>
      <c r="O148" s="1244"/>
      <c r="P148" s="1244"/>
      <c r="Q148" s="1244"/>
      <c r="R148" s="1244"/>
      <c r="S148" s="1244"/>
      <c r="T148" s="1244"/>
      <c r="U148" s="1244"/>
      <c r="V148" s="1244"/>
      <c r="W148" s="1244"/>
      <c r="X148" s="1244"/>
      <c r="Y148" s="1244"/>
      <c r="Z148" s="1244"/>
      <c r="AA148" s="1244"/>
      <c r="AB148" s="1244"/>
      <c r="AC148" s="1244"/>
      <c r="AD148" s="1244"/>
      <c r="AE148" s="1244"/>
      <c r="AF148" s="1244"/>
      <c r="AG148" s="1244"/>
      <c r="AH148" s="1239" t="s">
        <v>1927</v>
      </c>
      <c r="AU148" s="1239">
        <v>655</v>
      </c>
      <c r="AV148" s="1239">
        <v>13</v>
      </c>
    </row>
    <row r="149" spans="1:48">
      <c r="A149" s="1247" t="s">
        <v>1926</v>
      </c>
      <c r="B149" s="1246"/>
      <c r="C149" s="1246"/>
      <c r="D149" s="1246"/>
      <c r="E149" s="1246"/>
      <c r="F149" s="1246"/>
      <c r="G149" s="1246"/>
      <c r="H149" s="1246"/>
      <c r="I149" s="1245"/>
      <c r="J149" s="1244"/>
      <c r="K149" s="1244"/>
      <c r="L149" s="1244"/>
      <c r="M149" s="1244"/>
      <c r="N149" s="1244"/>
      <c r="O149" s="1244"/>
      <c r="P149" s="1244"/>
      <c r="Q149" s="1244"/>
      <c r="R149" s="1244"/>
      <c r="S149" s="1244"/>
      <c r="T149" s="1244"/>
      <c r="U149" s="1244"/>
      <c r="V149" s="1244"/>
      <c r="W149" s="1244"/>
      <c r="X149" s="1244"/>
      <c r="Y149" s="1244"/>
      <c r="Z149" s="1244"/>
      <c r="AA149" s="1244"/>
      <c r="AB149" s="1244"/>
      <c r="AC149" s="1244"/>
      <c r="AD149" s="1244"/>
      <c r="AE149" s="1244"/>
      <c r="AF149" s="1244"/>
      <c r="AG149" s="1244"/>
      <c r="AH149" s="1239" t="s">
        <v>1925</v>
      </c>
      <c r="AQ149" s="1239" t="s">
        <v>1904</v>
      </c>
    </row>
    <row r="150" spans="1:48">
      <c r="A150" s="1247" t="s">
        <v>1924</v>
      </c>
      <c r="B150" s="1246"/>
      <c r="C150" s="1246"/>
      <c r="D150" s="1246"/>
      <c r="E150" s="1246"/>
      <c r="F150" s="1246"/>
      <c r="G150" s="1246"/>
      <c r="H150" s="1246"/>
      <c r="I150" s="1245"/>
      <c r="J150" s="1244"/>
      <c r="K150" s="1244"/>
      <c r="L150" s="1244"/>
      <c r="M150" s="1244"/>
      <c r="N150" s="1244"/>
      <c r="O150" s="1244"/>
      <c r="P150" s="1244"/>
      <c r="Q150" s="1244"/>
      <c r="R150" s="1244"/>
      <c r="S150" s="1244"/>
      <c r="T150" s="1244"/>
      <c r="U150" s="1244"/>
      <c r="V150" s="1244"/>
      <c r="W150" s="1244"/>
      <c r="X150" s="1244"/>
      <c r="Y150" s="1244"/>
      <c r="Z150" s="1244"/>
      <c r="AA150" s="1244"/>
      <c r="AB150" s="1244"/>
      <c r="AC150" s="1244"/>
      <c r="AD150" s="1244"/>
      <c r="AE150" s="1244"/>
      <c r="AF150" s="1244"/>
      <c r="AG150" s="1244"/>
      <c r="AH150" s="1239" t="s">
        <v>1923</v>
      </c>
      <c r="AU150" s="1239">
        <v>380</v>
      </c>
      <c r="AV150" s="1239">
        <v>0.75</v>
      </c>
    </row>
    <row r="151" spans="1:48">
      <c r="A151" s="1247" t="s">
        <v>1922</v>
      </c>
      <c r="B151" s="1246"/>
      <c r="C151" s="1246"/>
      <c r="D151" s="1246"/>
      <c r="E151" s="1246"/>
      <c r="F151" s="1246"/>
      <c r="G151" s="1246"/>
      <c r="H151" s="1246"/>
      <c r="I151" s="1245"/>
      <c r="J151" s="1244"/>
      <c r="K151" s="1244"/>
      <c r="L151" s="1244"/>
      <c r="M151" s="1244"/>
      <c r="N151" s="1244"/>
      <c r="O151" s="1244"/>
      <c r="P151" s="1244"/>
      <c r="Q151" s="1244"/>
      <c r="R151" s="1244"/>
      <c r="S151" s="1244"/>
      <c r="T151" s="1244"/>
      <c r="U151" s="1244"/>
      <c r="V151" s="1244"/>
      <c r="W151" s="1244"/>
      <c r="X151" s="1244"/>
      <c r="Y151" s="1244"/>
      <c r="Z151" s="1244"/>
      <c r="AA151" s="1244"/>
      <c r="AB151" s="1244"/>
      <c r="AC151" s="1244"/>
      <c r="AD151" s="1244"/>
      <c r="AE151" s="1244"/>
      <c r="AF151" s="1244"/>
      <c r="AG151" s="1244"/>
      <c r="AH151" s="1239" t="s">
        <v>1921</v>
      </c>
      <c r="AQ151" s="1239" t="s">
        <v>1904</v>
      </c>
    </row>
    <row r="152" spans="1:48">
      <c r="A152" s="1247" t="s">
        <v>1920</v>
      </c>
      <c r="B152" s="1246"/>
      <c r="C152" s="1246"/>
      <c r="D152" s="1246"/>
      <c r="E152" s="1246"/>
      <c r="F152" s="1246"/>
      <c r="G152" s="1246"/>
      <c r="H152" s="1246"/>
      <c r="I152" s="1245"/>
      <c r="J152" s="1244"/>
      <c r="K152" s="1244"/>
      <c r="L152" s="1244"/>
      <c r="M152" s="1244"/>
      <c r="N152" s="1244"/>
      <c r="O152" s="1244"/>
      <c r="P152" s="1244"/>
      <c r="Q152" s="1244"/>
      <c r="R152" s="1244"/>
      <c r="S152" s="1244"/>
      <c r="T152" s="1244"/>
      <c r="U152" s="1244"/>
      <c r="V152" s="1244"/>
      <c r="W152" s="1244"/>
      <c r="X152" s="1244"/>
      <c r="Y152" s="1244"/>
      <c r="Z152" s="1244"/>
      <c r="AA152" s="1244"/>
      <c r="AB152" s="1244"/>
      <c r="AC152" s="1244"/>
      <c r="AD152" s="1244"/>
      <c r="AE152" s="1244"/>
      <c r="AF152" s="1244"/>
      <c r="AG152" s="1244"/>
      <c r="AH152" s="1239" t="s">
        <v>1919</v>
      </c>
      <c r="AU152" s="1239">
        <v>1400</v>
      </c>
      <c r="AV152" s="1239">
        <v>29</v>
      </c>
    </row>
    <row r="153" spans="1:48">
      <c r="A153" s="1247" t="s">
        <v>1918</v>
      </c>
      <c r="B153" s="1246"/>
      <c r="C153" s="1246"/>
      <c r="D153" s="1246"/>
      <c r="E153" s="1246"/>
      <c r="F153" s="1246"/>
      <c r="G153" s="1246"/>
      <c r="H153" s="1246"/>
      <c r="I153" s="1245"/>
      <c r="J153" s="1244"/>
      <c r="K153" s="1244"/>
      <c r="L153" s="1244"/>
      <c r="M153" s="1244"/>
      <c r="N153" s="1244"/>
      <c r="O153" s="1244"/>
      <c r="P153" s="1244"/>
      <c r="Q153" s="1244"/>
      <c r="R153" s="1244"/>
      <c r="S153" s="1244"/>
      <c r="T153" s="1244"/>
      <c r="U153" s="1244"/>
      <c r="V153" s="1244"/>
      <c r="W153" s="1244"/>
      <c r="X153" s="1244"/>
      <c r="Y153" s="1244"/>
      <c r="Z153" s="1244"/>
      <c r="AA153" s="1244"/>
      <c r="AB153" s="1244"/>
      <c r="AC153" s="1244"/>
      <c r="AD153" s="1244"/>
      <c r="AE153" s="1244"/>
      <c r="AF153" s="1244"/>
      <c r="AG153" s="1244"/>
      <c r="AH153" s="1239" t="s">
        <v>1917</v>
      </c>
      <c r="AQ153" s="1239" t="s">
        <v>1904</v>
      </c>
    </row>
    <row r="154" spans="1:48">
      <c r="A154" s="1247" t="s">
        <v>1916</v>
      </c>
      <c r="B154" s="1246"/>
      <c r="C154" s="1246"/>
      <c r="D154" s="1246"/>
      <c r="E154" s="1246"/>
      <c r="F154" s="1246"/>
      <c r="G154" s="1246"/>
      <c r="H154" s="1246"/>
      <c r="I154" s="1245"/>
      <c r="J154" s="1244"/>
      <c r="K154" s="1244"/>
      <c r="L154" s="1244"/>
      <c r="M154" s="1244"/>
      <c r="N154" s="1244"/>
      <c r="O154" s="1244"/>
      <c r="P154" s="1244"/>
      <c r="Q154" s="1244"/>
      <c r="R154" s="1244"/>
      <c r="S154" s="1244"/>
      <c r="T154" s="1244"/>
      <c r="U154" s="1244"/>
      <c r="V154" s="1244"/>
      <c r="W154" s="1244"/>
      <c r="X154" s="1244"/>
      <c r="Y154" s="1244"/>
      <c r="Z154" s="1244"/>
      <c r="AA154" s="1244"/>
      <c r="AB154" s="1244"/>
      <c r="AC154" s="1244"/>
      <c r="AD154" s="1244"/>
      <c r="AE154" s="1244"/>
      <c r="AF154" s="1244"/>
      <c r="AG154" s="1244"/>
      <c r="AH154" s="1239" t="s">
        <v>1915</v>
      </c>
      <c r="AU154" s="1239">
        <v>2200</v>
      </c>
      <c r="AV154" s="1239">
        <v>22</v>
      </c>
    </row>
    <row r="155" spans="1:48">
      <c r="A155" s="1247" t="s">
        <v>1914</v>
      </c>
      <c r="B155" s="1246"/>
      <c r="C155" s="1246"/>
      <c r="D155" s="1246"/>
      <c r="E155" s="1246"/>
      <c r="F155" s="1246"/>
      <c r="G155" s="1246"/>
      <c r="H155" s="1246"/>
      <c r="I155" s="1245"/>
      <c r="J155" s="1244"/>
      <c r="K155" s="1244"/>
      <c r="L155" s="1244"/>
      <c r="M155" s="1244"/>
      <c r="N155" s="1244"/>
      <c r="O155" s="1244"/>
      <c r="P155" s="1244"/>
      <c r="Q155" s="1244"/>
      <c r="R155" s="1244"/>
      <c r="S155" s="1244"/>
      <c r="T155" s="1244"/>
      <c r="U155" s="1244"/>
      <c r="V155" s="1244"/>
      <c r="W155" s="1244"/>
      <c r="X155" s="1244"/>
      <c r="Y155" s="1244"/>
      <c r="Z155" s="1244"/>
      <c r="AA155" s="1244"/>
      <c r="AB155" s="1244"/>
      <c r="AC155" s="1244"/>
      <c r="AD155" s="1244"/>
      <c r="AE155" s="1244"/>
      <c r="AF155" s="1244"/>
      <c r="AG155" s="1244"/>
      <c r="AH155" s="1239" t="s">
        <v>1913</v>
      </c>
      <c r="AQ155" s="1239" t="s">
        <v>1904</v>
      </c>
    </row>
    <row r="156" spans="1:48">
      <c r="A156" s="1247" t="s">
        <v>1912</v>
      </c>
      <c r="B156" s="1246"/>
      <c r="C156" s="1246"/>
      <c r="D156" s="1246"/>
      <c r="E156" s="1246"/>
      <c r="F156" s="1246"/>
      <c r="G156" s="1246"/>
      <c r="H156" s="1246"/>
      <c r="I156" s="1245"/>
      <c r="J156" s="1244"/>
      <c r="K156" s="1244"/>
      <c r="L156" s="1244"/>
      <c r="M156" s="1244"/>
      <c r="N156" s="1244"/>
      <c r="O156" s="1244"/>
      <c r="P156" s="1244"/>
      <c r="Q156" s="1244"/>
      <c r="R156" s="1244"/>
      <c r="S156" s="1244"/>
      <c r="T156" s="1244"/>
      <c r="U156" s="1244"/>
      <c r="V156" s="1244"/>
      <c r="W156" s="1244"/>
      <c r="X156" s="1244"/>
      <c r="Y156" s="1244"/>
      <c r="Z156" s="1244"/>
      <c r="AA156" s="1244"/>
      <c r="AB156" s="1244"/>
      <c r="AC156" s="1244"/>
      <c r="AD156" s="1244"/>
      <c r="AE156" s="1244"/>
      <c r="AF156" s="1244"/>
      <c r="AG156" s="1244"/>
      <c r="AH156" s="1239" t="s">
        <v>1911</v>
      </c>
      <c r="AU156" s="1239">
        <v>850</v>
      </c>
      <c r="AV156" s="1239">
        <v>6</v>
      </c>
    </row>
    <row r="157" spans="1:48">
      <c r="A157" s="1247" t="s">
        <v>1910</v>
      </c>
      <c r="B157" s="1246"/>
      <c r="C157" s="1246"/>
      <c r="D157" s="1246"/>
      <c r="E157" s="1246"/>
      <c r="F157" s="1246"/>
      <c r="G157" s="1246"/>
      <c r="H157" s="1246"/>
      <c r="I157" s="1245"/>
      <c r="J157" s="1244"/>
      <c r="K157" s="1244"/>
      <c r="L157" s="1244"/>
      <c r="M157" s="1244"/>
      <c r="N157" s="1244"/>
      <c r="O157" s="1244"/>
      <c r="P157" s="1244"/>
      <c r="Q157" s="1244"/>
      <c r="R157" s="1244"/>
      <c r="S157" s="1244"/>
      <c r="T157" s="1244"/>
      <c r="U157" s="1244"/>
      <c r="V157" s="1244"/>
      <c r="W157" s="1244"/>
      <c r="X157" s="1244"/>
      <c r="Y157" s="1244"/>
      <c r="Z157" s="1244"/>
      <c r="AA157" s="1244"/>
      <c r="AB157" s="1244"/>
      <c r="AC157" s="1244"/>
      <c r="AD157" s="1244"/>
      <c r="AE157" s="1244"/>
      <c r="AF157" s="1244"/>
      <c r="AG157" s="1244"/>
      <c r="AH157" s="1239" t="s">
        <v>1909</v>
      </c>
      <c r="AQ157" s="1239" t="s">
        <v>1904</v>
      </c>
    </row>
    <row r="158" spans="1:48">
      <c r="A158" s="1247" t="s">
        <v>1908</v>
      </c>
      <c r="B158" s="1246"/>
      <c r="C158" s="1246"/>
      <c r="D158" s="1246"/>
      <c r="E158" s="1246"/>
      <c r="F158" s="1246"/>
      <c r="G158" s="1246"/>
      <c r="H158" s="1246"/>
      <c r="I158" s="1245"/>
      <c r="J158" s="1244"/>
      <c r="K158" s="1244"/>
      <c r="L158" s="1244"/>
      <c r="M158" s="1244"/>
      <c r="N158" s="1244"/>
      <c r="O158" s="1244"/>
      <c r="P158" s="1244"/>
      <c r="Q158" s="1244"/>
      <c r="R158" s="1244"/>
      <c r="S158" s="1244"/>
      <c r="T158" s="1244"/>
      <c r="U158" s="1244"/>
      <c r="V158" s="1244"/>
      <c r="W158" s="1244"/>
      <c r="X158" s="1244"/>
      <c r="Y158" s="1244"/>
      <c r="Z158" s="1244"/>
      <c r="AA158" s="1244"/>
      <c r="AB158" s="1244"/>
      <c r="AC158" s="1244"/>
      <c r="AD158" s="1244"/>
      <c r="AE158" s="1244"/>
      <c r="AF158" s="1244"/>
      <c r="AG158" s="1244"/>
      <c r="AH158" s="1239" t="s">
        <v>1907</v>
      </c>
      <c r="AU158" s="1239">
        <v>600</v>
      </c>
      <c r="AV158" s="1239">
        <v>1</v>
      </c>
    </row>
    <row r="159" spans="1:48">
      <c r="A159" s="1247" t="s">
        <v>1906</v>
      </c>
      <c r="B159" s="1246"/>
      <c r="C159" s="1246"/>
      <c r="D159" s="1246"/>
      <c r="E159" s="1246"/>
      <c r="F159" s="1246"/>
      <c r="G159" s="1246"/>
      <c r="H159" s="1246"/>
      <c r="I159" s="1245"/>
      <c r="J159" s="1244"/>
      <c r="K159" s="1244"/>
      <c r="L159" s="1244"/>
      <c r="M159" s="1244"/>
      <c r="N159" s="1244"/>
      <c r="O159" s="1244"/>
      <c r="P159" s="1244"/>
      <c r="Q159" s="1244"/>
      <c r="R159" s="1244"/>
      <c r="S159" s="1244"/>
      <c r="T159" s="1244"/>
      <c r="U159" s="1244"/>
      <c r="V159" s="1244"/>
      <c r="W159" s="1244"/>
      <c r="X159" s="1244"/>
      <c r="Y159" s="1244"/>
      <c r="Z159" s="1244"/>
      <c r="AA159" s="1244"/>
      <c r="AB159" s="1244"/>
      <c r="AC159" s="1244"/>
      <c r="AD159" s="1244"/>
      <c r="AE159" s="1244"/>
      <c r="AF159" s="1244"/>
      <c r="AG159" s="1244"/>
      <c r="AH159" s="1239" t="s">
        <v>1905</v>
      </c>
      <c r="AQ159" s="1239" t="s">
        <v>1904</v>
      </c>
      <c r="AU159" s="1244"/>
      <c r="AV159" s="1244"/>
    </row>
    <row r="160" spans="1:48">
      <c r="A160" s="1247" t="s">
        <v>1399</v>
      </c>
      <c r="B160" s="1246"/>
      <c r="C160" s="1246"/>
      <c r="D160" s="1246"/>
      <c r="E160" s="1246"/>
      <c r="F160" s="1246"/>
      <c r="G160" s="1246"/>
      <c r="H160" s="1246"/>
      <c r="I160" s="1245"/>
      <c r="Y160" s="1244"/>
      <c r="Z160" s="1244"/>
      <c r="AA160" s="1244"/>
      <c r="AB160" s="1244"/>
      <c r="AC160" s="1244"/>
      <c r="AD160" s="1244"/>
      <c r="AE160" s="1244"/>
      <c r="AF160" s="1244"/>
      <c r="AG160" s="1244"/>
      <c r="AH160" s="1244"/>
      <c r="AI160" s="1244"/>
      <c r="AJ160" s="1244"/>
      <c r="AK160" s="1244"/>
      <c r="AL160" s="1244"/>
      <c r="AM160" s="1244"/>
      <c r="AN160" s="1244"/>
      <c r="AO160" s="1244"/>
      <c r="AP160" s="1244"/>
      <c r="AQ160" s="1244"/>
      <c r="AR160" s="1244"/>
      <c r="AS160" s="1244"/>
      <c r="AT160" s="1244"/>
      <c r="AU160" s="1244"/>
      <c r="AV160" s="1244"/>
    </row>
    <row r="162" spans="1:11" s="1240" customFormat="1" ht="16">
      <c r="A162" s="1241"/>
      <c r="B162" s="1241"/>
      <c r="C162" s="1241"/>
      <c r="D162" s="1241"/>
      <c r="E162" s="1241"/>
      <c r="F162" s="1241"/>
      <c r="G162" s="1241"/>
      <c r="H162" s="1241"/>
      <c r="I162" s="1241"/>
      <c r="J162" s="1241"/>
      <c r="K162" s="1241"/>
    </row>
    <row r="163" spans="1:11" s="1240" customFormat="1" ht="16">
      <c r="A163" s="1241"/>
      <c r="B163" s="1241"/>
      <c r="C163" s="1243"/>
      <c r="D163" s="1241"/>
      <c r="E163" s="1241"/>
      <c r="F163" s="1241"/>
      <c r="G163" s="1241"/>
      <c r="H163" s="1241"/>
      <c r="I163" s="1243"/>
      <c r="J163" s="1241"/>
    </row>
    <row r="164" spans="1:11" s="1240" customFormat="1" ht="16">
      <c r="A164" s="1241"/>
      <c r="B164" s="1241"/>
      <c r="C164" s="1241"/>
      <c r="D164" s="1241"/>
      <c r="E164" s="1241"/>
      <c r="F164" s="1241"/>
      <c r="G164" s="1241"/>
      <c r="H164" s="1241"/>
      <c r="I164" s="1241"/>
      <c r="J164" s="1241"/>
    </row>
    <row r="165" spans="1:11" s="1240" customFormat="1" ht="16">
      <c r="A165" s="1241"/>
      <c r="B165" s="1241"/>
      <c r="C165" s="1241"/>
      <c r="D165" s="1241"/>
      <c r="E165" s="1241"/>
      <c r="F165" s="1241"/>
      <c r="G165" s="1243"/>
      <c r="H165" s="1241"/>
      <c r="I165" s="1243"/>
      <c r="J165" s="1241"/>
    </row>
    <row r="166" spans="1:11" s="1240" customFormat="1" ht="16">
      <c r="A166" s="1241"/>
      <c r="B166" s="1241"/>
      <c r="C166" s="1241"/>
      <c r="D166" s="1241"/>
      <c r="E166" s="1241"/>
      <c r="F166" s="1241"/>
      <c r="G166" s="1241"/>
      <c r="H166" s="1241"/>
      <c r="I166" s="1241"/>
      <c r="J166" s="1243"/>
    </row>
    <row r="167" spans="1:11" s="1240" customFormat="1" ht="16">
      <c r="A167" s="1241"/>
      <c r="B167" s="1241"/>
      <c r="C167" s="1241"/>
      <c r="D167" s="1241"/>
      <c r="E167" s="1241"/>
      <c r="F167" s="1241"/>
      <c r="G167" s="1241"/>
      <c r="H167" s="1241"/>
      <c r="I167" s="1241"/>
      <c r="J167" s="1243"/>
    </row>
    <row r="168" spans="1:11" s="1240" customFormat="1" ht="16">
      <c r="A168" s="1241"/>
      <c r="B168" s="1241"/>
      <c r="C168" s="1241"/>
      <c r="D168" s="1241"/>
      <c r="E168" s="1241"/>
      <c r="F168" s="1241"/>
      <c r="G168" s="1241"/>
      <c r="H168" s="1241"/>
      <c r="I168" s="1241"/>
      <c r="J168" s="1243"/>
    </row>
    <row r="169" spans="1:11" s="1240" customFormat="1" ht="16">
      <c r="A169" s="1241"/>
      <c r="B169" s="1241"/>
      <c r="C169" s="1241"/>
      <c r="D169" s="1241"/>
      <c r="E169" s="1241"/>
      <c r="F169" s="1241"/>
      <c r="G169" s="1241"/>
      <c r="H169" s="1241"/>
      <c r="I169" s="1241"/>
      <c r="J169" s="1243"/>
    </row>
    <row r="170" spans="1:11" s="1240" customFormat="1" ht="16">
      <c r="A170" s="1241"/>
      <c r="B170" s="1241"/>
      <c r="C170" s="1241"/>
      <c r="D170" s="1241"/>
      <c r="E170" s="1241"/>
      <c r="F170" s="1241"/>
      <c r="G170" s="1241"/>
      <c r="H170" s="1241"/>
      <c r="I170" s="1241"/>
      <c r="J170" s="1241"/>
    </row>
    <row r="171" spans="1:11" s="1240" customFormat="1" ht="16">
      <c r="A171" s="1241"/>
      <c r="B171" s="1241"/>
      <c r="C171" s="1241"/>
      <c r="D171" s="1241"/>
      <c r="E171" s="1241"/>
      <c r="F171" s="1241"/>
      <c r="G171" s="1241"/>
      <c r="H171" s="1243"/>
      <c r="I171" s="1241"/>
      <c r="J171" s="1241"/>
    </row>
    <row r="172" spans="1:11" s="1240" customFormat="1" ht="16">
      <c r="A172" s="1241"/>
      <c r="B172" s="1241"/>
      <c r="C172" s="1241"/>
      <c r="D172" s="1241"/>
      <c r="E172" s="1241"/>
      <c r="F172" s="1241"/>
      <c r="G172" s="1241"/>
      <c r="H172" s="1243"/>
      <c r="I172" s="1241"/>
      <c r="J172" s="1241"/>
    </row>
    <row r="173" spans="1:11" s="1240" customFormat="1" ht="16">
      <c r="A173" s="1241"/>
      <c r="B173" s="1241"/>
      <c r="C173" s="1241"/>
      <c r="D173" s="1241"/>
      <c r="E173" s="1241"/>
      <c r="F173" s="1241"/>
      <c r="G173" s="1241"/>
      <c r="H173" s="1243"/>
      <c r="I173" s="1241"/>
      <c r="J173" s="1241"/>
    </row>
    <row r="174" spans="1:11" s="1240" customFormat="1" ht="16">
      <c r="A174" s="1241"/>
      <c r="B174" s="1241"/>
      <c r="C174" s="1241"/>
      <c r="D174" s="1241"/>
      <c r="E174" s="1241"/>
      <c r="F174" s="1241"/>
      <c r="G174" s="1243"/>
      <c r="H174" s="1241"/>
      <c r="I174" s="1243"/>
      <c r="J174" s="1241"/>
    </row>
    <row r="175" spans="1:11" s="1240" customFormat="1" ht="16">
      <c r="A175" s="1241"/>
      <c r="B175" s="1241"/>
      <c r="C175" s="1241"/>
      <c r="D175" s="1241"/>
      <c r="E175" s="1241"/>
      <c r="F175" s="1241"/>
      <c r="G175" s="1241"/>
      <c r="H175" s="1243"/>
      <c r="I175" s="1241"/>
      <c r="J175" s="1243"/>
    </row>
    <row r="176" spans="1:11" s="1240" customFormat="1" ht="16">
      <c r="A176" s="1241"/>
      <c r="B176" s="1241"/>
      <c r="C176" s="1241"/>
      <c r="D176" s="1241"/>
      <c r="E176" s="1241"/>
      <c r="F176" s="1241"/>
      <c r="G176" s="1241"/>
      <c r="H176" s="1241"/>
      <c r="I176" s="1243"/>
      <c r="J176" s="1241"/>
    </row>
    <row r="177" spans="1:11" s="1240" customFormat="1" ht="16">
      <c r="A177" s="1242"/>
      <c r="B177" s="1242"/>
      <c r="C177" s="1242"/>
      <c r="D177" s="1242"/>
      <c r="E177" s="1242"/>
      <c r="F177" s="1242"/>
      <c r="G177" s="1242"/>
      <c r="H177" s="1242"/>
      <c r="I177" s="1242"/>
      <c r="J177" s="1242"/>
      <c r="K177" s="1241"/>
    </row>
  </sheetData>
  <hyperlinks>
    <hyperlink ref="B219" r:id="rId1" display="https://www.energinet.dk/SiteCollectionDocuments/Danske%20dokumenter/El/Redeg%C3%B8relse%20for%20elforsyningssikkerhed%202015.pdf" xr:uid="{00000000-0004-0000-0B00-000000000000}"/>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rgb="FF92D050"/>
  </sheetPr>
  <dimension ref="B2:W72"/>
  <sheetViews>
    <sheetView topLeftCell="A73" zoomScale="115" zoomScaleNormal="115" workbookViewId="0">
      <selection activeCell="C52" sqref="C52"/>
    </sheetView>
  </sheetViews>
  <sheetFormatPr baseColWidth="10" defaultColWidth="8.5" defaultRowHeight="13"/>
  <cols>
    <col min="2" max="2" width="12.5" bestFit="1" customWidth="1"/>
    <col min="5" max="5" width="8.5" style="602"/>
    <col min="6" max="6" width="13.5" customWidth="1"/>
    <col min="10" max="11" width="8.5" style="602"/>
    <col min="17" max="17" width="11.5" customWidth="1"/>
    <col min="18" max="18" width="19.1640625" customWidth="1"/>
  </cols>
  <sheetData>
    <row r="2" spans="2:11" ht="14">
      <c r="B2" s="9"/>
      <c r="C2" s="102"/>
      <c r="D2" s="102"/>
      <c r="E2" s="102"/>
      <c r="F2" s="10" t="s">
        <v>7</v>
      </c>
      <c r="G2" s="102"/>
    </row>
    <row r="3" spans="2:11" ht="30">
      <c r="B3" s="11" t="s">
        <v>1</v>
      </c>
      <c r="C3" s="11" t="s">
        <v>21</v>
      </c>
      <c r="D3" s="11" t="s">
        <v>81</v>
      </c>
      <c r="E3" s="1059" t="s">
        <v>80</v>
      </c>
      <c r="F3" s="103" t="s">
        <v>13</v>
      </c>
      <c r="G3" s="54" t="s">
        <v>82</v>
      </c>
      <c r="H3" s="1059" t="s">
        <v>92</v>
      </c>
      <c r="I3" s="1120" t="s">
        <v>1627</v>
      </c>
      <c r="J3" s="1121"/>
      <c r="K3" s="1121"/>
    </row>
    <row r="4" spans="2:11" ht="14" thickBot="1">
      <c r="B4" s="104" t="s">
        <v>214</v>
      </c>
      <c r="C4" s="105"/>
      <c r="D4" s="105"/>
      <c r="E4" s="105"/>
      <c r="F4" s="106"/>
      <c r="G4" s="107"/>
    </row>
    <row r="5" spans="2:11" ht="14" thickBot="1">
      <c r="B5" s="108" t="s">
        <v>22</v>
      </c>
      <c r="C5" s="109"/>
      <c r="D5" s="109"/>
      <c r="E5" s="109"/>
      <c r="F5" s="109"/>
      <c r="G5" s="110"/>
    </row>
    <row r="6" spans="2:11">
      <c r="B6" t="str">
        <f>Processes!D143</f>
        <v>FT-SUPELC</v>
      </c>
      <c r="D6" s="588" t="s">
        <v>1656</v>
      </c>
      <c r="E6" s="23"/>
      <c r="F6" s="23" t="str">
        <f>Commodities!E81</f>
        <v>SUPELC</v>
      </c>
      <c r="G6" s="111">
        <v>1</v>
      </c>
    </row>
    <row r="7" spans="2:11">
      <c r="B7" s="484" t="str">
        <f>Processes!D144</f>
        <v>FT-SUPHETC</v>
      </c>
      <c r="D7" s="588" t="s">
        <v>1650</v>
      </c>
      <c r="E7" s="23"/>
      <c r="F7" s="23" t="str">
        <f>Commodities!E82</f>
        <v>SUPHETC</v>
      </c>
      <c r="G7" s="112">
        <v>1</v>
      </c>
    </row>
    <row r="8" spans="2:11">
      <c r="B8" s="525" t="str">
        <f>Processes!D145</f>
        <v>FT-SUPHETD</v>
      </c>
      <c r="C8" s="525"/>
      <c r="D8" s="1138" t="s">
        <v>1651</v>
      </c>
      <c r="E8" s="587"/>
      <c r="F8" s="587" t="str">
        <f>Commodities!E83</f>
        <v>SUPHETD</v>
      </c>
      <c r="G8" s="590">
        <v>1</v>
      </c>
    </row>
    <row r="9" spans="2:11">
      <c r="B9" s="484" t="str">
        <f>Processes!D146</f>
        <v>FT-SUPCOA</v>
      </c>
      <c r="C9" s="484"/>
      <c r="D9" s="484" t="str">
        <f>IF(LEN(F9)=6,RIGHT(F9,3),RIGHT(F9,4))</f>
        <v>COA</v>
      </c>
      <c r="F9" s="23" t="str">
        <f>Commodities!E84</f>
        <v>SUPCOA</v>
      </c>
      <c r="G9" s="484">
        <v>1</v>
      </c>
    </row>
    <row r="10" spans="2:11">
      <c r="B10" s="484" t="str">
        <f>Processes!D147</f>
        <v>FT-SUPNGA</v>
      </c>
      <c r="C10" s="484"/>
      <c r="D10" s="484" t="s">
        <v>1665</v>
      </c>
      <c r="F10" s="23" t="str">
        <f>Commodities!E85</f>
        <v>SUPNGA</v>
      </c>
      <c r="G10" s="484">
        <v>1</v>
      </c>
    </row>
    <row r="11" spans="2:11">
      <c r="B11" s="484" t="str">
        <f>Processes!D148</f>
        <v>FT-SUPCRD</v>
      </c>
      <c r="D11" s="484" t="str">
        <f t="shared" ref="D11:D37" si="0">IF(LEN(F11)=6,RIGHT(F11,3),RIGHT(F11,4))</f>
        <v>CRD</v>
      </c>
      <c r="F11" s="23" t="str">
        <f>Commodities!E86</f>
        <v>SUPCRD</v>
      </c>
      <c r="G11">
        <v>1</v>
      </c>
    </row>
    <row r="12" spans="2:11">
      <c r="B12" s="484" t="str">
        <f>Processes!D149</f>
        <v>FT-SUPLPG</v>
      </c>
      <c r="C12" s="484"/>
      <c r="D12" s="484" t="str">
        <f t="shared" si="0"/>
        <v>LPG</v>
      </c>
      <c r="F12" s="23" t="str">
        <f>Commodities!E87</f>
        <v>SUPLPG</v>
      </c>
      <c r="G12" s="484">
        <v>1</v>
      </c>
    </row>
    <row r="13" spans="2:11">
      <c r="B13" s="484" t="str">
        <f>Processes!D150</f>
        <v>FT-SUPLVN</v>
      </c>
      <c r="C13" s="484"/>
      <c r="D13" s="484" t="str">
        <f t="shared" si="0"/>
        <v>LVN</v>
      </c>
      <c r="F13" s="23" t="str">
        <f>Commodities!E88</f>
        <v>SUPLVN</v>
      </c>
      <c r="G13" s="484">
        <v>1</v>
      </c>
    </row>
    <row r="14" spans="2:11">
      <c r="B14" s="484" t="str">
        <f>Processes!D151</f>
        <v>FT-SUPGSL</v>
      </c>
      <c r="C14" s="484"/>
      <c r="D14" s="484" t="str">
        <f t="shared" si="0"/>
        <v>GSL</v>
      </c>
      <c r="F14" s="23" t="str">
        <f>Commodities!E89</f>
        <v>SUPGSL</v>
      </c>
      <c r="G14" s="484">
        <v>1</v>
      </c>
    </row>
    <row r="15" spans="2:11">
      <c r="B15" s="484" t="str">
        <f>Processes!D152</f>
        <v>FT-SUPKER</v>
      </c>
      <c r="C15" s="484"/>
      <c r="D15" s="484" t="str">
        <f t="shared" si="0"/>
        <v>KER</v>
      </c>
      <c r="F15" s="23" t="str">
        <f>Commodities!E90</f>
        <v>SUPKER</v>
      </c>
      <c r="G15" s="484">
        <v>1</v>
      </c>
    </row>
    <row r="16" spans="2:11">
      <c r="B16" s="484" t="str">
        <f>Processes!D153</f>
        <v>FT-SUPDSL</v>
      </c>
      <c r="C16" s="484"/>
      <c r="D16" s="484" t="str">
        <f t="shared" si="0"/>
        <v>DSL</v>
      </c>
      <c r="F16" s="23" t="str">
        <f>Commodities!E91</f>
        <v>SUPDSL</v>
      </c>
      <c r="G16" s="484">
        <v>1</v>
      </c>
    </row>
    <row r="17" spans="2:7">
      <c r="B17" s="484" t="str">
        <f>Processes!D154</f>
        <v>FT-SUPHFO</v>
      </c>
      <c r="C17" s="484"/>
      <c r="D17" s="484" t="str">
        <f t="shared" si="0"/>
        <v>HFO</v>
      </c>
      <c r="F17" s="23" t="str">
        <f>Commodities!E92</f>
        <v>SUPHFO</v>
      </c>
      <c r="G17" s="484">
        <v>1</v>
      </c>
    </row>
    <row r="18" spans="2:7">
      <c r="B18" s="484" t="str">
        <f>Processes!D155</f>
        <v>FT-SUPMGO</v>
      </c>
      <c r="C18" s="484"/>
      <c r="D18" s="484" t="str">
        <f t="shared" si="0"/>
        <v>MGO</v>
      </c>
      <c r="F18" s="23" t="str">
        <f>Commodities!E93</f>
        <v>SUPMGO</v>
      </c>
      <c r="G18" s="484">
        <v>1</v>
      </c>
    </row>
    <row r="19" spans="2:7">
      <c r="B19" s="484" t="str">
        <f>Processes!D156</f>
        <v>FT-SUPAGSL</v>
      </c>
      <c r="C19" s="484"/>
      <c r="D19" s="484" t="str">
        <f t="shared" si="0"/>
        <v>AGSL</v>
      </c>
      <c r="F19" s="23" t="str">
        <f>Commodities!E94</f>
        <v>SUPAGSL</v>
      </c>
      <c r="G19" s="484">
        <v>1</v>
      </c>
    </row>
    <row r="20" spans="2:7">
      <c r="B20" s="484" t="str">
        <f>Processes!D157</f>
        <v>FT-SUPWST</v>
      </c>
      <c r="C20" s="484"/>
      <c r="D20" s="484" t="str">
        <f t="shared" si="0"/>
        <v>WST</v>
      </c>
      <c r="F20" s="23" t="str">
        <f>Commodities!E95</f>
        <v>SUPWST</v>
      </c>
      <c r="G20" s="484">
        <v>1</v>
      </c>
    </row>
    <row r="21" spans="2:7">
      <c r="B21" s="484" t="str">
        <f>Processes!D158</f>
        <v>FT-SUPSTR</v>
      </c>
      <c r="C21" s="484"/>
      <c r="D21" s="484" t="str">
        <f t="shared" si="0"/>
        <v>STR</v>
      </c>
      <c r="F21" s="23" t="str">
        <f>Commodities!E96</f>
        <v>SUPSTR</v>
      </c>
      <c r="G21" s="484">
        <v>1</v>
      </c>
    </row>
    <row r="22" spans="2:7">
      <c r="B22" s="484" t="str">
        <f>Processes!D159</f>
        <v>FT-SUPGRS</v>
      </c>
      <c r="C22" s="484"/>
      <c r="D22" s="484" t="str">
        <f t="shared" si="0"/>
        <v>GRS</v>
      </c>
      <c r="F22" s="23" t="str">
        <f>Commodities!E97</f>
        <v>SUPGRS</v>
      </c>
      <c r="G22" s="484">
        <v>1</v>
      </c>
    </row>
    <row r="23" spans="2:7">
      <c r="B23" s="484" t="str">
        <f>Processes!D160</f>
        <v>FT-SUPWPE</v>
      </c>
      <c r="C23" s="484"/>
      <c r="D23" s="484" t="str">
        <f t="shared" si="0"/>
        <v>WPE</v>
      </c>
      <c r="F23" s="23" t="str">
        <f>Commodities!E98</f>
        <v>SUPWPE</v>
      </c>
      <c r="G23" s="484">
        <v>1</v>
      </c>
    </row>
    <row r="24" spans="2:7">
      <c r="B24" s="484" t="str">
        <f>Processes!D161</f>
        <v>FT-SUPWCH</v>
      </c>
      <c r="C24" s="484"/>
      <c r="D24" s="484" t="str">
        <f t="shared" si="0"/>
        <v>WCH</v>
      </c>
      <c r="F24" s="23" t="str">
        <f>Commodities!E99</f>
        <v>SUPWCH</v>
      </c>
      <c r="G24" s="484">
        <v>1</v>
      </c>
    </row>
    <row r="25" spans="2:7">
      <c r="B25" s="484" t="str">
        <f>Processes!D162</f>
        <v>FT-SUPFIW</v>
      </c>
      <c r="C25" s="484"/>
      <c r="D25" s="484" t="str">
        <f t="shared" si="0"/>
        <v>FIW</v>
      </c>
      <c r="F25" s="23" t="str">
        <f>Commodities!E100</f>
        <v>SUPFIW</v>
      </c>
      <c r="G25" s="484">
        <v>1</v>
      </c>
    </row>
    <row r="26" spans="2:7">
      <c r="B26" s="484" t="str">
        <f>Processes!D163</f>
        <v>FT-SUPCRN</v>
      </c>
      <c r="C26" s="484"/>
      <c r="D26" s="484" t="str">
        <f t="shared" si="0"/>
        <v>CRN</v>
      </c>
      <c r="F26" s="23" t="str">
        <f>Commodities!E101</f>
        <v>SUPCRN</v>
      </c>
      <c r="G26" s="484">
        <v>1</v>
      </c>
    </row>
    <row r="27" spans="2:7">
      <c r="B27" s="484" t="str">
        <f>Processes!D164</f>
        <v>FT-SUPRPS</v>
      </c>
      <c r="C27" s="484"/>
      <c r="D27" s="484" t="str">
        <f t="shared" si="0"/>
        <v>RPS</v>
      </c>
      <c r="F27" s="23" t="str">
        <f>Commodities!E102</f>
        <v>SUPRPS</v>
      </c>
      <c r="G27" s="484">
        <v>1</v>
      </c>
    </row>
    <row r="28" spans="2:7">
      <c r="B28" s="484" t="str">
        <f>Processes!D165</f>
        <v>FT-SUPSGB</v>
      </c>
      <c r="C28" s="484"/>
      <c r="D28" s="484" t="str">
        <f t="shared" si="0"/>
        <v>SGB</v>
      </c>
      <c r="F28" s="23" t="str">
        <f>Commodities!E103</f>
        <v>SUPSGB</v>
      </c>
      <c r="G28" s="484">
        <v>1</v>
      </c>
    </row>
    <row r="29" spans="2:7">
      <c r="B29" s="484" t="str">
        <f>Processes!D166</f>
        <v>FT-SUPDLI</v>
      </c>
      <c r="C29" s="484"/>
      <c r="D29" s="484" t="str">
        <f t="shared" si="0"/>
        <v>DLI</v>
      </c>
      <c r="F29" s="23" t="str">
        <f>Commodities!E104</f>
        <v>SUPDLI</v>
      </c>
      <c r="G29" s="484">
        <v>1</v>
      </c>
    </row>
    <row r="30" spans="2:7">
      <c r="B30" s="484" t="str">
        <f>Processes!D167</f>
        <v>FT-SUPMNR</v>
      </c>
      <c r="C30" s="484"/>
      <c r="D30" s="484" t="str">
        <f t="shared" si="0"/>
        <v>MNR</v>
      </c>
      <c r="F30" s="23" t="str">
        <f>Commodities!E105</f>
        <v>SUPMNR</v>
      </c>
      <c r="G30" s="484">
        <v>1</v>
      </c>
    </row>
    <row r="31" spans="2:7">
      <c r="B31" s="484" t="str">
        <f>Processes!D168</f>
        <v>FT-SUPBGA</v>
      </c>
      <c r="C31" s="484"/>
      <c r="D31" s="484" t="str">
        <f t="shared" si="0"/>
        <v>BGA</v>
      </c>
      <c r="F31" s="23" t="str">
        <f>Commodities!E106</f>
        <v>SUPBGA</v>
      </c>
      <c r="G31" s="484">
        <v>1</v>
      </c>
    </row>
    <row r="32" spans="2:7">
      <c r="B32" s="484" t="str">
        <f>Processes!D169</f>
        <v>FT-SUPHFB</v>
      </c>
      <c r="C32" s="484"/>
      <c r="D32" s="484" t="str">
        <f t="shared" si="0"/>
        <v>HFB</v>
      </c>
      <c r="F32" s="23" t="str">
        <f>Commodities!E107</f>
        <v>SUPHFB</v>
      </c>
      <c r="G32" s="484">
        <v>1</v>
      </c>
    </row>
    <row r="33" spans="2:7">
      <c r="B33" s="484" t="str">
        <f>Processes!D170</f>
        <v>FT-SUPDDGS</v>
      </c>
      <c r="C33" s="484"/>
      <c r="D33" s="484" t="str">
        <f t="shared" si="0"/>
        <v>DDGS</v>
      </c>
      <c r="F33" s="23" t="str">
        <f>Commodities!E108</f>
        <v>SUPDDGS</v>
      </c>
      <c r="G33" s="484">
        <v>1</v>
      </c>
    </row>
    <row r="34" spans="2:7">
      <c r="B34" s="484" t="str">
        <f>Processes!D171</f>
        <v>FT-SUPH2</v>
      </c>
      <c r="C34" s="484"/>
      <c r="D34" s="589" t="s">
        <v>755</v>
      </c>
      <c r="E34" s="589"/>
      <c r="F34" s="23" t="str">
        <f>Commodities!E109</f>
        <v>SUPH2</v>
      </c>
      <c r="G34" s="484">
        <v>1</v>
      </c>
    </row>
    <row r="35" spans="2:7">
      <c r="B35" s="484" t="str">
        <f>Processes!D172</f>
        <v>FT-SUPH2G</v>
      </c>
      <c r="C35" s="484"/>
      <c r="D35" s="484" t="str">
        <f t="shared" si="0"/>
        <v>H2G</v>
      </c>
      <c r="F35" s="23" t="str">
        <f>Commodities!E110</f>
        <v>SUPH2G</v>
      </c>
      <c r="G35" s="484">
        <v>1</v>
      </c>
    </row>
    <row r="36" spans="2:7">
      <c r="B36" s="484" t="str">
        <f>Processes!D173</f>
        <v>FT-SUPAMM</v>
      </c>
      <c r="C36" s="484"/>
      <c r="D36" s="484" t="str">
        <f t="shared" si="0"/>
        <v>AMM</v>
      </c>
      <c r="F36" s="23" t="str">
        <f>Commodities!E111</f>
        <v>SUPAMM</v>
      </c>
      <c r="G36" s="484">
        <v>1</v>
      </c>
    </row>
    <row r="37" spans="2:7">
      <c r="B37" s="484" t="str">
        <f>Processes!D174</f>
        <v>FT-SUPDME</v>
      </c>
      <c r="C37" s="484"/>
      <c r="D37" s="484" t="str">
        <f t="shared" si="0"/>
        <v>DME</v>
      </c>
      <c r="F37" s="23" t="str">
        <f>Commodities!E112</f>
        <v>SUPDME</v>
      </c>
      <c r="G37" s="484">
        <v>1</v>
      </c>
    </row>
    <row r="38" spans="2:7">
      <c r="B38" s="484" t="str">
        <f>Processes!D175</f>
        <v>FT-SUPKRB</v>
      </c>
      <c r="C38" s="484"/>
      <c r="D38" s="484" t="str">
        <f>Commodities!E30</f>
        <v>KRB1</v>
      </c>
      <c r="F38" s="23" t="str">
        <f>Commodities!E113</f>
        <v>SUPKRB</v>
      </c>
      <c r="G38" s="484">
        <v>1</v>
      </c>
    </row>
    <row r="39" spans="2:7">
      <c r="B39" s="484"/>
      <c r="C39" s="484"/>
      <c r="D39" s="484" t="str">
        <f>Commodities!E31</f>
        <v>KRB2</v>
      </c>
      <c r="F39" s="23"/>
      <c r="G39" s="484">
        <v>1</v>
      </c>
    </row>
    <row r="40" spans="2:7">
      <c r="B40" s="484"/>
      <c r="C40" s="484"/>
      <c r="D40" s="484" t="str">
        <f>Commodities!E32</f>
        <v>KRE</v>
      </c>
      <c r="F40" s="23"/>
      <c r="G40" s="484">
        <v>1</v>
      </c>
    </row>
    <row r="41" spans="2:7">
      <c r="B41" s="484" t="str">
        <f>Processes!D176</f>
        <v>FT-SUPSNG</v>
      </c>
      <c r="C41" s="484"/>
      <c r="D41" s="484" t="str">
        <f>Commodities!E33</f>
        <v>SNG1</v>
      </c>
      <c r="F41" s="23" t="str">
        <f>Commodities!E114</f>
        <v>SUPSNG</v>
      </c>
      <c r="G41" s="484">
        <v>1</v>
      </c>
    </row>
    <row r="42" spans="2:7">
      <c r="B42" s="484"/>
      <c r="C42" s="484"/>
      <c r="D42" s="484" t="str">
        <f>Commodities!E34</f>
        <v>SNG2</v>
      </c>
      <c r="F42" s="23"/>
      <c r="G42" s="484">
        <v>1</v>
      </c>
    </row>
    <row r="43" spans="2:7">
      <c r="B43" s="484"/>
      <c r="C43" s="484"/>
      <c r="D43" s="484" t="str">
        <f>Commodities!E35</f>
        <v>SNE</v>
      </c>
      <c r="F43" s="23"/>
      <c r="G43" s="484">
        <v>1</v>
      </c>
    </row>
    <row r="44" spans="2:7">
      <c r="B44" s="484" t="str">
        <f>Processes!D177</f>
        <v>FT-SUPDSB</v>
      </c>
      <c r="C44" s="484"/>
      <c r="D44" s="484" t="str">
        <f>Commodities!E36</f>
        <v>DSB1</v>
      </c>
      <c r="F44" s="23" t="str">
        <f>Commodities!E115</f>
        <v>SUPDSB</v>
      </c>
      <c r="G44" s="484">
        <v>1</v>
      </c>
    </row>
    <row r="45" spans="2:7">
      <c r="B45" s="484"/>
      <c r="C45" s="484"/>
      <c r="D45" s="484" t="str">
        <f>Commodities!E37</f>
        <v>DSB2</v>
      </c>
      <c r="F45" s="23"/>
      <c r="G45" s="484">
        <v>1</v>
      </c>
    </row>
    <row r="46" spans="2:7">
      <c r="B46" s="484"/>
      <c r="C46" s="484"/>
      <c r="D46" s="484" t="str">
        <f>Commodities!E38</f>
        <v>DSE</v>
      </c>
      <c r="F46" s="23"/>
      <c r="G46" s="484">
        <v>1</v>
      </c>
    </row>
    <row r="47" spans="2:7">
      <c r="B47" s="484" t="str">
        <f>Processes!D178</f>
        <v>FT-SUPGSB</v>
      </c>
      <c r="C47" s="484"/>
      <c r="D47" s="484" t="str">
        <f>Commodities!E39</f>
        <v>GSB1</v>
      </c>
      <c r="F47" s="23" t="str">
        <f>Commodities!E116</f>
        <v>SUPGSB</v>
      </c>
      <c r="G47" s="484">
        <v>1</v>
      </c>
    </row>
    <row r="48" spans="2:7">
      <c r="B48" s="484"/>
      <c r="C48" s="484"/>
      <c r="D48" s="484" t="str">
        <f>Commodities!E40</f>
        <v>GSB2</v>
      </c>
      <c r="F48" s="23"/>
      <c r="G48" s="484">
        <v>1</v>
      </c>
    </row>
    <row r="49" spans="2:23">
      <c r="B49" s="484"/>
      <c r="C49" s="484"/>
      <c r="D49" s="484" t="str">
        <f>Commodities!E41</f>
        <v>GSE</v>
      </c>
      <c r="F49" s="23"/>
      <c r="G49" s="484">
        <v>1</v>
      </c>
    </row>
    <row r="50" spans="2:23">
      <c r="B50" s="484" t="str">
        <f>Processes!D179</f>
        <v>FT-SUPMOB</v>
      </c>
      <c r="C50" s="484"/>
      <c r="D50" s="484" t="str">
        <f>Commodities!E42</f>
        <v>MOB1</v>
      </c>
      <c r="F50" s="23" t="str">
        <f>Commodities!E117</f>
        <v>SUPMOB</v>
      </c>
      <c r="G50" s="484">
        <v>1</v>
      </c>
    </row>
    <row r="51" spans="2:23">
      <c r="B51" s="484"/>
      <c r="C51" s="484"/>
      <c r="D51" s="484" t="str">
        <f>Commodities!E43</f>
        <v>MOB2</v>
      </c>
      <c r="F51" s="23"/>
      <c r="G51" s="484">
        <v>1</v>
      </c>
    </row>
    <row r="52" spans="2:23">
      <c r="B52" s="525"/>
      <c r="C52" s="525"/>
      <c r="D52" s="525" t="str">
        <f>Commodities!E44</f>
        <v>MOE</v>
      </c>
      <c r="E52" s="525"/>
      <c r="F52" s="587"/>
      <c r="G52" s="525">
        <v>1</v>
      </c>
    </row>
    <row r="53" spans="2:23">
      <c r="B53" s="557" t="str">
        <f>Processes!D180</f>
        <v>FT-MINNGA</v>
      </c>
      <c r="C53" s="557"/>
      <c r="D53" s="557" t="s">
        <v>736</v>
      </c>
      <c r="E53" s="557"/>
      <c r="F53" s="557" t="s">
        <v>41</v>
      </c>
      <c r="G53" s="557">
        <v>1</v>
      </c>
      <c r="H53" s="557"/>
      <c r="I53" s="557"/>
      <c r="J53" s="557"/>
    </row>
    <row r="54" spans="2:23" s="602" customFormat="1">
      <c r="B54" s="557"/>
      <c r="C54" s="557"/>
      <c r="D54" s="557"/>
      <c r="E54" s="557" t="s">
        <v>729</v>
      </c>
      <c r="F54" s="557"/>
      <c r="G54" s="557"/>
      <c r="H54" s="1209">
        <f>'Oil &amp; Gas Data'!J12/L54*H62</f>
        <v>3.0232753332390731E-2</v>
      </c>
      <c r="I54" s="557"/>
      <c r="J54" s="557"/>
      <c r="K54" s="602">
        <f>H62*233*40.1</f>
        <v>211.96948051948056</v>
      </c>
      <c r="L54" s="602">
        <f>K54*57</f>
        <v>12082.260389610392</v>
      </c>
    </row>
    <row r="55" spans="2:23" s="602" customFormat="1" ht="15">
      <c r="B55" s="557"/>
      <c r="C55" s="557"/>
      <c r="D55" s="557"/>
      <c r="E55" s="557" t="s">
        <v>1590</v>
      </c>
      <c r="F55" s="557"/>
      <c r="G55" s="557"/>
      <c r="H55" s="1209"/>
      <c r="I55" s="557"/>
      <c r="J55" s="557"/>
      <c r="K55" s="602">
        <f>H63*233*40.1</f>
        <v>16.907629870129874</v>
      </c>
      <c r="L55" s="602">
        <f>K55*76</f>
        <v>1284.9798701298705</v>
      </c>
      <c r="P55" s="1134"/>
    </row>
    <row r="56" spans="2:23" s="602" customFormat="1">
      <c r="B56" s="557"/>
      <c r="C56" s="557"/>
      <c r="D56" s="557"/>
      <c r="E56" s="557" t="s">
        <v>212</v>
      </c>
      <c r="F56" s="557"/>
      <c r="G56" s="557"/>
      <c r="H56" s="1209">
        <f>H68</f>
        <v>4.8123987970164622E-3</v>
      </c>
      <c r="I56" s="557"/>
      <c r="J56" s="557"/>
      <c r="K56" s="602">
        <f>H64*230*40.1</f>
        <v>44.38475410488283</v>
      </c>
      <c r="P56" s="1135" t="s">
        <v>1644</v>
      </c>
    </row>
    <row r="57" spans="2:23">
      <c r="B57" s="557" t="str">
        <f>Processes!D181</f>
        <v>FT-MINCRD</v>
      </c>
      <c r="C57" s="557"/>
      <c r="D57" s="557" t="s">
        <v>735</v>
      </c>
      <c r="E57" s="557"/>
      <c r="F57" s="557" t="s">
        <v>93</v>
      </c>
      <c r="G57" s="557">
        <v>1</v>
      </c>
      <c r="H57" s="557"/>
      <c r="I57" s="557"/>
      <c r="J57" s="557"/>
    </row>
    <row r="58" spans="2:23" ht="33" thickBot="1">
      <c r="B58" s="557"/>
      <c r="C58" s="557"/>
      <c r="D58" s="557"/>
      <c r="E58" s="557" t="s">
        <v>729</v>
      </c>
      <c r="F58" s="557"/>
      <c r="G58" s="557"/>
      <c r="H58" s="1209">
        <f>H54</f>
        <v>3.0232753332390731E-2</v>
      </c>
      <c r="I58" s="557"/>
      <c r="J58" s="557"/>
      <c r="K58" s="602">
        <f>1/H62</f>
        <v>44.078515346181291</v>
      </c>
      <c r="L58">
        <f>K58*K54</f>
        <v>9343.2999999999993</v>
      </c>
      <c r="O58" s="1129"/>
      <c r="P58" s="1129"/>
      <c r="Q58" s="1130" t="s">
        <v>305</v>
      </c>
      <c r="R58" s="1130" t="s">
        <v>1637</v>
      </c>
      <c r="S58" s="1130" t="s">
        <v>1638</v>
      </c>
      <c r="T58" s="1130" t="s">
        <v>56</v>
      </c>
      <c r="U58" s="1130" t="s">
        <v>247</v>
      </c>
      <c r="V58" s="1130" t="s">
        <v>1639</v>
      </c>
      <c r="W58" s="1130" t="s">
        <v>1640</v>
      </c>
    </row>
    <row r="59" spans="2:23" s="602" customFormat="1" ht="15">
      <c r="B59" s="557"/>
      <c r="C59" s="557"/>
      <c r="D59" s="557"/>
      <c r="E59" s="557" t="s">
        <v>1590</v>
      </c>
      <c r="F59" s="557"/>
      <c r="G59" s="557"/>
      <c r="H59" s="1209"/>
      <c r="I59" s="557"/>
      <c r="J59" s="557"/>
      <c r="O59" s="1331" t="s">
        <v>1641</v>
      </c>
      <c r="P59" s="1331"/>
      <c r="Q59" s="1131">
        <v>186.8</v>
      </c>
      <c r="R59" s="1131">
        <v>14.9</v>
      </c>
      <c r="S59" s="1128"/>
      <c r="T59" s="1128"/>
      <c r="U59" s="1131">
        <v>29</v>
      </c>
      <c r="V59" s="1128"/>
      <c r="W59" s="1131">
        <v>230.8</v>
      </c>
    </row>
    <row r="60" spans="2:23" ht="16" thickBot="1">
      <c r="B60" s="557"/>
      <c r="C60" s="557"/>
      <c r="D60" s="557"/>
      <c r="E60" s="557" t="s">
        <v>212</v>
      </c>
      <c r="F60" s="557"/>
      <c r="G60" s="557"/>
      <c r="H60" s="1209">
        <f>H64</f>
        <v>4.8123987970164622E-3</v>
      </c>
      <c r="I60" s="557"/>
      <c r="J60" s="557"/>
      <c r="L60" s="602"/>
      <c r="O60" s="1129" t="s">
        <v>1642</v>
      </c>
      <c r="P60" s="1129"/>
      <c r="Q60" s="1132">
        <v>0</v>
      </c>
      <c r="R60" s="1132">
        <v>21.1</v>
      </c>
      <c r="S60" s="1132"/>
      <c r="T60" s="1132"/>
      <c r="U60" s="1132">
        <v>1.8</v>
      </c>
      <c r="V60" s="1129"/>
      <c r="W60" s="1132">
        <v>23</v>
      </c>
    </row>
    <row r="61" spans="2:23" s="602" customFormat="1" ht="16" thickBot="1">
      <c r="B61" s="557" t="str">
        <f>Processes!D182</f>
        <v>FT-MINNGA2</v>
      </c>
      <c r="C61" s="557"/>
      <c r="D61" s="557" t="s">
        <v>736</v>
      </c>
      <c r="E61" s="557"/>
      <c r="F61" s="557" t="s">
        <v>41</v>
      </c>
      <c r="G61" s="557">
        <v>1</v>
      </c>
      <c r="H61" s="1209"/>
      <c r="I61" s="557"/>
      <c r="J61" s="557"/>
      <c r="O61" s="1133" t="s">
        <v>1643</v>
      </c>
      <c r="P61" s="1133"/>
      <c r="Q61" s="1132">
        <v>186.8</v>
      </c>
      <c r="R61" s="1132">
        <v>36</v>
      </c>
      <c r="S61" s="1132">
        <v>0</v>
      </c>
      <c r="T61" s="1132">
        <v>0</v>
      </c>
      <c r="U61" s="1132">
        <v>30.8</v>
      </c>
      <c r="V61" s="1132">
        <v>0</v>
      </c>
      <c r="W61" s="1132">
        <v>253.8</v>
      </c>
    </row>
    <row r="62" spans="2:23" s="602" customFormat="1">
      <c r="B62" s="557"/>
      <c r="C62" s="557"/>
      <c r="D62" s="557"/>
      <c r="E62" s="557" t="s">
        <v>729</v>
      </c>
      <c r="F62" s="557"/>
      <c r="G62" s="557"/>
      <c r="H62" s="557">
        <f>186.8/'3.10'!F63*1.05</f>
        <v>2.2686789519707231E-2</v>
      </c>
      <c r="I62" s="557">
        <v>2020</v>
      </c>
      <c r="J62" s="557"/>
      <c r="K62" s="602" t="s">
        <v>1636</v>
      </c>
    </row>
    <row r="63" spans="2:23" s="602" customFormat="1">
      <c r="B63" s="557"/>
      <c r="C63" s="557"/>
      <c r="D63" s="557"/>
      <c r="E63" s="557" t="s">
        <v>1590</v>
      </c>
      <c r="F63" s="557"/>
      <c r="G63" s="557"/>
      <c r="H63" s="557">
        <f>14.9/'3.10'!F63*1.05</f>
        <v>1.8095993781779322E-3</v>
      </c>
      <c r="I63" s="557"/>
      <c r="J63" s="557"/>
    </row>
    <row r="64" spans="2:23" s="602" customFormat="1">
      <c r="B64" s="557"/>
      <c r="C64" s="557"/>
      <c r="D64" s="557"/>
      <c r="E64" s="557" t="s">
        <v>212</v>
      </c>
      <c r="F64" s="557"/>
      <c r="G64" s="557"/>
      <c r="H64" s="557">
        <f>29/SUM('MIN-IMP-EXP'!BB1:BB2)</f>
        <v>4.8123987970164622E-3</v>
      </c>
      <c r="I64" s="557"/>
      <c r="J64" s="557"/>
    </row>
    <row r="65" spans="2:12" s="602" customFormat="1">
      <c r="B65" s="557" t="str">
        <f>Processes!D183</f>
        <v>FT-MINCRD2</v>
      </c>
      <c r="C65" s="557"/>
      <c r="D65" s="557" t="s">
        <v>735</v>
      </c>
      <c r="E65" s="557"/>
      <c r="F65" s="557" t="s">
        <v>93</v>
      </c>
      <c r="G65" s="557">
        <v>1</v>
      </c>
      <c r="H65" s="557"/>
      <c r="I65" s="557"/>
      <c r="J65" s="557"/>
    </row>
    <row r="66" spans="2:12" s="602" customFormat="1">
      <c r="B66" s="557"/>
      <c r="C66" s="557"/>
      <c r="D66" s="557"/>
      <c r="E66" s="557" t="s">
        <v>729</v>
      </c>
      <c r="F66" s="557"/>
      <c r="G66" s="557"/>
      <c r="H66" s="557">
        <f>H62</f>
        <v>2.2686789519707231E-2</v>
      </c>
      <c r="I66" s="557">
        <v>2020</v>
      </c>
      <c r="J66" s="557"/>
    </row>
    <row r="67" spans="2:12" s="602" customFormat="1">
      <c r="B67" s="557"/>
      <c r="C67" s="557"/>
      <c r="D67" s="557"/>
      <c r="E67" s="557" t="s">
        <v>1590</v>
      </c>
      <c r="F67" s="557"/>
      <c r="G67" s="557"/>
      <c r="H67" s="557">
        <f>H63</f>
        <v>1.8095993781779322E-3</v>
      </c>
      <c r="I67" s="557"/>
      <c r="J67" s="557"/>
    </row>
    <row r="68" spans="2:12" s="602" customFormat="1">
      <c r="B68" s="557"/>
      <c r="C68" s="557"/>
      <c r="D68" s="557"/>
      <c r="E68" s="557" t="s">
        <v>212</v>
      </c>
      <c r="F68" s="557"/>
      <c r="G68" s="557"/>
      <c r="H68" s="557">
        <f>H64</f>
        <v>4.8123987970164622E-3</v>
      </c>
      <c r="I68" s="557"/>
      <c r="J68" s="557"/>
    </row>
    <row r="69" spans="2:12">
      <c r="B69" s="557" t="str">
        <f>Processes!D184</f>
        <v>FT-MINNGA3</v>
      </c>
      <c r="C69" s="557"/>
      <c r="D69" s="557" t="s">
        <v>736</v>
      </c>
      <c r="E69" s="557"/>
      <c r="F69" s="557" t="s">
        <v>41</v>
      </c>
      <c r="G69" s="557">
        <v>1</v>
      </c>
      <c r="H69" s="557"/>
      <c r="I69" s="557">
        <v>2030</v>
      </c>
      <c r="J69" s="557"/>
    </row>
    <row r="70" spans="2:12">
      <c r="B70" s="557"/>
      <c r="C70" s="557"/>
      <c r="D70" s="557"/>
      <c r="E70" s="557" t="s">
        <v>212</v>
      </c>
      <c r="F70" s="557"/>
      <c r="G70" s="557"/>
      <c r="H70" s="557">
        <f>H64+H62/2</f>
        <v>1.6155793556870079E-2</v>
      </c>
      <c r="I70" s="557"/>
      <c r="J70" s="557"/>
      <c r="L70" t="s">
        <v>1626</v>
      </c>
    </row>
    <row r="71" spans="2:12">
      <c r="B71" s="557" t="str">
        <f>Processes!D185</f>
        <v>FT-MINCRD3</v>
      </c>
      <c r="C71" s="557"/>
      <c r="D71" s="557" t="s">
        <v>735</v>
      </c>
      <c r="E71" s="557"/>
      <c r="F71" s="557" t="s">
        <v>41</v>
      </c>
      <c r="G71" s="557">
        <v>1</v>
      </c>
      <c r="H71" s="557"/>
      <c r="I71" s="557">
        <v>2030</v>
      </c>
      <c r="J71" s="557"/>
    </row>
    <row r="72" spans="2:12">
      <c r="B72" s="557"/>
      <c r="C72" s="557"/>
      <c r="D72" s="557"/>
      <c r="E72" s="557" t="s">
        <v>212</v>
      </c>
      <c r="F72" s="557"/>
      <c r="G72" s="557"/>
      <c r="H72" s="557">
        <f>H70</f>
        <v>1.6155793556870079E-2</v>
      </c>
      <c r="I72" s="557"/>
      <c r="J72" s="557"/>
      <c r="L72" s="602"/>
    </row>
  </sheetData>
  <mergeCells count="1">
    <mergeCell ref="O59:P59"/>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87"/>
  <sheetViews>
    <sheetView workbookViewId="0">
      <pane xSplit="2" ySplit="10" topLeftCell="L74" activePane="bottomRight" state="frozen"/>
      <selection pane="topRight"/>
      <selection pane="bottomLeft"/>
      <selection pane="bottomRight" activeCell="P79" sqref="P79"/>
    </sheetView>
  </sheetViews>
  <sheetFormatPr baseColWidth="10" defaultColWidth="8.83203125" defaultRowHeight="11.25" customHeight="1"/>
  <cols>
    <col min="1" max="1" width="5.1640625" style="1298" customWidth="1"/>
    <col min="2" max="2" width="41.6640625" style="1298" customWidth="1"/>
    <col min="3" max="3" width="18" style="1298" customWidth="1"/>
    <col min="4" max="4" width="15.1640625" style="1298" customWidth="1"/>
    <col min="5" max="5" width="8.33203125" style="1298" customWidth="1"/>
    <col min="6" max="6" width="13.1640625" style="1298" customWidth="1"/>
    <col min="7" max="7" width="7.1640625" style="1298" customWidth="1"/>
    <col min="8" max="8" width="13.6640625" style="1298" customWidth="1"/>
    <col min="9" max="9" width="7.6640625" style="1298" customWidth="1"/>
    <col min="10" max="10" width="13.6640625" style="1298" customWidth="1"/>
    <col min="11" max="11" width="6.6640625" style="1298" customWidth="1"/>
    <col min="12" max="12" width="15.6640625" style="1298" customWidth="1"/>
    <col min="13" max="13" width="7.6640625" style="1298" customWidth="1"/>
    <col min="14" max="14" width="15" style="1298" customWidth="1"/>
    <col min="15" max="15" width="10" style="1298" customWidth="1"/>
    <col min="16" max="16" width="13.6640625" style="1298" customWidth="1"/>
    <col min="17" max="17" width="8" style="1298" customWidth="1"/>
    <col min="18" max="18" width="14.5" style="1298" customWidth="1"/>
    <col min="19" max="19" width="7.1640625" style="1298" customWidth="1"/>
    <col min="20" max="20" width="18.33203125" style="1298" customWidth="1"/>
    <col min="21" max="21" width="7.33203125" style="1298" customWidth="1"/>
    <col min="22" max="16384" width="8.83203125" style="1298"/>
  </cols>
  <sheetData>
    <row r="1" spans="1:21" ht="15">
      <c r="A1" s="1299" t="s">
        <v>2283</v>
      </c>
    </row>
    <row r="2" spans="1:21" ht="15">
      <c r="A2" s="1299" t="s">
        <v>2262</v>
      </c>
      <c r="B2" s="1300" t="s">
        <v>2282</v>
      </c>
    </row>
    <row r="3" spans="1:21" ht="15">
      <c r="A3" s="1299" t="s">
        <v>2261</v>
      </c>
      <c r="B3" s="1299" t="s">
        <v>2260</v>
      </c>
    </row>
    <row r="4" spans="1:21" ht="11.25" customHeight="1">
      <c r="R4" s="1323">
        <f>T79-R79</f>
        <v>117601.19999999998</v>
      </c>
    </row>
    <row r="5" spans="1:21" ht="15">
      <c r="A5" s="1300" t="s">
        <v>2259</v>
      </c>
      <c r="C5" s="1299" t="s">
        <v>2258</v>
      </c>
    </row>
    <row r="6" spans="1:21" ht="15">
      <c r="A6" s="1300" t="s">
        <v>2257</v>
      </c>
      <c r="C6" s="1299" t="s">
        <v>2256</v>
      </c>
    </row>
    <row r="7" spans="1:21" ht="11.25" customHeight="1">
      <c r="D7" s="1298" t="s">
        <v>2284</v>
      </c>
      <c r="F7" s="1298" t="s">
        <v>2286</v>
      </c>
      <c r="H7" s="1298" t="s">
        <v>2285</v>
      </c>
      <c r="J7" s="1317" t="s">
        <v>2287</v>
      </c>
      <c r="K7" s="1317"/>
      <c r="L7" s="1317" t="s">
        <v>2288</v>
      </c>
      <c r="M7" s="1317"/>
      <c r="N7" s="1317" t="s">
        <v>2289</v>
      </c>
      <c r="P7" s="1317" t="s">
        <v>2290</v>
      </c>
      <c r="Q7" s="1317"/>
      <c r="R7" s="1317" t="s">
        <v>2291</v>
      </c>
      <c r="S7" s="1317"/>
      <c r="T7" s="1317" t="s">
        <v>2292</v>
      </c>
    </row>
    <row r="8" spans="1:21" ht="15">
      <c r="B8" s="1332" t="s">
        <v>2255</v>
      </c>
      <c r="C8" s="1333"/>
      <c r="D8" s="1332" t="s">
        <v>958</v>
      </c>
      <c r="E8" s="1334"/>
      <c r="F8" s="1334"/>
      <c r="G8" s="1334"/>
      <c r="H8" s="1334"/>
      <c r="I8" s="1333"/>
      <c r="J8" s="1332" t="s">
        <v>953</v>
      </c>
      <c r="K8" s="1334"/>
      <c r="L8" s="1334"/>
      <c r="M8" s="1334"/>
      <c r="N8" s="1334"/>
      <c r="O8" s="1333"/>
      <c r="P8" s="1332" t="s">
        <v>2281</v>
      </c>
      <c r="Q8" s="1334"/>
      <c r="R8" s="1334"/>
      <c r="S8" s="1334"/>
      <c r="T8" s="1334"/>
      <c r="U8" s="1333"/>
    </row>
    <row r="9" spans="1:21" ht="15">
      <c r="B9" s="1332" t="s">
        <v>2254</v>
      </c>
      <c r="C9" s="1333"/>
      <c r="D9" s="1332" t="s">
        <v>927</v>
      </c>
      <c r="E9" s="1333"/>
      <c r="F9" s="1332" t="s">
        <v>164</v>
      </c>
      <c r="G9" s="1333"/>
      <c r="H9" s="1332" t="s">
        <v>170</v>
      </c>
      <c r="I9" s="1333"/>
      <c r="J9" s="1332" t="s">
        <v>927</v>
      </c>
      <c r="K9" s="1333"/>
      <c r="L9" s="1332" t="s">
        <v>164</v>
      </c>
      <c r="M9" s="1333"/>
      <c r="N9" s="1332" t="s">
        <v>170</v>
      </c>
      <c r="O9" s="1333"/>
      <c r="P9" s="1332" t="s">
        <v>927</v>
      </c>
      <c r="Q9" s="1333"/>
      <c r="R9" s="1332" t="s">
        <v>164</v>
      </c>
      <c r="S9" s="1333"/>
      <c r="T9" s="1332" t="s">
        <v>170</v>
      </c>
      <c r="U9" s="1333"/>
    </row>
    <row r="10" spans="1:21" ht="15">
      <c r="A10" s="1317"/>
      <c r="B10" s="1309" t="s">
        <v>2253</v>
      </c>
      <c r="C10" s="1309" t="s">
        <v>2252</v>
      </c>
      <c r="D10" s="1308" t="s">
        <v>1674</v>
      </c>
      <c r="E10" s="1308" t="s">
        <v>1674</v>
      </c>
      <c r="F10" s="1308" t="s">
        <v>1674</v>
      </c>
      <c r="G10" s="1308" t="s">
        <v>1674</v>
      </c>
      <c r="H10" s="1308" t="s">
        <v>1674</v>
      </c>
      <c r="I10" s="1308" t="s">
        <v>1674</v>
      </c>
      <c r="J10" s="1308" t="s">
        <v>1674</v>
      </c>
      <c r="K10" s="1308" t="s">
        <v>1674</v>
      </c>
      <c r="L10" s="1308" t="s">
        <v>1674</v>
      </c>
      <c r="M10" s="1308" t="s">
        <v>1674</v>
      </c>
      <c r="N10" s="1308" t="s">
        <v>1674</v>
      </c>
      <c r="O10" s="1308" t="s">
        <v>1674</v>
      </c>
      <c r="P10" s="1308" t="s">
        <v>1674</v>
      </c>
      <c r="Q10" s="1308" t="s">
        <v>1674</v>
      </c>
      <c r="R10" s="1308" t="s">
        <v>1674</v>
      </c>
      <c r="S10" s="1308" t="s">
        <v>1674</v>
      </c>
      <c r="T10" s="1308" t="s">
        <v>1674</v>
      </c>
      <c r="U10" s="1308" t="s">
        <v>1674</v>
      </c>
    </row>
    <row r="11" spans="1:21" ht="15">
      <c r="A11" s="1317"/>
      <c r="B11" s="1303" t="s">
        <v>2210</v>
      </c>
      <c r="C11" s="1303" t="s">
        <v>1640</v>
      </c>
      <c r="D11" s="1305">
        <v>5512813.8710000003</v>
      </c>
      <c r="E11" s="1304" t="s">
        <v>1674</v>
      </c>
      <c r="F11" s="1305">
        <v>10385903.103</v>
      </c>
      <c r="G11" s="1304" t="s">
        <v>1674</v>
      </c>
      <c r="H11" s="1307">
        <v>1820308.48</v>
      </c>
      <c r="I11" s="1304" t="s">
        <v>1674</v>
      </c>
      <c r="J11" s="1305">
        <v>5046999.4239999996</v>
      </c>
      <c r="K11" s="1304" t="s">
        <v>1674</v>
      </c>
      <c r="L11" s="1305">
        <v>10870505.774</v>
      </c>
      <c r="M11" s="1304" t="s">
        <v>1674</v>
      </c>
      <c r="N11" s="1305">
        <v>2532781.2039999999</v>
      </c>
      <c r="O11" s="1304" t="s">
        <v>1674</v>
      </c>
      <c r="P11" s="1305">
        <v>4407692.4029999999</v>
      </c>
      <c r="Q11" s="1304" t="s">
        <v>1674</v>
      </c>
      <c r="R11" s="1305">
        <v>10040343.889</v>
      </c>
      <c r="S11" s="1304" t="s">
        <v>1674</v>
      </c>
      <c r="T11" s="1305">
        <v>1350865.841</v>
      </c>
      <c r="U11" s="1304" t="s">
        <v>1674</v>
      </c>
    </row>
    <row r="12" spans="1:21" ht="15">
      <c r="A12" s="1317"/>
      <c r="B12" s="1303" t="s">
        <v>2210</v>
      </c>
      <c r="C12" s="1303" t="s">
        <v>2251</v>
      </c>
      <c r="D12" s="1302">
        <v>1921985.1780000001</v>
      </c>
      <c r="E12" s="1301" t="s">
        <v>1674</v>
      </c>
      <c r="F12" s="1306">
        <v>1364347.8</v>
      </c>
      <c r="G12" s="1301" t="s">
        <v>1674</v>
      </c>
      <c r="H12" s="1302">
        <v>39667.622000000003</v>
      </c>
      <c r="I12" s="1301" t="s">
        <v>1674</v>
      </c>
      <c r="J12" s="1302">
        <v>1800486.7290000001</v>
      </c>
      <c r="K12" s="1301" t="s">
        <v>1674</v>
      </c>
      <c r="L12" s="1306">
        <v>1569032.96</v>
      </c>
      <c r="M12" s="1301" t="s">
        <v>1674</v>
      </c>
      <c r="N12" s="1306">
        <v>58781.79</v>
      </c>
      <c r="O12" s="1301" t="s">
        <v>1674</v>
      </c>
      <c r="P12" s="1302">
        <v>1189899.973</v>
      </c>
      <c r="Q12" s="1301" t="s">
        <v>1674</v>
      </c>
      <c r="R12" s="1302">
        <v>1179756.6240000001</v>
      </c>
      <c r="S12" s="1301" t="s">
        <v>1674</v>
      </c>
      <c r="T12" s="1302">
        <v>62836.529000000002</v>
      </c>
      <c r="U12" s="1301" t="s">
        <v>1674</v>
      </c>
    </row>
    <row r="13" spans="1:21" ht="15">
      <c r="A13" s="1317"/>
      <c r="B13" s="1303" t="s">
        <v>2210</v>
      </c>
      <c r="C13" s="1303" t="s">
        <v>1346</v>
      </c>
      <c r="D13" s="1307">
        <v>58698.66</v>
      </c>
      <c r="E13" s="1304" t="s">
        <v>1674</v>
      </c>
      <c r="F13" s="1307">
        <v>33936.07</v>
      </c>
      <c r="G13" s="1304" t="s">
        <v>1674</v>
      </c>
      <c r="H13" s="1307">
        <v>6471.5</v>
      </c>
      <c r="I13" s="1304" t="s">
        <v>1674</v>
      </c>
      <c r="J13" s="1307">
        <v>49391.1</v>
      </c>
      <c r="K13" s="1304" t="s">
        <v>1674</v>
      </c>
      <c r="L13" s="1307">
        <v>57736.800000000003</v>
      </c>
      <c r="M13" s="1304" t="s">
        <v>1674</v>
      </c>
      <c r="N13" s="1307">
        <v>3682.8</v>
      </c>
      <c r="O13" s="1304" t="s">
        <v>1674</v>
      </c>
      <c r="P13" s="1307">
        <v>0</v>
      </c>
      <c r="Q13" s="1304" t="s">
        <v>1674</v>
      </c>
      <c r="R13" s="1305">
        <v>27319.514999999999</v>
      </c>
      <c r="S13" s="1304" t="s">
        <v>1674</v>
      </c>
      <c r="T13" s="1305">
        <v>2158.002</v>
      </c>
      <c r="U13" s="1304" t="s">
        <v>1674</v>
      </c>
    </row>
    <row r="14" spans="1:21" ht="15">
      <c r="A14" s="1317"/>
      <c r="B14" s="1303" t="s">
        <v>2210</v>
      </c>
      <c r="C14" s="1303" t="s">
        <v>1345</v>
      </c>
      <c r="D14" s="1306">
        <v>236205</v>
      </c>
      <c r="E14" s="1301" t="s">
        <v>1674</v>
      </c>
      <c r="F14" s="1306">
        <v>225997</v>
      </c>
      <c r="G14" s="1301" t="s">
        <v>1674</v>
      </c>
      <c r="H14" s="1306">
        <v>174</v>
      </c>
      <c r="I14" s="1301" t="s">
        <v>1674</v>
      </c>
      <c r="J14" s="1306">
        <v>111447</v>
      </c>
      <c r="K14" s="1301" t="s">
        <v>1674</v>
      </c>
      <c r="L14" s="1306">
        <v>227505</v>
      </c>
      <c r="M14" s="1301" t="s">
        <v>1674</v>
      </c>
      <c r="N14" s="1306">
        <v>0</v>
      </c>
      <c r="O14" s="1301" t="s">
        <v>1674</v>
      </c>
      <c r="P14" s="1306">
        <v>0</v>
      </c>
      <c r="Q14" s="1301" t="s">
        <v>1674</v>
      </c>
      <c r="R14" s="1302">
        <v>326278.27500000002</v>
      </c>
      <c r="S14" s="1301" t="s">
        <v>1674</v>
      </c>
      <c r="T14" s="1306">
        <v>352.35</v>
      </c>
      <c r="U14" s="1301" t="s">
        <v>1674</v>
      </c>
    </row>
    <row r="15" spans="1:21" ht="15">
      <c r="A15" s="1317"/>
      <c r="B15" s="1303" t="s">
        <v>2210</v>
      </c>
      <c r="C15" s="1303" t="s">
        <v>1344</v>
      </c>
      <c r="D15" s="1305">
        <v>92290.338000000003</v>
      </c>
      <c r="E15" s="1304" t="s">
        <v>1674</v>
      </c>
      <c r="F15" s="1307">
        <v>967969.79</v>
      </c>
      <c r="G15" s="1304" t="s">
        <v>1674</v>
      </c>
      <c r="H15" s="1305">
        <v>954.59199999999998</v>
      </c>
      <c r="I15" s="1304" t="s">
        <v>1674</v>
      </c>
      <c r="J15" s="1305">
        <v>31721.679</v>
      </c>
      <c r="K15" s="1304" t="s">
        <v>1674</v>
      </c>
      <c r="L15" s="1305">
        <v>1194620.7779999999</v>
      </c>
      <c r="M15" s="1304" t="s">
        <v>1674</v>
      </c>
      <c r="N15" s="1307">
        <v>1633.5</v>
      </c>
      <c r="O15" s="1304" t="s">
        <v>1674</v>
      </c>
      <c r="P15" s="1307">
        <v>0</v>
      </c>
      <c r="Q15" s="1304" t="s">
        <v>1674</v>
      </c>
      <c r="R15" s="1305">
        <v>768530.94799999997</v>
      </c>
      <c r="S15" s="1304" t="s">
        <v>1674</v>
      </c>
      <c r="T15" s="1305">
        <v>10144.268</v>
      </c>
      <c r="U15" s="1304" t="s">
        <v>1674</v>
      </c>
    </row>
    <row r="16" spans="1:21" ht="15">
      <c r="A16" s="1317"/>
      <c r="B16" s="1303" t="s">
        <v>2210</v>
      </c>
      <c r="C16" s="1303" t="s">
        <v>1343</v>
      </c>
      <c r="D16" s="1306">
        <v>0</v>
      </c>
      <c r="E16" s="1301" t="s">
        <v>1674</v>
      </c>
      <c r="F16" s="1306">
        <v>0</v>
      </c>
      <c r="G16" s="1301" t="s">
        <v>1674</v>
      </c>
      <c r="H16" s="1306">
        <v>0</v>
      </c>
      <c r="I16" s="1301" t="s">
        <v>1674</v>
      </c>
      <c r="J16" s="1306">
        <v>0</v>
      </c>
      <c r="K16" s="1301" t="s">
        <v>1674</v>
      </c>
      <c r="L16" s="1306">
        <v>0</v>
      </c>
      <c r="M16" s="1301" t="s">
        <v>1674</v>
      </c>
      <c r="N16" s="1306">
        <v>0</v>
      </c>
      <c r="O16" s="1301" t="s">
        <v>1674</v>
      </c>
      <c r="P16" s="1306">
        <v>0</v>
      </c>
      <c r="Q16" s="1301" t="s">
        <v>1674</v>
      </c>
      <c r="R16" s="1306">
        <v>0</v>
      </c>
      <c r="S16" s="1301" t="s">
        <v>1674</v>
      </c>
      <c r="T16" s="1306">
        <v>0</v>
      </c>
      <c r="U16" s="1301" t="s">
        <v>1674</v>
      </c>
    </row>
    <row r="17" spans="1:21" ht="15">
      <c r="A17" s="1317"/>
      <c r="B17" s="1303" t="s">
        <v>2210</v>
      </c>
      <c r="C17" s="1303" t="s">
        <v>2250</v>
      </c>
      <c r="D17" s="1307">
        <v>1534791.18</v>
      </c>
      <c r="E17" s="1304" t="s">
        <v>1674</v>
      </c>
      <c r="F17" s="1307">
        <v>0</v>
      </c>
      <c r="G17" s="1304" t="s">
        <v>1674</v>
      </c>
      <c r="H17" s="1307">
        <v>0</v>
      </c>
      <c r="I17" s="1304" t="s">
        <v>1674</v>
      </c>
      <c r="J17" s="1307">
        <v>1607926.95</v>
      </c>
      <c r="K17" s="1304" t="s">
        <v>1674</v>
      </c>
      <c r="L17" s="1307">
        <v>373.76</v>
      </c>
      <c r="M17" s="1304" t="s">
        <v>1674</v>
      </c>
      <c r="N17" s="1305">
        <v>9700.2819999999992</v>
      </c>
      <c r="O17" s="1304" t="s">
        <v>1674</v>
      </c>
      <c r="P17" s="1305">
        <v>1189899.973</v>
      </c>
      <c r="Q17" s="1304" t="s">
        <v>1674</v>
      </c>
      <c r="R17" s="1305">
        <v>432.745</v>
      </c>
      <c r="S17" s="1304" t="s">
        <v>1674</v>
      </c>
      <c r="T17" s="1307">
        <v>0</v>
      </c>
      <c r="U17" s="1304" t="s">
        <v>1674</v>
      </c>
    </row>
    <row r="18" spans="1:21" ht="15">
      <c r="A18" s="1317"/>
      <c r="B18" s="1303" t="s">
        <v>2210</v>
      </c>
      <c r="C18" s="1303" t="s">
        <v>1340</v>
      </c>
      <c r="D18" s="1301" t="s">
        <v>937</v>
      </c>
      <c r="E18" s="1301" t="s">
        <v>2205</v>
      </c>
      <c r="F18" s="1306">
        <v>123481.5</v>
      </c>
      <c r="G18" s="1301" t="s">
        <v>1674</v>
      </c>
      <c r="H18" s="1306">
        <v>5414.85</v>
      </c>
      <c r="I18" s="1301" t="s">
        <v>1674</v>
      </c>
      <c r="J18" s="1301" t="s">
        <v>937</v>
      </c>
      <c r="K18" s="1301" t="s">
        <v>2205</v>
      </c>
      <c r="L18" s="1306">
        <v>82884.45</v>
      </c>
      <c r="M18" s="1301" t="s">
        <v>1674</v>
      </c>
      <c r="N18" s="1306">
        <v>9970.2000000000007</v>
      </c>
      <c r="O18" s="1301" t="s">
        <v>1674</v>
      </c>
      <c r="P18" s="1301" t="s">
        <v>937</v>
      </c>
      <c r="Q18" s="1301" t="s">
        <v>2205</v>
      </c>
      <c r="R18" s="1302">
        <v>54525.248</v>
      </c>
      <c r="S18" s="1301" t="s">
        <v>1674</v>
      </c>
      <c r="T18" s="1306">
        <v>21794.37</v>
      </c>
      <c r="U18" s="1301" t="s">
        <v>1674</v>
      </c>
    </row>
    <row r="19" spans="1:21" ht="15">
      <c r="A19" s="1317"/>
      <c r="B19" s="1303" t="s">
        <v>2210</v>
      </c>
      <c r="C19" s="1303" t="s">
        <v>1339</v>
      </c>
      <c r="D19" s="1304" t="s">
        <v>937</v>
      </c>
      <c r="E19" s="1304" t="s">
        <v>2205</v>
      </c>
      <c r="F19" s="1307">
        <v>0</v>
      </c>
      <c r="G19" s="1304" t="s">
        <v>1674</v>
      </c>
      <c r="H19" s="1307">
        <v>0</v>
      </c>
      <c r="I19" s="1304" t="s">
        <v>1674</v>
      </c>
      <c r="J19" s="1304" t="s">
        <v>937</v>
      </c>
      <c r="K19" s="1304" t="s">
        <v>2205</v>
      </c>
      <c r="L19" s="1307">
        <v>0</v>
      </c>
      <c r="M19" s="1304" t="s">
        <v>1674</v>
      </c>
      <c r="N19" s="1307">
        <v>0</v>
      </c>
      <c r="O19" s="1304" t="s">
        <v>1674</v>
      </c>
      <c r="P19" s="1304" t="s">
        <v>937</v>
      </c>
      <c r="Q19" s="1304" t="s">
        <v>2205</v>
      </c>
      <c r="R19" s="1307">
        <v>0</v>
      </c>
      <c r="S19" s="1304" t="s">
        <v>1674</v>
      </c>
      <c r="T19" s="1307">
        <v>0</v>
      </c>
      <c r="U19" s="1304" t="s">
        <v>1674</v>
      </c>
    </row>
    <row r="20" spans="1:21" ht="15">
      <c r="A20" s="1317"/>
      <c r="B20" s="1303" t="s">
        <v>2210</v>
      </c>
      <c r="C20" s="1303" t="s">
        <v>2249</v>
      </c>
      <c r="D20" s="1301" t="s">
        <v>937</v>
      </c>
      <c r="E20" s="1301" t="s">
        <v>2205</v>
      </c>
      <c r="F20" s="1306">
        <v>10833</v>
      </c>
      <c r="G20" s="1301" t="s">
        <v>1674</v>
      </c>
      <c r="H20" s="1306">
        <v>31.4</v>
      </c>
      <c r="I20" s="1301" t="s">
        <v>1674</v>
      </c>
      <c r="J20" s="1301" t="s">
        <v>937</v>
      </c>
      <c r="K20" s="1301" t="s">
        <v>2205</v>
      </c>
      <c r="L20" s="1306">
        <v>4867</v>
      </c>
      <c r="M20" s="1301" t="s">
        <v>1674</v>
      </c>
      <c r="N20" s="1306">
        <v>31.4</v>
      </c>
      <c r="O20" s="1301" t="s">
        <v>1674</v>
      </c>
      <c r="P20" s="1301" t="s">
        <v>937</v>
      </c>
      <c r="Q20" s="1301" t="s">
        <v>2205</v>
      </c>
      <c r="R20" s="1302">
        <v>2280.0169999999998</v>
      </c>
      <c r="S20" s="1301" t="s">
        <v>1674</v>
      </c>
      <c r="T20" s="1302">
        <v>12.590999999999999</v>
      </c>
      <c r="U20" s="1301" t="s">
        <v>1674</v>
      </c>
    </row>
    <row r="21" spans="1:21" ht="15">
      <c r="A21" s="1317"/>
      <c r="B21" s="1303" t="s">
        <v>2210</v>
      </c>
      <c r="C21" s="1303" t="s">
        <v>2248</v>
      </c>
      <c r="D21" s="1304" t="s">
        <v>937</v>
      </c>
      <c r="E21" s="1304" t="s">
        <v>2205</v>
      </c>
      <c r="F21" s="1307">
        <v>2130.44</v>
      </c>
      <c r="G21" s="1304" t="s">
        <v>1674</v>
      </c>
      <c r="H21" s="1307">
        <v>26621.279999999999</v>
      </c>
      <c r="I21" s="1304" t="s">
        <v>1674</v>
      </c>
      <c r="J21" s="1304" t="s">
        <v>937</v>
      </c>
      <c r="K21" s="1304" t="s">
        <v>2205</v>
      </c>
      <c r="L21" s="1305">
        <v>1045.172</v>
      </c>
      <c r="M21" s="1304" t="s">
        <v>1674</v>
      </c>
      <c r="N21" s="1305">
        <v>33763.608</v>
      </c>
      <c r="O21" s="1304" t="s">
        <v>1674</v>
      </c>
      <c r="P21" s="1304" t="s">
        <v>937</v>
      </c>
      <c r="Q21" s="1304" t="s">
        <v>2205</v>
      </c>
      <c r="R21" s="1305">
        <v>389.87599999999998</v>
      </c>
      <c r="S21" s="1304" t="s">
        <v>1674</v>
      </c>
      <c r="T21" s="1305">
        <v>28374.948</v>
      </c>
      <c r="U21" s="1304" t="s">
        <v>1674</v>
      </c>
    </row>
    <row r="22" spans="1:21" ht="15">
      <c r="A22" s="1317"/>
      <c r="B22" s="1303" t="s">
        <v>2210</v>
      </c>
      <c r="C22" s="1303" t="s">
        <v>1338</v>
      </c>
      <c r="D22" s="1301" t="s">
        <v>937</v>
      </c>
      <c r="E22" s="1301" t="s">
        <v>2205</v>
      </c>
      <c r="F22" s="1306">
        <v>0</v>
      </c>
      <c r="G22" s="1301" t="s">
        <v>1674</v>
      </c>
      <c r="H22" s="1306">
        <v>0</v>
      </c>
      <c r="I22" s="1301" t="s">
        <v>1674</v>
      </c>
      <c r="J22" s="1301" t="s">
        <v>937</v>
      </c>
      <c r="K22" s="1301" t="s">
        <v>2205</v>
      </c>
      <c r="L22" s="1306">
        <v>0</v>
      </c>
      <c r="M22" s="1301" t="s">
        <v>1674</v>
      </c>
      <c r="N22" s="1306">
        <v>0</v>
      </c>
      <c r="O22" s="1301" t="s">
        <v>1674</v>
      </c>
      <c r="P22" s="1301" t="s">
        <v>937</v>
      </c>
      <c r="Q22" s="1301" t="s">
        <v>2205</v>
      </c>
      <c r="R22" s="1306">
        <v>0</v>
      </c>
      <c r="S22" s="1301" t="s">
        <v>1674</v>
      </c>
      <c r="T22" s="1306">
        <v>0</v>
      </c>
      <c r="U22" s="1301" t="s">
        <v>1674</v>
      </c>
    </row>
    <row r="23" spans="1:21" ht="15">
      <c r="A23" s="1317"/>
      <c r="B23" s="1303" t="s">
        <v>2210</v>
      </c>
      <c r="C23" s="1303" t="s">
        <v>2247</v>
      </c>
      <c r="D23" s="1304" t="s">
        <v>937</v>
      </c>
      <c r="E23" s="1304" t="s">
        <v>2205</v>
      </c>
      <c r="F23" s="1307">
        <v>0</v>
      </c>
      <c r="G23" s="1304" t="s">
        <v>1674</v>
      </c>
      <c r="H23" s="1307">
        <v>0</v>
      </c>
      <c r="I23" s="1304" t="s">
        <v>1674</v>
      </c>
      <c r="J23" s="1304" t="s">
        <v>937</v>
      </c>
      <c r="K23" s="1304" t="s">
        <v>2205</v>
      </c>
      <c r="L23" s="1307">
        <v>0</v>
      </c>
      <c r="M23" s="1304" t="s">
        <v>1674</v>
      </c>
      <c r="N23" s="1307">
        <v>0</v>
      </c>
      <c r="O23" s="1304" t="s">
        <v>1674</v>
      </c>
      <c r="P23" s="1304" t="s">
        <v>937</v>
      </c>
      <c r="Q23" s="1304" t="s">
        <v>2205</v>
      </c>
      <c r="R23" s="1307">
        <v>0</v>
      </c>
      <c r="S23" s="1304" t="s">
        <v>1674</v>
      </c>
      <c r="T23" s="1307">
        <v>0</v>
      </c>
      <c r="U23" s="1304" t="s">
        <v>1674</v>
      </c>
    </row>
    <row r="24" spans="1:21" ht="15">
      <c r="A24" s="1317"/>
      <c r="B24" s="1303" t="s">
        <v>2210</v>
      </c>
      <c r="C24" s="1303" t="s">
        <v>2246</v>
      </c>
      <c r="D24" s="1301" t="s">
        <v>937</v>
      </c>
      <c r="E24" s="1301" t="s">
        <v>2205</v>
      </c>
      <c r="F24" s="1306">
        <v>0</v>
      </c>
      <c r="G24" s="1301" t="s">
        <v>1674</v>
      </c>
      <c r="H24" s="1306">
        <v>0</v>
      </c>
      <c r="I24" s="1301" t="s">
        <v>1674</v>
      </c>
      <c r="J24" s="1301" t="s">
        <v>937</v>
      </c>
      <c r="K24" s="1301" t="s">
        <v>2205</v>
      </c>
      <c r="L24" s="1306">
        <v>0</v>
      </c>
      <c r="M24" s="1301" t="s">
        <v>1674</v>
      </c>
      <c r="N24" s="1306">
        <v>0</v>
      </c>
      <c r="O24" s="1301" t="s">
        <v>1674</v>
      </c>
      <c r="P24" s="1301" t="s">
        <v>937</v>
      </c>
      <c r="Q24" s="1301" t="s">
        <v>2205</v>
      </c>
      <c r="R24" s="1306">
        <v>0</v>
      </c>
      <c r="S24" s="1301" t="s">
        <v>1674</v>
      </c>
      <c r="T24" s="1306">
        <v>0</v>
      </c>
      <c r="U24" s="1301" t="s">
        <v>1674</v>
      </c>
    </row>
    <row r="25" spans="1:21" ht="15">
      <c r="A25" s="1317"/>
      <c r="B25" s="1303" t="s">
        <v>2210</v>
      </c>
      <c r="C25" s="1303" t="s">
        <v>2245</v>
      </c>
      <c r="D25" s="1304" t="s">
        <v>937</v>
      </c>
      <c r="E25" s="1304" t="s">
        <v>2205</v>
      </c>
      <c r="F25" s="1307">
        <v>0</v>
      </c>
      <c r="G25" s="1304" t="s">
        <v>1674</v>
      </c>
      <c r="H25" s="1307">
        <v>0</v>
      </c>
      <c r="I25" s="1304" t="s">
        <v>1674</v>
      </c>
      <c r="J25" s="1304" t="s">
        <v>937</v>
      </c>
      <c r="K25" s="1304" t="s">
        <v>2205</v>
      </c>
      <c r="L25" s="1307">
        <v>0</v>
      </c>
      <c r="M25" s="1304" t="s">
        <v>1674</v>
      </c>
      <c r="N25" s="1307">
        <v>0</v>
      </c>
      <c r="O25" s="1304" t="s">
        <v>1674</v>
      </c>
      <c r="P25" s="1304" t="s">
        <v>937</v>
      </c>
      <c r="Q25" s="1304" t="s">
        <v>2205</v>
      </c>
      <c r="R25" s="1307">
        <v>0</v>
      </c>
      <c r="S25" s="1304" t="s">
        <v>1674</v>
      </c>
      <c r="T25" s="1307">
        <v>0</v>
      </c>
      <c r="U25" s="1304" t="s">
        <v>1674</v>
      </c>
    </row>
    <row r="26" spans="1:21" ht="15">
      <c r="A26" s="1317"/>
      <c r="B26" s="1303" t="s">
        <v>2210</v>
      </c>
      <c r="C26" s="1303" t="s">
        <v>785</v>
      </c>
      <c r="D26" s="1301" t="s">
        <v>937</v>
      </c>
      <c r="E26" s="1301" t="s">
        <v>2205</v>
      </c>
      <c r="F26" s="1306">
        <v>0</v>
      </c>
      <c r="G26" s="1301" t="s">
        <v>1674</v>
      </c>
      <c r="H26" s="1306">
        <v>0</v>
      </c>
      <c r="I26" s="1301" t="s">
        <v>1674</v>
      </c>
      <c r="J26" s="1301" t="s">
        <v>937</v>
      </c>
      <c r="K26" s="1301" t="s">
        <v>2205</v>
      </c>
      <c r="L26" s="1306">
        <v>0</v>
      </c>
      <c r="M26" s="1301" t="s">
        <v>1674</v>
      </c>
      <c r="N26" s="1306">
        <v>0</v>
      </c>
      <c r="O26" s="1301" t="s">
        <v>1674</v>
      </c>
      <c r="P26" s="1301" t="s">
        <v>937</v>
      </c>
      <c r="Q26" s="1301" t="s">
        <v>2205</v>
      </c>
      <c r="R26" s="1306">
        <v>0</v>
      </c>
      <c r="S26" s="1301" t="s">
        <v>1674</v>
      </c>
      <c r="T26" s="1306">
        <v>0</v>
      </c>
      <c r="U26" s="1301" t="s">
        <v>1674</v>
      </c>
    </row>
    <row r="27" spans="1:21" ht="15">
      <c r="A27" s="1317"/>
      <c r="B27" s="1303" t="s">
        <v>2210</v>
      </c>
      <c r="C27" s="1303" t="s">
        <v>2244</v>
      </c>
      <c r="D27" s="1304" t="s">
        <v>937</v>
      </c>
      <c r="E27" s="1304" t="s">
        <v>2205</v>
      </c>
      <c r="F27" s="1307">
        <v>0</v>
      </c>
      <c r="G27" s="1304" t="s">
        <v>1674</v>
      </c>
      <c r="H27" s="1307">
        <v>0</v>
      </c>
      <c r="I27" s="1304" t="s">
        <v>1674</v>
      </c>
      <c r="J27" s="1304" t="s">
        <v>937</v>
      </c>
      <c r="K27" s="1304" t="s">
        <v>2205</v>
      </c>
      <c r="L27" s="1307">
        <v>0</v>
      </c>
      <c r="M27" s="1304" t="s">
        <v>1674</v>
      </c>
      <c r="N27" s="1307">
        <v>0</v>
      </c>
      <c r="O27" s="1304" t="s">
        <v>1674</v>
      </c>
      <c r="P27" s="1304" t="s">
        <v>937</v>
      </c>
      <c r="Q27" s="1304" t="s">
        <v>2205</v>
      </c>
      <c r="R27" s="1307">
        <v>0</v>
      </c>
      <c r="S27" s="1304" t="s">
        <v>1674</v>
      </c>
      <c r="T27" s="1307">
        <v>0</v>
      </c>
      <c r="U27" s="1304" t="s">
        <v>1674</v>
      </c>
    </row>
    <row r="28" spans="1:21" ht="15">
      <c r="A28" s="1317"/>
      <c r="B28" s="1303" t="s">
        <v>2210</v>
      </c>
      <c r="C28" s="1303" t="s">
        <v>2243</v>
      </c>
      <c r="D28" s="1306">
        <v>0</v>
      </c>
      <c r="E28" s="1301" t="s">
        <v>1674</v>
      </c>
      <c r="F28" s="1306">
        <v>0</v>
      </c>
      <c r="G28" s="1301" t="s">
        <v>1674</v>
      </c>
      <c r="H28" s="1306">
        <v>0</v>
      </c>
      <c r="I28" s="1301" t="s">
        <v>1674</v>
      </c>
      <c r="J28" s="1306">
        <v>0</v>
      </c>
      <c r="K28" s="1301" t="s">
        <v>1674</v>
      </c>
      <c r="L28" s="1306">
        <v>0</v>
      </c>
      <c r="M28" s="1301" t="s">
        <v>1674</v>
      </c>
      <c r="N28" s="1306">
        <v>0</v>
      </c>
      <c r="O28" s="1301" t="s">
        <v>1674</v>
      </c>
      <c r="P28" s="1306">
        <v>0</v>
      </c>
      <c r="Q28" s="1301" t="s">
        <v>1674</v>
      </c>
      <c r="R28" s="1306">
        <v>0</v>
      </c>
      <c r="S28" s="1301" t="s">
        <v>1674</v>
      </c>
      <c r="T28" s="1306">
        <v>0</v>
      </c>
      <c r="U28" s="1301" t="s">
        <v>1674</v>
      </c>
    </row>
    <row r="29" spans="1:21" ht="15">
      <c r="A29" s="1317"/>
      <c r="B29" s="1303" t="s">
        <v>2210</v>
      </c>
      <c r="C29" s="1303" t="s">
        <v>780</v>
      </c>
      <c r="D29" s="1307">
        <v>0</v>
      </c>
      <c r="E29" s="1304" t="s">
        <v>1674</v>
      </c>
      <c r="F29" s="1307">
        <v>0</v>
      </c>
      <c r="G29" s="1304" t="s">
        <v>1674</v>
      </c>
      <c r="H29" s="1307">
        <v>0</v>
      </c>
      <c r="I29" s="1304" t="s">
        <v>1674</v>
      </c>
      <c r="J29" s="1307">
        <v>0</v>
      </c>
      <c r="K29" s="1304" t="s">
        <v>1674</v>
      </c>
      <c r="L29" s="1307">
        <v>0</v>
      </c>
      <c r="M29" s="1304" t="s">
        <v>1674</v>
      </c>
      <c r="N29" s="1307">
        <v>0</v>
      </c>
      <c r="O29" s="1304" t="s">
        <v>1674</v>
      </c>
      <c r="P29" s="1307">
        <v>0</v>
      </c>
      <c r="Q29" s="1304" t="s">
        <v>1674</v>
      </c>
      <c r="R29" s="1307">
        <v>0</v>
      </c>
      <c r="S29" s="1304" t="s">
        <v>1674</v>
      </c>
      <c r="T29" s="1307">
        <v>0</v>
      </c>
      <c r="U29" s="1304" t="s">
        <v>1674</v>
      </c>
    </row>
    <row r="30" spans="1:21" ht="15">
      <c r="A30" s="1317"/>
      <c r="B30" s="1303" t="s">
        <v>2210</v>
      </c>
      <c r="C30" s="1303" t="s">
        <v>1336</v>
      </c>
      <c r="D30" s="1301" t="s">
        <v>937</v>
      </c>
      <c r="E30" s="1301" t="s">
        <v>2205</v>
      </c>
      <c r="F30" s="1306">
        <v>0</v>
      </c>
      <c r="G30" s="1301" t="s">
        <v>1674</v>
      </c>
      <c r="H30" s="1306">
        <v>0</v>
      </c>
      <c r="I30" s="1301" t="s">
        <v>1674</v>
      </c>
      <c r="J30" s="1301" t="s">
        <v>937</v>
      </c>
      <c r="K30" s="1301" t="s">
        <v>2205</v>
      </c>
      <c r="L30" s="1306">
        <v>0</v>
      </c>
      <c r="M30" s="1301" t="s">
        <v>1674</v>
      </c>
      <c r="N30" s="1306">
        <v>0</v>
      </c>
      <c r="O30" s="1301" t="s">
        <v>1674</v>
      </c>
      <c r="P30" s="1301" t="s">
        <v>937</v>
      </c>
      <c r="Q30" s="1301" t="s">
        <v>2205</v>
      </c>
      <c r="R30" s="1306">
        <v>0</v>
      </c>
      <c r="S30" s="1301" t="s">
        <v>1674</v>
      </c>
      <c r="T30" s="1306">
        <v>0</v>
      </c>
      <c r="U30" s="1301" t="s">
        <v>1674</v>
      </c>
    </row>
    <row r="31" spans="1:21" ht="15">
      <c r="A31" s="1317"/>
      <c r="B31" s="1303" t="s">
        <v>2210</v>
      </c>
      <c r="C31" s="1303" t="s">
        <v>2242</v>
      </c>
      <c r="D31" s="1307">
        <v>0</v>
      </c>
      <c r="E31" s="1304" t="s">
        <v>1674</v>
      </c>
      <c r="F31" s="1307">
        <v>0</v>
      </c>
      <c r="G31" s="1304" t="s">
        <v>1674</v>
      </c>
      <c r="H31" s="1307">
        <v>0</v>
      </c>
      <c r="I31" s="1304" t="s">
        <v>1674</v>
      </c>
      <c r="J31" s="1307">
        <v>0</v>
      </c>
      <c r="K31" s="1304" t="s">
        <v>1674</v>
      </c>
      <c r="L31" s="1307">
        <v>0</v>
      </c>
      <c r="M31" s="1304" t="s">
        <v>1674</v>
      </c>
      <c r="N31" s="1307">
        <v>0</v>
      </c>
      <c r="O31" s="1304" t="s">
        <v>1674</v>
      </c>
      <c r="P31" s="1307">
        <v>0</v>
      </c>
      <c r="Q31" s="1304" t="s">
        <v>1674</v>
      </c>
      <c r="R31" s="1307">
        <v>0</v>
      </c>
      <c r="S31" s="1304" t="s">
        <v>1674</v>
      </c>
      <c r="T31" s="1307">
        <v>0</v>
      </c>
      <c r="U31" s="1304" t="s">
        <v>1674</v>
      </c>
    </row>
    <row r="32" spans="1:21" ht="15">
      <c r="A32" s="1317" t="s">
        <v>41</v>
      </c>
      <c r="B32" s="1303" t="s">
        <v>2210</v>
      </c>
      <c r="C32" s="1303" t="s">
        <v>305</v>
      </c>
      <c r="D32" s="1302">
        <v>465287.08500000002</v>
      </c>
      <c r="E32" s="1301" t="s">
        <v>1674</v>
      </c>
      <c r="F32" s="1302">
        <v>3299274.0950000002</v>
      </c>
      <c r="G32" s="1301" t="s">
        <v>1674</v>
      </c>
      <c r="H32" s="1302">
        <v>718338.10600000003</v>
      </c>
      <c r="I32" s="1301" t="s">
        <v>1674</v>
      </c>
      <c r="J32" s="1302">
        <v>265241.592</v>
      </c>
      <c r="K32" s="1301" t="s">
        <v>1674</v>
      </c>
      <c r="L32" s="1302">
        <v>3597234.497</v>
      </c>
      <c r="M32" s="1301" t="s">
        <v>1674</v>
      </c>
      <c r="N32" s="1302">
        <v>1140592.2990000001</v>
      </c>
      <c r="O32" s="1301" t="s">
        <v>1674</v>
      </c>
      <c r="P32" s="1302">
        <v>183113.851</v>
      </c>
      <c r="Q32" s="1301" t="s">
        <v>1674</v>
      </c>
      <c r="R32" s="1302">
        <v>3168238.4410000001</v>
      </c>
      <c r="S32" s="1301" t="s">
        <v>1674</v>
      </c>
      <c r="T32" s="1306">
        <v>0</v>
      </c>
      <c r="U32" s="1301" t="s">
        <v>1674</v>
      </c>
    </row>
    <row r="33" spans="1:21" ht="15">
      <c r="A33" s="1317"/>
      <c r="B33" s="1303" t="s">
        <v>2210</v>
      </c>
      <c r="C33" s="1303" t="s">
        <v>2241</v>
      </c>
      <c r="D33" s="1305">
        <v>153731.766</v>
      </c>
      <c r="E33" s="1304" t="s">
        <v>1674</v>
      </c>
      <c r="F33" s="1305">
        <v>5476050.926</v>
      </c>
      <c r="G33" s="1304" t="s">
        <v>1674</v>
      </c>
      <c r="H33" s="1305">
        <v>778469.23199999996</v>
      </c>
      <c r="I33" s="1304" t="s">
        <v>1674</v>
      </c>
      <c r="J33" s="1307">
        <v>148206.01999999999</v>
      </c>
      <c r="K33" s="1304" t="s">
        <v>1674</v>
      </c>
      <c r="L33" s="1305">
        <v>5474954.7029999997</v>
      </c>
      <c r="M33" s="1304" t="s">
        <v>1674</v>
      </c>
      <c r="N33" s="1305">
        <v>936476.29799999995</v>
      </c>
      <c r="O33" s="1304" t="s">
        <v>1674</v>
      </c>
      <c r="P33" s="1305">
        <v>134532.44899999999</v>
      </c>
      <c r="Q33" s="1304" t="s">
        <v>1674</v>
      </c>
      <c r="R33" s="1305">
        <v>5449738.2609999999</v>
      </c>
      <c r="S33" s="1304" t="s">
        <v>1674</v>
      </c>
      <c r="T33" s="1305">
        <v>912150.33400000003</v>
      </c>
      <c r="U33" s="1304" t="s">
        <v>1674</v>
      </c>
    </row>
    <row r="34" spans="1:21" ht="15">
      <c r="A34" s="1317" t="s">
        <v>93</v>
      </c>
      <c r="B34" s="1303" t="s">
        <v>2210</v>
      </c>
      <c r="C34" s="1303" t="s">
        <v>142</v>
      </c>
      <c r="D34" s="1306">
        <v>105667.43</v>
      </c>
      <c r="E34" s="1301" t="s">
        <v>1674</v>
      </c>
      <c r="F34" s="1306">
        <v>3964356.34</v>
      </c>
      <c r="G34" s="1301" t="s">
        <v>1674</v>
      </c>
      <c r="H34" s="1306">
        <v>30008.53</v>
      </c>
      <c r="I34" s="1301" t="s">
        <v>1674</v>
      </c>
      <c r="J34" s="1306">
        <v>102607.07</v>
      </c>
      <c r="K34" s="1301" t="s">
        <v>1674</v>
      </c>
      <c r="L34" s="1302">
        <v>3879643.875</v>
      </c>
      <c r="M34" s="1301" t="s">
        <v>1674</v>
      </c>
      <c r="N34" s="1302">
        <v>14154.165000000001</v>
      </c>
      <c r="O34" s="1301" t="s">
        <v>1674</v>
      </c>
      <c r="P34" s="1302">
        <v>81907.134999999995</v>
      </c>
      <c r="Q34" s="1301" t="s">
        <v>1674</v>
      </c>
      <c r="R34" s="1302">
        <v>3655047.4550000001</v>
      </c>
      <c r="S34" s="1301" t="s">
        <v>1674</v>
      </c>
      <c r="T34" s="1306">
        <v>4505.53</v>
      </c>
      <c r="U34" s="1301" t="s">
        <v>1674</v>
      </c>
    </row>
    <row r="35" spans="1:21" ht="15">
      <c r="A35" s="1317"/>
      <c r="B35" s="1303" t="s">
        <v>2210</v>
      </c>
      <c r="C35" s="1303" t="s">
        <v>2240</v>
      </c>
      <c r="D35" s="1307">
        <v>0</v>
      </c>
      <c r="E35" s="1304" t="s">
        <v>1674</v>
      </c>
      <c r="F35" s="1307">
        <v>0</v>
      </c>
      <c r="G35" s="1304" t="s">
        <v>1674</v>
      </c>
      <c r="H35" s="1307">
        <v>0</v>
      </c>
      <c r="I35" s="1304" t="s">
        <v>1674</v>
      </c>
      <c r="J35" s="1307">
        <v>0</v>
      </c>
      <c r="K35" s="1304" t="s">
        <v>1674</v>
      </c>
      <c r="L35" s="1307">
        <v>0</v>
      </c>
      <c r="M35" s="1304" t="s">
        <v>1674</v>
      </c>
      <c r="N35" s="1307">
        <v>0</v>
      </c>
      <c r="O35" s="1304" t="s">
        <v>1674</v>
      </c>
      <c r="P35" s="1307">
        <v>0</v>
      </c>
      <c r="Q35" s="1304" t="s">
        <v>1674</v>
      </c>
      <c r="R35" s="1307">
        <v>0</v>
      </c>
      <c r="S35" s="1304" t="s">
        <v>1674</v>
      </c>
      <c r="T35" s="1307">
        <v>0</v>
      </c>
      <c r="U35" s="1304" t="s">
        <v>1674</v>
      </c>
    </row>
    <row r="36" spans="1:21" ht="15">
      <c r="A36" s="1317"/>
      <c r="B36" s="1303" t="s">
        <v>2210</v>
      </c>
      <c r="C36" s="1303" t="s">
        <v>1688</v>
      </c>
      <c r="D36" s="1301" t="s">
        <v>937</v>
      </c>
      <c r="E36" s="1301" t="s">
        <v>2205</v>
      </c>
      <c r="F36" s="1306">
        <v>0</v>
      </c>
      <c r="G36" s="1301" t="s">
        <v>1674</v>
      </c>
      <c r="H36" s="1306">
        <v>0</v>
      </c>
      <c r="I36" s="1301" t="s">
        <v>1674</v>
      </c>
      <c r="J36" s="1301" t="s">
        <v>937</v>
      </c>
      <c r="K36" s="1301" t="s">
        <v>2205</v>
      </c>
      <c r="L36" s="1306">
        <v>0</v>
      </c>
      <c r="M36" s="1301" t="s">
        <v>1674</v>
      </c>
      <c r="N36" s="1306">
        <v>0</v>
      </c>
      <c r="O36" s="1301" t="s">
        <v>1674</v>
      </c>
      <c r="P36" s="1301" t="s">
        <v>937</v>
      </c>
      <c r="Q36" s="1301" t="s">
        <v>2205</v>
      </c>
      <c r="R36" s="1306">
        <v>0</v>
      </c>
      <c r="S36" s="1301" t="s">
        <v>1674</v>
      </c>
      <c r="T36" s="1306">
        <v>0</v>
      </c>
      <c r="U36" s="1301" t="s">
        <v>1674</v>
      </c>
    </row>
    <row r="37" spans="1:21" ht="15">
      <c r="A37" s="1317"/>
      <c r="B37" s="1303" t="s">
        <v>2210</v>
      </c>
      <c r="C37" s="1303" t="s">
        <v>2239</v>
      </c>
      <c r="D37" s="1305">
        <v>48064.336000000003</v>
      </c>
      <c r="E37" s="1304" t="s">
        <v>1674</v>
      </c>
      <c r="F37" s="1307">
        <v>0</v>
      </c>
      <c r="G37" s="1304" t="s">
        <v>1674</v>
      </c>
      <c r="H37" s="1307">
        <v>0</v>
      </c>
      <c r="I37" s="1304" t="s">
        <v>1674</v>
      </c>
      <c r="J37" s="1307">
        <v>45598.95</v>
      </c>
      <c r="K37" s="1304" t="s">
        <v>1674</v>
      </c>
      <c r="L37" s="1307">
        <v>0</v>
      </c>
      <c r="M37" s="1304" t="s">
        <v>1674</v>
      </c>
      <c r="N37" s="1307">
        <v>0</v>
      </c>
      <c r="O37" s="1304" t="s">
        <v>1674</v>
      </c>
      <c r="P37" s="1305">
        <v>52625.313999999998</v>
      </c>
      <c r="Q37" s="1304" t="s">
        <v>1674</v>
      </c>
      <c r="R37" s="1307">
        <v>0</v>
      </c>
      <c r="S37" s="1304" t="s">
        <v>1674</v>
      </c>
      <c r="T37" s="1307">
        <v>0</v>
      </c>
      <c r="U37" s="1304" t="s">
        <v>1674</v>
      </c>
    </row>
    <row r="38" spans="1:21" ht="15">
      <c r="A38" s="1317"/>
      <c r="B38" s="1303" t="s">
        <v>2210</v>
      </c>
      <c r="C38" s="1303" t="s">
        <v>2238</v>
      </c>
      <c r="D38" s="1306">
        <v>0</v>
      </c>
      <c r="E38" s="1301" t="s">
        <v>1674</v>
      </c>
      <c r="F38" s="1306">
        <v>0</v>
      </c>
      <c r="G38" s="1301" t="s">
        <v>1674</v>
      </c>
      <c r="H38" s="1306">
        <v>0</v>
      </c>
      <c r="I38" s="1301" t="s">
        <v>1674</v>
      </c>
      <c r="J38" s="1306">
        <v>0</v>
      </c>
      <c r="K38" s="1301" t="s">
        <v>1674</v>
      </c>
      <c r="L38" s="1306">
        <v>0</v>
      </c>
      <c r="M38" s="1301" t="s">
        <v>1674</v>
      </c>
      <c r="N38" s="1306">
        <v>0</v>
      </c>
      <c r="O38" s="1301" t="s">
        <v>1674</v>
      </c>
      <c r="P38" s="1306">
        <v>0</v>
      </c>
      <c r="Q38" s="1301" t="s">
        <v>1674</v>
      </c>
      <c r="R38" s="1306">
        <v>0</v>
      </c>
      <c r="S38" s="1301" t="s">
        <v>1674</v>
      </c>
      <c r="T38" s="1306">
        <v>0</v>
      </c>
      <c r="U38" s="1301" t="s">
        <v>1674</v>
      </c>
    </row>
    <row r="39" spans="1:21" ht="15">
      <c r="A39" s="1317"/>
      <c r="B39" s="1303" t="s">
        <v>2210</v>
      </c>
      <c r="C39" s="1303" t="s">
        <v>98</v>
      </c>
      <c r="D39" s="1304" t="s">
        <v>937</v>
      </c>
      <c r="E39" s="1304" t="s">
        <v>2205</v>
      </c>
      <c r="F39" s="1304" t="s">
        <v>937</v>
      </c>
      <c r="G39" s="1304" t="s">
        <v>2205</v>
      </c>
      <c r="H39" s="1304" t="s">
        <v>937</v>
      </c>
      <c r="I39" s="1304" t="s">
        <v>2205</v>
      </c>
      <c r="J39" s="1304" t="s">
        <v>937</v>
      </c>
      <c r="K39" s="1304" t="s">
        <v>2205</v>
      </c>
      <c r="L39" s="1304" t="s">
        <v>937</v>
      </c>
      <c r="M39" s="1304" t="s">
        <v>2205</v>
      </c>
      <c r="N39" s="1304" t="s">
        <v>937</v>
      </c>
      <c r="O39" s="1304" t="s">
        <v>2205</v>
      </c>
      <c r="P39" s="1304" t="s">
        <v>937</v>
      </c>
      <c r="Q39" s="1304" t="s">
        <v>2205</v>
      </c>
      <c r="R39" s="1304" t="s">
        <v>937</v>
      </c>
      <c r="S39" s="1304" t="s">
        <v>2205</v>
      </c>
      <c r="T39" s="1304" t="s">
        <v>937</v>
      </c>
      <c r="U39" s="1304" t="s">
        <v>2205</v>
      </c>
    </row>
    <row r="40" spans="1:21" ht="15">
      <c r="A40" s="1317"/>
      <c r="B40" s="1303" t="s">
        <v>2210</v>
      </c>
      <c r="C40" s="1303" t="s">
        <v>1329</v>
      </c>
      <c r="D40" s="1301" t="s">
        <v>937</v>
      </c>
      <c r="E40" s="1301" t="s">
        <v>2205</v>
      </c>
      <c r="F40" s="1306">
        <v>0</v>
      </c>
      <c r="G40" s="1301" t="s">
        <v>1674</v>
      </c>
      <c r="H40" s="1306">
        <v>0</v>
      </c>
      <c r="I40" s="1301" t="s">
        <v>1674</v>
      </c>
      <c r="J40" s="1301" t="s">
        <v>937</v>
      </c>
      <c r="K40" s="1301" t="s">
        <v>2205</v>
      </c>
      <c r="L40" s="1306">
        <v>0</v>
      </c>
      <c r="M40" s="1301" t="s">
        <v>1674</v>
      </c>
      <c r="N40" s="1306">
        <v>0</v>
      </c>
      <c r="O40" s="1301" t="s">
        <v>1674</v>
      </c>
      <c r="P40" s="1301" t="s">
        <v>937</v>
      </c>
      <c r="Q40" s="1301" t="s">
        <v>2205</v>
      </c>
      <c r="R40" s="1306">
        <v>0</v>
      </c>
      <c r="S40" s="1301" t="s">
        <v>1674</v>
      </c>
      <c r="T40" s="1306">
        <v>0</v>
      </c>
      <c r="U40" s="1301" t="s">
        <v>1674</v>
      </c>
    </row>
    <row r="41" spans="1:21" ht="15">
      <c r="A41" s="1317" t="s">
        <v>75</v>
      </c>
      <c r="B41" s="1303" t="s">
        <v>2210</v>
      </c>
      <c r="C41" s="1303" t="s">
        <v>2237</v>
      </c>
      <c r="D41" s="1304" t="s">
        <v>937</v>
      </c>
      <c r="E41" s="1304" t="s">
        <v>2205</v>
      </c>
      <c r="F41" s="1305">
        <v>41473.930999999997</v>
      </c>
      <c r="G41" s="1304" t="s">
        <v>1674</v>
      </c>
      <c r="H41" s="1305">
        <v>11691.874</v>
      </c>
      <c r="I41" s="1304" t="s">
        <v>1674</v>
      </c>
      <c r="J41" s="1304" t="s">
        <v>937</v>
      </c>
      <c r="K41" s="1304" t="s">
        <v>2205</v>
      </c>
      <c r="L41" s="1305">
        <v>33207.911999999997</v>
      </c>
      <c r="M41" s="1304" t="s">
        <v>1674</v>
      </c>
      <c r="N41" s="1305">
        <v>11749.794</v>
      </c>
      <c r="O41" s="1304" t="s">
        <v>1674</v>
      </c>
      <c r="P41" s="1304" t="s">
        <v>937</v>
      </c>
      <c r="Q41" s="1304" t="s">
        <v>2205</v>
      </c>
      <c r="R41" s="1305">
        <v>52722.576000000001</v>
      </c>
      <c r="S41" s="1304" t="s">
        <v>1674</v>
      </c>
      <c r="T41" s="1305">
        <v>10854.647999999999</v>
      </c>
      <c r="U41" s="1304" t="s">
        <v>1674</v>
      </c>
    </row>
    <row r="42" spans="1:21" ht="15">
      <c r="A42" s="1317"/>
      <c r="B42" s="1303" t="s">
        <v>2210</v>
      </c>
      <c r="C42" s="1303" t="s">
        <v>254</v>
      </c>
      <c r="D42" s="1301" t="s">
        <v>937</v>
      </c>
      <c r="E42" s="1301" t="s">
        <v>2205</v>
      </c>
      <c r="F42" s="1306">
        <v>302544</v>
      </c>
      <c r="G42" s="1301" t="s">
        <v>1674</v>
      </c>
      <c r="H42" s="1306">
        <v>13904</v>
      </c>
      <c r="I42" s="1301" t="s">
        <v>1674</v>
      </c>
      <c r="J42" s="1301" t="s">
        <v>937</v>
      </c>
      <c r="K42" s="1301" t="s">
        <v>2205</v>
      </c>
      <c r="L42" s="1306">
        <v>303996</v>
      </c>
      <c r="M42" s="1301" t="s">
        <v>1674</v>
      </c>
      <c r="N42" s="1306">
        <v>24288</v>
      </c>
      <c r="O42" s="1301" t="s">
        <v>1674</v>
      </c>
      <c r="P42" s="1301" t="s">
        <v>937</v>
      </c>
      <c r="Q42" s="1301" t="s">
        <v>2205</v>
      </c>
      <c r="R42" s="1306">
        <v>302764</v>
      </c>
      <c r="S42" s="1301" t="s">
        <v>1674</v>
      </c>
      <c r="T42" s="1306">
        <v>21120</v>
      </c>
      <c r="U42" s="1301" t="s">
        <v>1674</v>
      </c>
    </row>
    <row r="43" spans="1:21" ht="15">
      <c r="A43" s="1317"/>
      <c r="B43" s="1303" t="s">
        <v>2210</v>
      </c>
      <c r="C43" s="1303" t="s">
        <v>696</v>
      </c>
      <c r="D43" s="1304" t="s">
        <v>937</v>
      </c>
      <c r="E43" s="1304" t="s">
        <v>2205</v>
      </c>
      <c r="F43" s="1307">
        <v>652.74</v>
      </c>
      <c r="G43" s="1304" t="s">
        <v>1674</v>
      </c>
      <c r="H43" s="1305">
        <v>87.031999999999996</v>
      </c>
      <c r="I43" s="1304" t="s">
        <v>1674</v>
      </c>
      <c r="J43" s="1304" t="s">
        <v>937</v>
      </c>
      <c r="K43" s="1304" t="s">
        <v>2205</v>
      </c>
      <c r="L43" s="1305">
        <v>478.67599999999999</v>
      </c>
      <c r="M43" s="1304" t="s">
        <v>1674</v>
      </c>
      <c r="N43" s="1305">
        <v>43.515999999999998</v>
      </c>
      <c r="O43" s="1304" t="s">
        <v>1674</v>
      </c>
      <c r="P43" s="1304" t="s">
        <v>937</v>
      </c>
      <c r="Q43" s="1304" t="s">
        <v>2205</v>
      </c>
      <c r="R43" s="1307">
        <v>435.16</v>
      </c>
      <c r="S43" s="1304" t="s">
        <v>1674</v>
      </c>
      <c r="T43" s="1305">
        <v>87.031999999999996</v>
      </c>
      <c r="U43" s="1304" t="s">
        <v>1674</v>
      </c>
    </row>
    <row r="44" spans="1:21" ht="15">
      <c r="A44" s="1317" t="s">
        <v>76</v>
      </c>
      <c r="B44" s="1303" t="s">
        <v>2210</v>
      </c>
      <c r="C44" s="1303" t="s">
        <v>2236</v>
      </c>
      <c r="D44" s="1301" t="s">
        <v>937</v>
      </c>
      <c r="E44" s="1301" t="s">
        <v>2205</v>
      </c>
      <c r="F44" s="1302">
        <v>88305.203999999998</v>
      </c>
      <c r="G44" s="1301" t="s">
        <v>1674</v>
      </c>
      <c r="H44" s="1302">
        <v>211923.78099999999</v>
      </c>
      <c r="I44" s="1301" t="s">
        <v>1674</v>
      </c>
      <c r="J44" s="1301" t="s">
        <v>937</v>
      </c>
      <c r="K44" s="1301" t="s">
        <v>2205</v>
      </c>
      <c r="L44" s="1302">
        <v>80798.990999999995</v>
      </c>
      <c r="M44" s="1301" t="s">
        <v>1674</v>
      </c>
      <c r="N44" s="1302">
        <v>186924.30100000001</v>
      </c>
      <c r="O44" s="1301" t="s">
        <v>1674</v>
      </c>
      <c r="P44" s="1301" t="s">
        <v>937</v>
      </c>
      <c r="Q44" s="1301" t="s">
        <v>2205</v>
      </c>
      <c r="R44" s="1306">
        <v>132762.34</v>
      </c>
      <c r="S44" s="1301" t="s">
        <v>1674</v>
      </c>
      <c r="T44" s="1302">
        <v>203583.01500000001</v>
      </c>
      <c r="U44" s="1301" t="s">
        <v>1674</v>
      </c>
    </row>
    <row r="45" spans="1:21" ht="15">
      <c r="A45" s="1317"/>
      <c r="B45" s="1303" t="s">
        <v>2210</v>
      </c>
      <c r="C45" s="1303" t="s">
        <v>2235</v>
      </c>
      <c r="D45" s="1304" t="s">
        <v>937</v>
      </c>
      <c r="E45" s="1304" t="s">
        <v>2205</v>
      </c>
      <c r="F45" s="1307">
        <v>0</v>
      </c>
      <c r="G45" s="1304" t="s">
        <v>1674</v>
      </c>
      <c r="H45" s="1307">
        <v>0</v>
      </c>
      <c r="I45" s="1304" t="s">
        <v>1674</v>
      </c>
      <c r="J45" s="1304" t="s">
        <v>937</v>
      </c>
      <c r="K45" s="1304" t="s">
        <v>2205</v>
      </c>
      <c r="L45" s="1307">
        <v>0</v>
      </c>
      <c r="M45" s="1304" t="s">
        <v>1674</v>
      </c>
      <c r="N45" s="1307">
        <v>0</v>
      </c>
      <c r="O45" s="1304" t="s">
        <v>1674</v>
      </c>
      <c r="P45" s="1304" t="s">
        <v>937</v>
      </c>
      <c r="Q45" s="1304" t="s">
        <v>2205</v>
      </c>
      <c r="R45" s="1307">
        <v>0</v>
      </c>
      <c r="S45" s="1304" t="s">
        <v>1674</v>
      </c>
      <c r="T45" s="1307">
        <v>0</v>
      </c>
      <c r="U45" s="1304" t="s">
        <v>1674</v>
      </c>
    </row>
    <row r="46" spans="1:21" ht="15">
      <c r="A46" s="1317" t="s">
        <v>79</v>
      </c>
      <c r="B46" s="1303" t="s">
        <v>2210</v>
      </c>
      <c r="C46" s="1303" t="s">
        <v>2234</v>
      </c>
      <c r="D46" s="1301" t="s">
        <v>937</v>
      </c>
      <c r="E46" s="1301" t="s">
        <v>2205</v>
      </c>
      <c r="F46" s="1306">
        <v>197350.8</v>
      </c>
      <c r="G46" s="1301" t="s">
        <v>1674</v>
      </c>
      <c r="H46" s="1306">
        <v>29446.400000000001</v>
      </c>
      <c r="I46" s="1301" t="s">
        <v>1674</v>
      </c>
      <c r="J46" s="1301" t="s">
        <v>937</v>
      </c>
      <c r="K46" s="1301" t="s">
        <v>2205</v>
      </c>
      <c r="L46" s="1306">
        <v>213614.8</v>
      </c>
      <c r="M46" s="1301" t="s">
        <v>1674</v>
      </c>
      <c r="N46" s="1306">
        <v>52087.6</v>
      </c>
      <c r="O46" s="1301" t="s">
        <v>1674</v>
      </c>
      <c r="P46" s="1301" t="s">
        <v>937</v>
      </c>
      <c r="Q46" s="1301" t="s">
        <v>2205</v>
      </c>
      <c r="R46" s="1306">
        <v>290483.59999999998</v>
      </c>
      <c r="S46" s="1301" t="s">
        <v>1674</v>
      </c>
      <c r="T46" s="1306">
        <v>59877.2</v>
      </c>
      <c r="U46" s="1301" t="s">
        <v>1674</v>
      </c>
    </row>
    <row r="47" spans="1:21" ht="15">
      <c r="A47" s="1317"/>
      <c r="B47" s="1303" t="s">
        <v>2210</v>
      </c>
      <c r="C47" s="1303" t="s">
        <v>2233</v>
      </c>
      <c r="D47" s="1304" t="s">
        <v>937</v>
      </c>
      <c r="E47" s="1304" t="s">
        <v>2205</v>
      </c>
      <c r="F47" s="1307">
        <v>898.8</v>
      </c>
      <c r="G47" s="1304" t="s">
        <v>1674</v>
      </c>
      <c r="H47" s="1307">
        <v>42.8</v>
      </c>
      <c r="I47" s="1304" t="s">
        <v>1674</v>
      </c>
      <c r="J47" s="1304" t="s">
        <v>937</v>
      </c>
      <c r="K47" s="1304" t="s">
        <v>2205</v>
      </c>
      <c r="L47" s="1307">
        <v>470.8</v>
      </c>
      <c r="M47" s="1304" t="s">
        <v>1674</v>
      </c>
      <c r="N47" s="1307">
        <v>0</v>
      </c>
      <c r="O47" s="1304" t="s">
        <v>1674</v>
      </c>
      <c r="P47" s="1304" t="s">
        <v>937</v>
      </c>
      <c r="Q47" s="1304" t="s">
        <v>2205</v>
      </c>
      <c r="R47" s="1307">
        <v>813.2</v>
      </c>
      <c r="S47" s="1304" t="s">
        <v>1674</v>
      </c>
      <c r="T47" s="1307">
        <v>0</v>
      </c>
      <c r="U47" s="1304" t="s">
        <v>1674</v>
      </c>
    </row>
    <row r="48" spans="1:21" ht="15">
      <c r="A48" s="1317" t="s">
        <v>45</v>
      </c>
      <c r="B48" s="1303" t="s">
        <v>2210</v>
      </c>
      <c r="C48" s="1303" t="s">
        <v>2232</v>
      </c>
      <c r="D48" s="1301" t="s">
        <v>937</v>
      </c>
      <c r="E48" s="1301" t="s">
        <v>2205</v>
      </c>
      <c r="F48" s="1302">
        <v>668947.52500000002</v>
      </c>
      <c r="G48" s="1301" t="s">
        <v>1674</v>
      </c>
      <c r="H48" s="1306">
        <v>285852.28000000003</v>
      </c>
      <c r="I48" s="1301" t="s">
        <v>1674</v>
      </c>
      <c r="J48" s="1301" t="s">
        <v>937</v>
      </c>
      <c r="K48" s="1301" t="s">
        <v>2205</v>
      </c>
      <c r="L48" s="1302">
        <v>786236.29599999997</v>
      </c>
      <c r="M48" s="1301" t="s">
        <v>1674</v>
      </c>
      <c r="N48" s="1302">
        <v>354457.10600000003</v>
      </c>
      <c r="O48" s="1301" t="s">
        <v>1674</v>
      </c>
      <c r="P48" s="1301" t="s">
        <v>937</v>
      </c>
      <c r="Q48" s="1301" t="s">
        <v>2205</v>
      </c>
      <c r="R48" s="1302">
        <v>849782.89199999999</v>
      </c>
      <c r="S48" s="1301" t="s">
        <v>1674</v>
      </c>
      <c r="T48" s="1302">
        <v>311177.82299999997</v>
      </c>
      <c r="U48" s="1301" t="s">
        <v>1674</v>
      </c>
    </row>
    <row r="49" spans="1:21" ht="15">
      <c r="A49" s="1317" t="s">
        <v>759</v>
      </c>
      <c r="B49" s="1303" t="s">
        <v>2210</v>
      </c>
      <c r="C49" s="1303" t="s">
        <v>99</v>
      </c>
      <c r="D49" s="1304" t="s">
        <v>937</v>
      </c>
      <c r="E49" s="1304" t="s">
        <v>2205</v>
      </c>
      <c r="F49" s="1305">
        <v>108092.292</v>
      </c>
      <c r="G49" s="1304" t="s">
        <v>1674</v>
      </c>
      <c r="H49" s="1307">
        <v>70810.740000000005</v>
      </c>
      <c r="I49" s="1304" t="s">
        <v>1674</v>
      </c>
      <c r="J49" s="1304" t="s">
        <v>937</v>
      </c>
      <c r="K49" s="1304" t="s">
        <v>2205</v>
      </c>
      <c r="L49" s="1305">
        <v>78333.404999999999</v>
      </c>
      <c r="M49" s="1304" t="s">
        <v>1674</v>
      </c>
      <c r="N49" s="1307">
        <v>123589.99</v>
      </c>
      <c r="O49" s="1304" t="s">
        <v>1674</v>
      </c>
      <c r="P49" s="1304" t="s">
        <v>937</v>
      </c>
      <c r="Q49" s="1304" t="s">
        <v>2205</v>
      </c>
      <c r="R49" s="1305">
        <v>65678.403999999995</v>
      </c>
      <c r="S49" s="1304" t="s">
        <v>1674</v>
      </c>
      <c r="T49" s="1305">
        <v>110378.448</v>
      </c>
      <c r="U49" s="1304" t="s">
        <v>1674</v>
      </c>
    </row>
    <row r="50" spans="1:21" ht="15">
      <c r="A50" s="1317"/>
      <c r="B50" s="1303" t="s">
        <v>2210</v>
      </c>
      <c r="C50" s="1303" t="s">
        <v>2231</v>
      </c>
      <c r="D50" s="1301" t="s">
        <v>937</v>
      </c>
      <c r="E50" s="1301" t="s">
        <v>2205</v>
      </c>
      <c r="F50" s="1306">
        <v>4233.6000000000004</v>
      </c>
      <c r="G50" s="1301" t="s">
        <v>1674</v>
      </c>
      <c r="H50" s="1306">
        <v>3888</v>
      </c>
      <c r="I50" s="1301" t="s">
        <v>1674</v>
      </c>
      <c r="J50" s="1301" t="s">
        <v>937</v>
      </c>
      <c r="K50" s="1301" t="s">
        <v>2205</v>
      </c>
      <c r="L50" s="1306">
        <v>6177.6</v>
      </c>
      <c r="M50" s="1301" t="s">
        <v>1674</v>
      </c>
      <c r="N50" s="1306">
        <v>10886.4</v>
      </c>
      <c r="O50" s="1301" t="s">
        <v>1674</v>
      </c>
      <c r="P50" s="1301" t="s">
        <v>937</v>
      </c>
      <c r="Q50" s="1301" t="s">
        <v>2205</v>
      </c>
      <c r="R50" s="1306">
        <v>12484.8</v>
      </c>
      <c r="S50" s="1301" t="s">
        <v>1674</v>
      </c>
      <c r="T50" s="1306">
        <v>16632</v>
      </c>
      <c r="U50" s="1301" t="s">
        <v>1674</v>
      </c>
    </row>
    <row r="51" spans="1:21" ht="15">
      <c r="A51" s="1317"/>
      <c r="B51" s="1303" t="s">
        <v>2210</v>
      </c>
      <c r="C51" s="1303" t="s">
        <v>1320</v>
      </c>
      <c r="D51" s="1304" t="s">
        <v>937</v>
      </c>
      <c r="E51" s="1304" t="s">
        <v>2205</v>
      </c>
      <c r="F51" s="1307">
        <v>37218.019999999997</v>
      </c>
      <c r="G51" s="1304" t="s">
        <v>1674</v>
      </c>
      <c r="H51" s="1305">
        <v>47087.067999999999</v>
      </c>
      <c r="I51" s="1304" t="s">
        <v>1674</v>
      </c>
      <c r="J51" s="1304" t="s">
        <v>937</v>
      </c>
      <c r="K51" s="1304" t="s">
        <v>2205</v>
      </c>
      <c r="L51" s="1305">
        <v>41148.911999999997</v>
      </c>
      <c r="M51" s="1304" t="s">
        <v>1674</v>
      </c>
      <c r="N51" s="1307">
        <v>49554.33</v>
      </c>
      <c r="O51" s="1304" t="s">
        <v>1674</v>
      </c>
      <c r="P51" s="1304" t="s">
        <v>937</v>
      </c>
      <c r="Q51" s="1304" t="s">
        <v>2205</v>
      </c>
      <c r="R51" s="1307">
        <v>42027.09</v>
      </c>
      <c r="S51" s="1304" t="s">
        <v>1674</v>
      </c>
      <c r="T51" s="1305">
        <v>64901.536</v>
      </c>
      <c r="U51" s="1304" t="s">
        <v>1674</v>
      </c>
    </row>
    <row r="52" spans="1:21" ht="15">
      <c r="A52" s="1317"/>
      <c r="B52" s="1303" t="s">
        <v>2210</v>
      </c>
      <c r="C52" s="1303" t="s">
        <v>2230</v>
      </c>
      <c r="D52" s="1301" t="s">
        <v>937</v>
      </c>
      <c r="E52" s="1301" t="s">
        <v>2205</v>
      </c>
      <c r="F52" s="1306">
        <v>15337.05</v>
      </c>
      <c r="G52" s="1301" t="s">
        <v>1674</v>
      </c>
      <c r="H52" s="1306">
        <v>10224.700000000001</v>
      </c>
      <c r="I52" s="1301" t="s">
        <v>1674</v>
      </c>
      <c r="J52" s="1301" t="s">
        <v>937</v>
      </c>
      <c r="K52" s="1301" t="s">
        <v>2205</v>
      </c>
      <c r="L52" s="1302">
        <v>17546.625</v>
      </c>
      <c r="M52" s="1301" t="s">
        <v>1674</v>
      </c>
      <c r="N52" s="1302">
        <v>10441.325000000001</v>
      </c>
      <c r="O52" s="1301" t="s">
        <v>1674</v>
      </c>
      <c r="P52" s="1301" t="s">
        <v>937</v>
      </c>
      <c r="Q52" s="1301" t="s">
        <v>2205</v>
      </c>
      <c r="R52" s="1306">
        <v>12044.35</v>
      </c>
      <c r="S52" s="1301" t="s">
        <v>1674</v>
      </c>
      <c r="T52" s="1306">
        <v>9791.4500000000007</v>
      </c>
      <c r="U52" s="1301" t="s">
        <v>1674</v>
      </c>
    </row>
    <row r="53" spans="1:21" ht="15">
      <c r="A53" s="1317"/>
      <c r="B53" s="1303" t="s">
        <v>2210</v>
      </c>
      <c r="C53" s="1303" t="s">
        <v>2229</v>
      </c>
      <c r="D53" s="1304" t="s">
        <v>937</v>
      </c>
      <c r="E53" s="1304" t="s">
        <v>2205</v>
      </c>
      <c r="F53" s="1307">
        <v>31723.09</v>
      </c>
      <c r="G53" s="1304" t="s">
        <v>1674</v>
      </c>
      <c r="H53" s="1305">
        <v>24310.565999999999</v>
      </c>
      <c r="I53" s="1304" t="s">
        <v>1674</v>
      </c>
      <c r="J53" s="1304" t="s">
        <v>937</v>
      </c>
      <c r="K53" s="1304" t="s">
        <v>2205</v>
      </c>
      <c r="L53" s="1307">
        <v>19680</v>
      </c>
      <c r="M53" s="1304" t="s">
        <v>1674</v>
      </c>
      <c r="N53" s="1307">
        <v>27168</v>
      </c>
      <c r="O53" s="1304" t="s">
        <v>1674</v>
      </c>
      <c r="P53" s="1304" t="s">
        <v>937</v>
      </c>
      <c r="Q53" s="1304" t="s">
        <v>2205</v>
      </c>
      <c r="R53" s="1307">
        <v>21504</v>
      </c>
      <c r="S53" s="1304" t="s">
        <v>1674</v>
      </c>
      <c r="T53" s="1307">
        <v>25376</v>
      </c>
      <c r="U53" s="1304" t="s">
        <v>1674</v>
      </c>
    </row>
    <row r="54" spans="1:21" ht="15">
      <c r="A54" s="1317"/>
      <c r="B54" s="1303" t="s">
        <v>2210</v>
      </c>
      <c r="C54" s="1303" t="s">
        <v>1319</v>
      </c>
      <c r="D54" s="1301" t="s">
        <v>937</v>
      </c>
      <c r="E54" s="1301" t="s">
        <v>2205</v>
      </c>
      <c r="F54" s="1302">
        <v>10298.904</v>
      </c>
      <c r="G54" s="1301" t="s">
        <v>1674</v>
      </c>
      <c r="H54" s="1302">
        <v>35617.042999999998</v>
      </c>
      <c r="I54" s="1301" t="s">
        <v>1674</v>
      </c>
      <c r="J54" s="1301" t="s">
        <v>937</v>
      </c>
      <c r="K54" s="1301" t="s">
        <v>2205</v>
      </c>
      <c r="L54" s="1302">
        <v>9401.6509999999998</v>
      </c>
      <c r="M54" s="1301" t="s">
        <v>1674</v>
      </c>
      <c r="N54" s="1302">
        <v>53718.146999999997</v>
      </c>
      <c r="O54" s="1301" t="s">
        <v>1674</v>
      </c>
      <c r="P54" s="1301" t="s">
        <v>937</v>
      </c>
      <c r="Q54" s="1301" t="s">
        <v>2205</v>
      </c>
      <c r="R54" s="1302">
        <v>2379.6709999999998</v>
      </c>
      <c r="S54" s="1301" t="s">
        <v>1674</v>
      </c>
      <c r="T54" s="1302">
        <v>69283.535999999993</v>
      </c>
      <c r="U54" s="1301" t="s">
        <v>1674</v>
      </c>
    </row>
    <row r="55" spans="1:21" ht="15">
      <c r="A55" s="1317"/>
      <c r="B55" s="1303" t="s">
        <v>2210</v>
      </c>
      <c r="C55" s="1303" t="s">
        <v>2228</v>
      </c>
      <c r="D55" s="1304" t="s">
        <v>937</v>
      </c>
      <c r="E55" s="1304" t="s">
        <v>2205</v>
      </c>
      <c r="F55" s="1307">
        <v>4618.63</v>
      </c>
      <c r="G55" s="1304" t="s">
        <v>1674</v>
      </c>
      <c r="H55" s="1305">
        <v>3574.4180000000001</v>
      </c>
      <c r="I55" s="1304" t="s">
        <v>1674</v>
      </c>
      <c r="J55" s="1304" t="s">
        <v>937</v>
      </c>
      <c r="K55" s="1304" t="s">
        <v>2205</v>
      </c>
      <c r="L55" s="1307">
        <v>4219.16</v>
      </c>
      <c r="M55" s="1304" t="s">
        <v>1674</v>
      </c>
      <c r="N55" s="1305">
        <v>17413.624</v>
      </c>
      <c r="O55" s="1304" t="s">
        <v>1674</v>
      </c>
      <c r="P55" s="1304" t="s">
        <v>937</v>
      </c>
      <c r="Q55" s="1304" t="s">
        <v>2205</v>
      </c>
      <c r="R55" s="1305">
        <v>8808.723</v>
      </c>
      <c r="S55" s="1304" t="s">
        <v>1674</v>
      </c>
      <c r="T55" s="1305">
        <v>4582.116</v>
      </c>
      <c r="U55" s="1304" t="s">
        <v>1674</v>
      </c>
    </row>
    <row r="56" spans="1:21" ht="15">
      <c r="A56" s="1317"/>
      <c r="B56" s="1303" t="s">
        <v>2210</v>
      </c>
      <c r="C56" s="1303" t="s">
        <v>2227</v>
      </c>
      <c r="D56" s="1302">
        <v>1292611.747</v>
      </c>
      <c r="E56" s="1301" t="s">
        <v>1674</v>
      </c>
      <c r="F56" s="1302">
        <v>91567.081999999995</v>
      </c>
      <c r="G56" s="1301" t="s">
        <v>1674</v>
      </c>
      <c r="H56" s="1306">
        <v>75066.320000000007</v>
      </c>
      <c r="I56" s="1301" t="s">
        <v>1674</v>
      </c>
      <c r="J56" s="1302">
        <v>1665439.6140000001</v>
      </c>
      <c r="K56" s="1301" t="s">
        <v>1674</v>
      </c>
      <c r="L56" s="1302">
        <v>96054.813999999998</v>
      </c>
      <c r="M56" s="1301" t="s">
        <v>1674</v>
      </c>
      <c r="N56" s="1302">
        <v>89741.816999999995</v>
      </c>
      <c r="O56" s="1301" t="s">
        <v>1674</v>
      </c>
      <c r="P56" s="1302">
        <v>1912894.9539999999</v>
      </c>
      <c r="Q56" s="1301" t="s">
        <v>1674</v>
      </c>
      <c r="R56" s="1302">
        <v>98156.963000000003</v>
      </c>
      <c r="S56" s="1301" t="s">
        <v>1674</v>
      </c>
      <c r="T56" s="1302">
        <v>113824.178</v>
      </c>
      <c r="U56" s="1301" t="s">
        <v>1674</v>
      </c>
    </row>
    <row r="57" spans="1:21" ht="15">
      <c r="A57" s="1317"/>
      <c r="B57" s="1303" t="s">
        <v>2210</v>
      </c>
      <c r="C57" s="1303" t="s">
        <v>52</v>
      </c>
      <c r="D57" s="1307">
        <v>75430.8</v>
      </c>
      <c r="E57" s="1304" t="s">
        <v>1674</v>
      </c>
      <c r="F57" s="1304" t="s">
        <v>937</v>
      </c>
      <c r="G57" s="1304" t="s">
        <v>2205</v>
      </c>
      <c r="H57" s="1304" t="s">
        <v>937</v>
      </c>
      <c r="I57" s="1304" t="s">
        <v>2205</v>
      </c>
      <c r="J57" s="1307">
        <v>68313.600000000006</v>
      </c>
      <c r="K57" s="1304" t="s">
        <v>1674</v>
      </c>
      <c r="L57" s="1304" t="s">
        <v>937</v>
      </c>
      <c r="M57" s="1304" t="s">
        <v>2205</v>
      </c>
      <c r="N57" s="1304" t="s">
        <v>937</v>
      </c>
      <c r="O57" s="1304" t="s">
        <v>2205</v>
      </c>
      <c r="P57" s="1307">
        <v>71031.600000000006</v>
      </c>
      <c r="Q57" s="1304" t="s">
        <v>1674</v>
      </c>
      <c r="R57" s="1304" t="s">
        <v>937</v>
      </c>
      <c r="S57" s="1304" t="s">
        <v>2205</v>
      </c>
      <c r="T57" s="1304" t="s">
        <v>937</v>
      </c>
      <c r="U57" s="1304" t="s">
        <v>2205</v>
      </c>
    </row>
    <row r="58" spans="1:21" ht="15">
      <c r="A58" s="1317"/>
      <c r="B58" s="1303" t="s">
        <v>2210</v>
      </c>
      <c r="C58" s="1303" t="s">
        <v>59</v>
      </c>
      <c r="D58" s="1306">
        <v>3702</v>
      </c>
      <c r="E58" s="1301" t="s">
        <v>1674</v>
      </c>
      <c r="F58" s="1306">
        <v>0</v>
      </c>
      <c r="G58" s="1301" t="s">
        <v>1674</v>
      </c>
      <c r="H58" s="1306">
        <v>0</v>
      </c>
      <c r="I58" s="1301" t="s">
        <v>1674</v>
      </c>
      <c r="J58" s="1306">
        <v>8908</v>
      </c>
      <c r="K58" s="1301" t="s">
        <v>1674</v>
      </c>
      <c r="L58" s="1306">
        <v>0</v>
      </c>
      <c r="M58" s="1301" t="s">
        <v>1674</v>
      </c>
      <c r="N58" s="1306">
        <v>0</v>
      </c>
      <c r="O58" s="1301" t="s">
        <v>1674</v>
      </c>
      <c r="P58" s="1306">
        <v>13955</v>
      </c>
      <c r="Q58" s="1301" t="s">
        <v>1674</v>
      </c>
      <c r="R58" s="1306">
        <v>0</v>
      </c>
      <c r="S58" s="1301" t="s">
        <v>1674</v>
      </c>
      <c r="T58" s="1306">
        <v>0</v>
      </c>
      <c r="U58" s="1301" t="s">
        <v>1674</v>
      </c>
    </row>
    <row r="59" spans="1:21" ht="15">
      <c r="A59" s="1317"/>
      <c r="B59" s="1303" t="s">
        <v>2210</v>
      </c>
      <c r="C59" s="1303" t="s">
        <v>53</v>
      </c>
      <c r="D59" s="1307">
        <v>138769.20000000001</v>
      </c>
      <c r="E59" s="1304" t="s">
        <v>1674</v>
      </c>
      <c r="F59" s="1304" t="s">
        <v>937</v>
      </c>
      <c r="G59" s="1304" t="s">
        <v>2205</v>
      </c>
      <c r="H59" s="1304" t="s">
        <v>937</v>
      </c>
      <c r="I59" s="1304" t="s">
        <v>2205</v>
      </c>
      <c r="J59" s="1307">
        <v>290246.40000000002</v>
      </c>
      <c r="K59" s="1304" t="s">
        <v>1674</v>
      </c>
      <c r="L59" s="1304" t="s">
        <v>937</v>
      </c>
      <c r="M59" s="1304" t="s">
        <v>2205</v>
      </c>
      <c r="N59" s="1304" t="s">
        <v>937</v>
      </c>
      <c r="O59" s="1304" t="s">
        <v>2205</v>
      </c>
      <c r="P59" s="1307">
        <v>453218.4</v>
      </c>
      <c r="Q59" s="1304" t="s">
        <v>1674</v>
      </c>
      <c r="R59" s="1304" t="s">
        <v>937</v>
      </c>
      <c r="S59" s="1304" t="s">
        <v>2205</v>
      </c>
      <c r="T59" s="1304" t="s">
        <v>937</v>
      </c>
      <c r="U59" s="1304" t="s">
        <v>2205</v>
      </c>
    </row>
    <row r="60" spans="1:21" ht="15">
      <c r="A60" s="1317"/>
      <c r="B60" s="1303" t="s">
        <v>2210</v>
      </c>
      <c r="C60" s="1303" t="s">
        <v>1307</v>
      </c>
      <c r="D60" s="1306">
        <v>20132</v>
      </c>
      <c r="E60" s="1301" t="s">
        <v>1674</v>
      </c>
      <c r="F60" s="1306">
        <v>0</v>
      </c>
      <c r="G60" s="1301" t="s">
        <v>1674</v>
      </c>
      <c r="H60" s="1306">
        <v>0</v>
      </c>
      <c r="I60" s="1301" t="s">
        <v>1674</v>
      </c>
      <c r="J60" s="1306">
        <v>27743</v>
      </c>
      <c r="K60" s="1301" t="s">
        <v>1674</v>
      </c>
      <c r="L60" s="1306">
        <v>0</v>
      </c>
      <c r="M60" s="1301" t="s">
        <v>1674</v>
      </c>
      <c r="N60" s="1306">
        <v>0</v>
      </c>
      <c r="O60" s="1301" t="s">
        <v>1674</v>
      </c>
      <c r="P60" s="1306">
        <v>30538</v>
      </c>
      <c r="Q60" s="1301" t="s">
        <v>1674</v>
      </c>
      <c r="R60" s="1306">
        <v>0</v>
      </c>
      <c r="S60" s="1301" t="s">
        <v>1674</v>
      </c>
      <c r="T60" s="1306">
        <v>0</v>
      </c>
      <c r="U60" s="1301" t="s">
        <v>1674</v>
      </c>
    </row>
    <row r="61" spans="1:21" ht="15">
      <c r="A61" s="1317"/>
      <c r="B61" s="1303" t="s">
        <v>2210</v>
      </c>
      <c r="C61" s="1303" t="s">
        <v>2226</v>
      </c>
      <c r="D61" s="1307">
        <v>42224.4</v>
      </c>
      <c r="E61" s="1304" t="s">
        <v>1674</v>
      </c>
      <c r="F61" s="1304" t="s">
        <v>937</v>
      </c>
      <c r="G61" s="1304" t="s">
        <v>2205</v>
      </c>
      <c r="H61" s="1304" t="s">
        <v>937</v>
      </c>
      <c r="I61" s="1304" t="s">
        <v>2205</v>
      </c>
      <c r="J61" s="1307">
        <v>139413.6</v>
      </c>
      <c r="K61" s="1304" t="s">
        <v>1674</v>
      </c>
      <c r="L61" s="1304" t="s">
        <v>937</v>
      </c>
      <c r="M61" s="1304" t="s">
        <v>2205</v>
      </c>
      <c r="N61" s="1304" t="s">
        <v>937</v>
      </c>
      <c r="O61" s="1304" t="s">
        <v>2205</v>
      </c>
      <c r="P61" s="1307">
        <v>159778.79999999999</v>
      </c>
      <c r="Q61" s="1304" t="s">
        <v>1674</v>
      </c>
      <c r="R61" s="1304" t="s">
        <v>937</v>
      </c>
      <c r="S61" s="1304" t="s">
        <v>2205</v>
      </c>
      <c r="T61" s="1304" t="s">
        <v>937</v>
      </c>
      <c r="U61" s="1304" t="s">
        <v>2205</v>
      </c>
    </row>
    <row r="62" spans="1:21" ht="15">
      <c r="A62" s="1317"/>
      <c r="B62" s="1303" t="s">
        <v>2210</v>
      </c>
      <c r="C62" s="1303" t="s">
        <v>2225</v>
      </c>
      <c r="D62" s="1306">
        <v>0</v>
      </c>
      <c r="E62" s="1301" t="s">
        <v>1674</v>
      </c>
      <c r="F62" s="1301" t="s">
        <v>937</v>
      </c>
      <c r="G62" s="1301" t="s">
        <v>2205</v>
      </c>
      <c r="H62" s="1301" t="s">
        <v>937</v>
      </c>
      <c r="I62" s="1301" t="s">
        <v>2205</v>
      </c>
      <c r="J62" s="1306">
        <v>0</v>
      </c>
      <c r="K62" s="1301" t="s">
        <v>1674</v>
      </c>
      <c r="L62" s="1301" t="s">
        <v>937</v>
      </c>
      <c r="M62" s="1301" t="s">
        <v>2205</v>
      </c>
      <c r="N62" s="1301" t="s">
        <v>937</v>
      </c>
      <c r="O62" s="1301" t="s">
        <v>2205</v>
      </c>
      <c r="P62" s="1306">
        <v>0</v>
      </c>
      <c r="Q62" s="1301" t="s">
        <v>1674</v>
      </c>
      <c r="R62" s="1301" t="s">
        <v>937</v>
      </c>
      <c r="S62" s="1301" t="s">
        <v>2205</v>
      </c>
      <c r="T62" s="1301" t="s">
        <v>937</v>
      </c>
      <c r="U62" s="1301" t="s">
        <v>2205</v>
      </c>
    </row>
    <row r="63" spans="1:21" ht="15">
      <c r="A63" s="1317"/>
      <c r="B63" s="1303" t="s">
        <v>2210</v>
      </c>
      <c r="C63" s="1303" t="s">
        <v>2224</v>
      </c>
      <c r="D63" s="1307">
        <v>21377</v>
      </c>
      <c r="E63" s="1304" t="s">
        <v>1674</v>
      </c>
      <c r="F63" s="1304" t="s">
        <v>937</v>
      </c>
      <c r="G63" s="1304" t="s">
        <v>2205</v>
      </c>
      <c r="H63" s="1304" t="s">
        <v>937</v>
      </c>
      <c r="I63" s="1304" t="s">
        <v>2205</v>
      </c>
      <c r="J63" s="1307">
        <v>37837</v>
      </c>
      <c r="K63" s="1304" t="s">
        <v>1674</v>
      </c>
      <c r="L63" s="1304" t="s">
        <v>937</v>
      </c>
      <c r="M63" s="1304" t="s">
        <v>2205</v>
      </c>
      <c r="N63" s="1304" t="s">
        <v>937</v>
      </c>
      <c r="O63" s="1304" t="s">
        <v>2205</v>
      </c>
      <c r="P63" s="1307">
        <v>52758</v>
      </c>
      <c r="Q63" s="1304" t="s">
        <v>1674</v>
      </c>
      <c r="R63" s="1304" t="s">
        <v>937</v>
      </c>
      <c r="S63" s="1304" t="s">
        <v>2205</v>
      </c>
      <c r="T63" s="1304" t="s">
        <v>937</v>
      </c>
      <c r="U63" s="1304" t="s">
        <v>2205</v>
      </c>
    </row>
    <row r="64" spans="1:21" ht="15">
      <c r="A64" s="1317"/>
      <c r="B64" s="1303" t="s">
        <v>2210</v>
      </c>
      <c r="C64" s="1303" t="s">
        <v>2223</v>
      </c>
      <c r="D64" s="1306">
        <v>564058</v>
      </c>
      <c r="E64" s="1301" t="s">
        <v>1674</v>
      </c>
      <c r="F64" s="1306">
        <v>35005</v>
      </c>
      <c r="G64" s="1301" t="s">
        <v>1674</v>
      </c>
      <c r="H64" s="1306">
        <v>19114</v>
      </c>
      <c r="I64" s="1301" t="s">
        <v>1674</v>
      </c>
      <c r="J64" s="1306">
        <v>517227</v>
      </c>
      <c r="K64" s="1301" t="s">
        <v>1674</v>
      </c>
      <c r="L64" s="1306">
        <v>41919</v>
      </c>
      <c r="M64" s="1301" t="s">
        <v>1674</v>
      </c>
      <c r="N64" s="1306">
        <v>23270</v>
      </c>
      <c r="O64" s="1301" t="s">
        <v>1674</v>
      </c>
      <c r="P64" s="1306">
        <v>534400</v>
      </c>
      <c r="Q64" s="1301" t="s">
        <v>1674</v>
      </c>
      <c r="R64" s="1306">
        <v>35219</v>
      </c>
      <c r="S64" s="1301" t="s">
        <v>1674</v>
      </c>
      <c r="T64" s="1306">
        <v>29361</v>
      </c>
      <c r="U64" s="1301" t="s">
        <v>1674</v>
      </c>
    </row>
    <row r="65" spans="1:21" ht="15">
      <c r="A65" s="1317"/>
      <c r="B65" s="1303" t="s">
        <v>2210</v>
      </c>
      <c r="C65" s="1303" t="s">
        <v>1304</v>
      </c>
      <c r="D65" s="1304" t="s">
        <v>937</v>
      </c>
      <c r="E65" s="1304" t="s">
        <v>2205</v>
      </c>
      <c r="F65" s="1307">
        <v>6944</v>
      </c>
      <c r="G65" s="1304" t="s">
        <v>1674</v>
      </c>
      <c r="H65" s="1307">
        <v>416</v>
      </c>
      <c r="I65" s="1304" t="s">
        <v>1674</v>
      </c>
      <c r="J65" s="1304" t="s">
        <v>937</v>
      </c>
      <c r="K65" s="1304" t="s">
        <v>2205</v>
      </c>
      <c r="L65" s="1307">
        <v>7360</v>
      </c>
      <c r="M65" s="1304" t="s">
        <v>1674</v>
      </c>
      <c r="N65" s="1307">
        <v>544</v>
      </c>
      <c r="O65" s="1304" t="s">
        <v>1674</v>
      </c>
      <c r="P65" s="1304" t="s">
        <v>937</v>
      </c>
      <c r="Q65" s="1304" t="s">
        <v>2205</v>
      </c>
      <c r="R65" s="1307">
        <v>6848</v>
      </c>
      <c r="S65" s="1304" t="s">
        <v>1674</v>
      </c>
      <c r="T65" s="1307">
        <v>704</v>
      </c>
      <c r="U65" s="1304" t="s">
        <v>1674</v>
      </c>
    </row>
    <row r="66" spans="1:21" ht="15">
      <c r="A66" s="1317"/>
      <c r="B66" s="1303" t="s">
        <v>2210</v>
      </c>
      <c r="C66" s="1303" t="s">
        <v>2222</v>
      </c>
      <c r="D66" s="1302">
        <v>16661.623</v>
      </c>
      <c r="E66" s="1301" t="s">
        <v>1674</v>
      </c>
      <c r="F66" s="1302">
        <v>17146.129000000001</v>
      </c>
      <c r="G66" s="1301" t="s">
        <v>1674</v>
      </c>
      <c r="H66" s="1302">
        <v>2530.1979999999999</v>
      </c>
      <c r="I66" s="1301" t="s">
        <v>1674</v>
      </c>
      <c r="J66" s="1302">
        <v>18260.207999999999</v>
      </c>
      <c r="K66" s="1301" t="s">
        <v>1674</v>
      </c>
      <c r="L66" s="1302">
        <v>15526.485000000001</v>
      </c>
      <c r="M66" s="1301" t="s">
        <v>1674</v>
      </c>
      <c r="N66" s="1302">
        <v>2255.9850000000001</v>
      </c>
      <c r="O66" s="1301" t="s">
        <v>1674</v>
      </c>
      <c r="P66" s="1302">
        <v>14172.894</v>
      </c>
      <c r="Q66" s="1301" t="s">
        <v>1674</v>
      </c>
      <c r="R66" s="1302">
        <v>20383.488000000001</v>
      </c>
      <c r="S66" s="1301" t="s">
        <v>1674</v>
      </c>
      <c r="T66" s="1302">
        <v>3821.904</v>
      </c>
      <c r="U66" s="1301" t="s">
        <v>1674</v>
      </c>
    </row>
    <row r="67" spans="1:21" ht="15">
      <c r="A67" s="1317"/>
      <c r="B67" s="1303" t="s">
        <v>2210</v>
      </c>
      <c r="C67" s="1303" t="s">
        <v>2221</v>
      </c>
      <c r="D67" s="1304" t="s">
        <v>937</v>
      </c>
      <c r="E67" s="1304" t="s">
        <v>2205</v>
      </c>
      <c r="F67" s="1305">
        <v>565.25699999999995</v>
      </c>
      <c r="G67" s="1304" t="s">
        <v>1674</v>
      </c>
      <c r="H67" s="1305">
        <v>484.50599999999997</v>
      </c>
      <c r="I67" s="1304" t="s">
        <v>1674</v>
      </c>
      <c r="J67" s="1304" t="s">
        <v>937</v>
      </c>
      <c r="K67" s="1304" t="s">
        <v>2205</v>
      </c>
      <c r="L67" s="1305">
        <v>212.328</v>
      </c>
      <c r="M67" s="1304" t="s">
        <v>1674</v>
      </c>
      <c r="N67" s="1305">
        <v>583.90200000000004</v>
      </c>
      <c r="O67" s="1304" t="s">
        <v>1674</v>
      </c>
      <c r="P67" s="1304" t="s">
        <v>937</v>
      </c>
      <c r="Q67" s="1304" t="s">
        <v>2205</v>
      </c>
      <c r="R67" s="1305">
        <v>610.44299999999998</v>
      </c>
      <c r="S67" s="1304" t="s">
        <v>1674</v>
      </c>
      <c r="T67" s="1305">
        <v>1008.558</v>
      </c>
      <c r="U67" s="1304" t="s">
        <v>1674</v>
      </c>
    </row>
    <row r="68" spans="1:21" ht="15">
      <c r="A68" s="1317"/>
      <c r="B68" s="1303" t="s">
        <v>2210</v>
      </c>
      <c r="C68" s="1303" t="s">
        <v>2220</v>
      </c>
      <c r="D68" s="1302">
        <v>114552.09600000001</v>
      </c>
      <c r="E68" s="1301" t="s">
        <v>1674</v>
      </c>
      <c r="F68" s="1306">
        <v>28600.880000000001</v>
      </c>
      <c r="G68" s="1301" t="s">
        <v>1674</v>
      </c>
      <c r="H68" s="1302">
        <v>46727.152000000002</v>
      </c>
      <c r="I68" s="1301" t="s">
        <v>1674</v>
      </c>
      <c r="J68" s="1306">
        <v>115780.05</v>
      </c>
      <c r="K68" s="1301" t="s">
        <v>1674</v>
      </c>
      <c r="L68" s="1306">
        <v>25032.51</v>
      </c>
      <c r="M68" s="1301" t="s">
        <v>1674</v>
      </c>
      <c r="N68" s="1306">
        <v>57120.66</v>
      </c>
      <c r="O68" s="1301" t="s">
        <v>1674</v>
      </c>
      <c r="P68" s="1302">
        <v>132957.96400000001</v>
      </c>
      <c r="Q68" s="1301" t="s">
        <v>1674</v>
      </c>
      <c r="R68" s="1306">
        <v>27831</v>
      </c>
      <c r="S68" s="1301" t="s">
        <v>1674</v>
      </c>
      <c r="T68" s="1302">
        <v>70356.767999999996</v>
      </c>
      <c r="U68" s="1301" t="s">
        <v>1674</v>
      </c>
    </row>
    <row r="69" spans="1:21" ht="15">
      <c r="A69" s="1317"/>
      <c r="B69" s="1303" t="s">
        <v>2210</v>
      </c>
      <c r="C69" s="1303" t="s">
        <v>2219</v>
      </c>
      <c r="D69" s="1304" t="s">
        <v>937</v>
      </c>
      <c r="E69" s="1304" t="s">
        <v>2205</v>
      </c>
      <c r="F69" s="1305">
        <v>3305.8159999999998</v>
      </c>
      <c r="G69" s="1304" t="s">
        <v>1674</v>
      </c>
      <c r="H69" s="1305">
        <v>5794.4639999999999</v>
      </c>
      <c r="I69" s="1304" t="s">
        <v>1674</v>
      </c>
      <c r="J69" s="1304" t="s">
        <v>937</v>
      </c>
      <c r="K69" s="1304" t="s">
        <v>2205</v>
      </c>
      <c r="L69" s="1307">
        <v>2927.34</v>
      </c>
      <c r="M69" s="1304" t="s">
        <v>1674</v>
      </c>
      <c r="N69" s="1307">
        <v>5967.27</v>
      </c>
      <c r="O69" s="1304" t="s">
        <v>1674</v>
      </c>
      <c r="P69" s="1304" t="s">
        <v>937</v>
      </c>
      <c r="Q69" s="1304" t="s">
        <v>2205</v>
      </c>
      <c r="R69" s="1307">
        <v>3710.8</v>
      </c>
      <c r="S69" s="1304" t="s">
        <v>1674</v>
      </c>
      <c r="T69" s="1305">
        <v>8571.9480000000003</v>
      </c>
      <c r="U69" s="1304" t="s">
        <v>1674</v>
      </c>
    </row>
    <row r="70" spans="1:21" ht="15">
      <c r="A70" s="1317"/>
      <c r="B70" s="1303" t="s">
        <v>2210</v>
      </c>
      <c r="C70" s="1303" t="s">
        <v>2218</v>
      </c>
      <c r="D70" s="1306">
        <v>0</v>
      </c>
      <c r="E70" s="1301" t="s">
        <v>1674</v>
      </c>
      <c r="F70" s="1306">
        <v>0</v>
      </c>
      <c r="G70" s="1301" t="s">
        <v>1674</v>
      </c>
      <c r="H70" s="1306">
        <v>0</v>
      </c>
      <c r="I70" s="1301" t="s">
        <v>1674</v>
      </c>
      <c r="J70" s="1306">
        <v>0</v>
      </c>
      <c r="K70" s="1301" t="s">
        <v>1674</v>
      </c>
      <c r="L70" s="1306">
        <v>0</v>
      </c>
      <c r="M70" s="1301" t="s">
        <v>1674</v>
      </c>
      <c r="N70" s="1306">
        <v>0</v>
      </c>
      <c r="O70" s="1301" t="s">
        <v>1674</v>
      </c>
      <c r="P70" s="1306">
        <v>0</v>
      </c>
      <c r="Q70" s="1301" t="s">
        <v>1674</v>
      </c>
      <c r="R70" s="1306">
        <v>0</v>
      </c>
      <c r="S70" s="1301" t="s">
        <v>1674</v>
      </c>
      <c r="T70" s="1306">
        <v>0</v>
      </c>
      <c r="U70" s="1301" t="s">
        <v>1674</v>
      </c>
    </row>
    <row r="71" spans="1:21" ht="15">
      <c r="A71" s="1317"/>
      <c r="B71" s="1303" t="s">
        <v>2210</v>
      </c>
      <c r="C71" s="1303" t="s">
        <v>2217</v>
      </c>
      <c r="D71" s="1304" t="s">
        <v>937</v>
      </c>
      <c r="E71" s="1304" t="s">
        <v>2205</v>
      </c>
      <c r="F71" s="1307">
        <v>0</v>
      </c>
      <c r="G71" s="1304" t="s">
        <v>1674</v>
      </c>
      <c r="H71" s="1307">
        <v>0</v>
      </c>
      <c r="I71" s="1304" t="s">
        <v>1674</v>
      </c>
      <c r="J71" s="1304" t="s">
        <v>937</v>
      </c>
      <c r="K71" s="1304" t="s">
        <v>2205</v>
      </c>
      <c r="L71" s="1307">
        <v>0</v>
      </c>
      <c r="M71" s="1304" t="s">
        <v>1674</v>
      </c>
      <c r="N71" s="1307">
        <v>0</v>
      </c>
      <c r="O71" s="1304" t="s">
        <v>1674</v>
      </c>
      <c r="P71" s="1304" t="s">
        <v>937</v>
      </c>
      <c r="Q71" s="1304" t="s">
        <v>2205</v>
      </c>
      <c r="R71" s="1307">
        <v>0</v>
      </c>
      <c r="S71" s="1304" t="s">
        <v>1674</v>
      </c>
      <c r="T71" s="1307">
        <v>0</v>
      </c>
      <c r="U71" s="1304" t="s">
        <v>1674</v>
      </c>
    </row>
    <row r="72" spans="1:21" ht="15">
      <c r="A72" s="1317"/>
      <c r="B72" s="1303" t="s">
        <v>2210</v>
      </c>
      <c r="C72" s="1303" t="s">
        <v>1298</v>
      </c>
      <c r="D72" s="1302">
        <v>15464.628000000001</v>
      </c>
      <c r="E72" s="1301" t="s">
        <v>1674</v>
      </c>
      <c r="F72" s="1306">
        <v>0</v>
      </c>
      <c r="G72" s="1301" t="s">
        <v>1674</v>
      </c>
      <c r="H72" s="1306">
        <v>0</v>
      </c>
      <c r="I72" s="1301" t="s">
        <v>1674</v>
      </c>
      <c r="J72" s="1302">
        <v>1932.7560000000001</v>
      </c>
      <c r="K72" s="1301" t="s">
        <v>1674</v>
      </c>
      <c r="L72" s="1302">
        <v>3077.1509999999998</v>
      </c>
      <c r="M72" s="1301" t="s">
        <v>1674</v>
      </c>
      <c r="N72" s="1306">
        <v>0</v>
      </c>
      <c r="O72" s="1301" t="s">
        <v>1674</v>
      </c>
      <c r="P72" s="1302">
        <v>2730.2959999999998</v>
      </c>
      <c r="Q72" s="1301" t="s">
        <v>1674</v>
      </c>
      <c r="R72" s="1302">
        <v>3554.232</v>
      </c>
      <c r="S72" s="1301" t="s">
        <v>1674</v>
      </c>
      <c r="T72" s="1306">
        <v>0</v>
      </c>
      <c r="U72" s="1301" t="s">
        <v>1674</v>
      </c>
    </row>
    <row r="73" spans="1:21" ht="15">
      <c r="A73" s="1317"/>
      <c r="B73" s="1303" t="s">
        <v>2210</v>
      </c>
      <c r="C73" s="1303" t="s">
        <v>2216</v>
      </c>
      <c r="D73" s="1307">
        <v>182537</v>
      </c>
      <c r="E73" s="1304" t="s">
        <v>1674</v>
      </c>
      <c r="F73" s="1307">
        <v>0</v>
      </c>
      <c r="G73" s="1304" t="s">
        <v>1674</v>
      </c>
      <c r="H73" s="1307">
        <v>0</v>
      </c>
      <c r="I73" s="1304" t="s">
        <v>1674</v>
      </c>
      <c r="J73" s="1307">
        <v>314418</v>
      </c>
      <c r="K73" s="1304" t="s">
        <v>1674</v>
      </c>
      <c r="L73" s="1307">
        <v>0</v>
      </c>
      <c r="M73" s="1304" t="s">
        <v>1674</v>
      </c>
      <c r="N73" s="1307">
        <v>0</v>
      </c>
      <c r="O73" s="1304" t="s">
        <v>1674</v>
      </c>
      <c r="P73" s="1307">
        <v>317935</v>
      </c>
      <c r="Q73" s="1304" t="s">
        <v>1674</v>
      </c>
      <c r="R73" s="1307">
        <v>0</v>
      </c>
      <c r="S73" s="1304" t="s">
        <v>1674</v>
      </c>
      <c r="T73" s="1307">
        <v>0</v>
      </c>
      <c r="U73" s="1304" t="s">
        <v>1674</v>
      </c>
    </row>
    <row r="74" spans="1:21" ht="15">
      <c r="A74" s="1317"/>
      <c r="B74" s="1303" t="s">
        <v>2210</v>
      </c>
      <c r="C74" s="1303" t="s">
        <v>2215</v>
      </c>
      <c r="D74" s="1306">
        <v>65840</v>
      </c>
      <c r="E74" s="1301" t="s">
        <v>1674</v>
      </c>
      <c r="F74" s="1306">
        <v>0</v>
      </c>
      <c r="G74" s="1301" t="s">
        <v>1674</v>
      </c>
      <c r="H74" s="1306">
        <v>0</v>
      </c>
      <c r="I74" s="1301" t="s">
        <v>1674</v>
      </c>
      <c r="J74" s="1306">
        <v>52659</v>
      </c>
      <c r="K74" s="1301" t="s">
        <v>1674</v>
      </c>
      <c r="L74" s="1306">
        <v>0</v>
      </c>
      <c r="M74" s="1301" t="s">
        <v>1674</v>
      </c>
      <c r="N74" s="1306">
        <v>0</v>
      </c>
      <c r="O74" s="1301" t="s">
        <v>1674</v>
      </c>
      <c r="P74" s="1306">
        <v>48440</v>
      </c>
      <c r="Q74" s="1301" t="s">
        <v>1674</v>
      </c>
      <c r="R74" s="1306">
        <v>0</v>
      </c>
      <c r="S74" s="1301" t="s">
        <v>1674</v>
      </c>
      <c r="T74" s="1306">
        <v>0</v>
      </c>
      <c r="U74" s="1301" t="s">
        <v>1674</v>
      </c>
    </row>
    <row r="75" spans="1:21" ht="15">
      <c r="A75" s="1317"/>
      <c r="B75" s="1303" t="s">
        <v>2210</v>
      </c>
      <c r="C75" s="1303" t="s">
        <v>2214</v>
      </c>
      <c r="D75" s="1307">
        <v>97703</v>
      </c>
      <c r="E75" s="1304" t="s">
        <v>1674</v>
      </c>
      <c r="F75" s="1307">
        <v>0</v>
      </c>
      <c r="G75" s="1304" t="s">
        <v>1674</v>
      </c>
      <c r="H75" s="1307">
        <v>0</v>
      </c>
      <c r="I75" s="1304" t="s">
        <v>1674</v>
      </c>
      <c r="J75" s="1307">
        <v>125360</v>
      </c>
      <c r="K75" s="1304" t="s">
        <v>1674</v>
      </c>
      <c r="L75" s="1307">
        <v>0</v>
      </c>
      <c r="M75" s="1304" t="s">
        <v>1674</v>
      </c>
      <c r="N75" s="1307">
        <v>0</v>
      </c>
      <c r="O75" s="1304" t="s">
        <v>1674</v>
      </c>
      <c r="P75" s="1307">
        <v>129419</v>
      </c>
      <c r="Q75" s="1304" t="s">
        <v>1674</v>
      </c>
      <c r="R75" s="1307">
        <v>0</v>
      </c>
      <c r="S75" s="1304" t="s">
        <v>1674</v>
      </c>
      <c r="T75" s="1307">
        <v>0</v>
      </c>
      <c r="U75" s="1304" t="s">
        <v>1674</v>
      </c>
    </row>
    <row r="76" spans="1:21" ht="15">
      <c r="A76" s="1317"/>
      <c r="B76" s="1303" t="s">
        <v>2210</v>
      </c>
      <c r="C76" s="1303" t="s">
        <v>2213</v>
      </c>
      <c r="D76" s="1306">
        <v>97703</v>
      </c>
      <c r="E76" s="1301" t="s">
        <v>1674</v>
      </c>
      <c r="F76" s="1306">
        <v>0</v>
      </c>
      <c r="G76" s="1301" t="s">
        <v>1674</v>
      </c>
      <c r="H76" s="1306">
        <v>0</v>
      </c>
      <c r="I76" s="1301" t="s">
        <v>1674</v>
      </c>
      <c r="J76" s="1306">
        <v>125360</v>
      </c>
      <c r="K76" s="1301" t="s">
        <v>1674</v>
      </c>
      <c r="L76" s="1306">
        <v>0</v>
      </c>
      <c r="M76" s="1301" t="s">
        <v>1674</v>
      </c>
      <c r="N76" s="1306">
        <v>0</v>
      </c>
      <c r="O76" s="1301" t="s">
        <v>1674</v>
      </c>
      <c r="P76" s="1306">
        <v>129419</v>
      </c>
      <c r="Q76" s="1301" t="s">
        <v>1674</v>
      </c>
      <c r="R76" s="1306">
        <v>0</v>
      </c>
      <c r="S76" s="1301" t="s">
        <v>1674</v>
      </c>
      <c r="T76" s="1306">
        <v>0</v>
      </c>
      <c r="U76" s="1301" t="s">
        <v>1674</v>
      </c>
    </row>
    <row r="77" spans="1:21" ht="15">
      <c r="A77" s="1317"/>
      <c r="B77" s="1303" t="s">
        <v>2210</v>
      </c>
      <c r="C77" s="1303" t="s">
        <v>2212</v>
      </c>
      <c r="D77" s="1307">
        <v>163543</v>
      </c>
      <c r="E77" s="1304" t="s">
        <v>1674</v>
      </c>
      <c r="F77" s="1307">
        <v>0</v>
      </c>
      <c r="G77" s="1304" t="s">
        <v>1674</v>
      </c>
      <c r="H77" s="1307">
        <v>0</v>
      </c>
      <c r="I77" s="1304" t="s">
        <v>1674</v>
      </c>
      <c r="J77" s="1307">
        <v>178019</v>
      </c>
      <c r="K77" s="1304" t="s">
        <v>1674</v>
      </c>
      <c r="L77" s="1307">
        <v>0</v>
      </c>
      <c r="M77" s="1304" t="s">
        <v>1674</v>
      </c>
      <c r="N77" s="1307">
        <v>0</v>
      </c>
      <c r="O77" s="1304" t="s">
        <v>1674</v>
      </c>
      <c r="P77" s="1307">
        <v>177859</v>
      </c>
      <c r="Q77" s="1304" t="s">
        <v>1674</v>
      </c>
      <c r="R77" s="1307">
        <v>0</v>
      </c>
      <c r="S77" s="1304" t="s">
        <v>1674</v>
      </c>
      <c r="T77" s="1307">
        <v>0</v>
      </c>
      <c r="U77" s="1304" t="s">
        <v>1674</v>
      </c>
    </row>
    <row r="78" spans="1:21" ht="15">
      <c r="A78" s="1317"/>
      <c r="B78" s="1303" t="s">
        <v>2210</v>
      </c>
      <c r="C78" s="1303" t="s">
        <v>1293</v>
      </c>
      <c r="D78" s="1302">
        <v>1515655.094</v>
      </c>
      <c r="E78" s="1301" t="s">
        <v>1674</v>
      </c>
      <c r="F78" s="1301" t="s">
        <v>937</v>
      </c>
      <c r="G78" s="1301" t="s">
        <v>2205</v>
      </c>
      <c r="H78" s="1301" t="s">
        <v>937</v>
      </c>
      <c r="I78" s="1301" t="s">
        <v>2205</v>
      </c>
      <c r="J78" s="1302">
        <v>989606.46900000004</v>
      </c>
      <c r="K78" s="1301" t="s">
        <v>1674</v>
      </c>
      <c r="L78" s="1301" t="s">
        <v>937</v>
      </c>
      <c r="M78" s="1301" t="s">
        <v>2205</v>
      </c>
      <c r="N78" s="1301" t="s">
        <v>937</v>
      </c>
      <c r="O78" s="1301" t="s">
        <v>2205</v>
      </c>
      <c r="P78" s="1302">
        <v>809392.17599999998</v>
      </c>
      <c r="Q78" s="1301" t="s">
        <v>1674</v>
      </c>
      <c r="R78" s="1301" t="s">
        <v>937</v>
      </c>
      <c r="S78" s="1301" t="s">
        <v>2205</v>
      </c>
      <c r="T78" s="1301" t="s">
        <v>937</v>
      </c>
      <c r="U78" s="1301" t="s">
        <v>2205</v>
      </c>
    </row>
    <row r="79" spans="1:21" ht="15">
      <c r="A79" s="1317" t="s">
        <v>215</v>
      </c>
      <c r="B79" s="1303" t="s">
        <v>2210</v>
      </c>
      <c r="C79" s="1303" t="s">
        <v>247</v>
      </c>
      <c r="D79" s="1304" t="s">
        <v>937</v>
      </c>
      <c r="E79" s="1304" t="s">
        <v>2205</v>
      </c>
      <c r="F79" s="1307">
        <v>154663.20000000001</v>
      </c>
      <c r="G79" s="1304" t="s">
        <v>1674</v>
      </c>
      <c r="H79" s="1307">
        <v>208501.2</v>
      </c>
      <c r="I79" s="1304" t="s">
        <v>1674</v>
      </c>
      <c r="J79" s="1304" t="s">
        <v>937</v>
      </c>
      <c r="K79" s="1304" t="s">
        <v>2205</v>
      </c>
      <c r="L79" s="1307">
        <v>133228.79999999999</v>
      </c>
      <c r="M79" s="1304" t="s">
        <v>1674</v>
      </c>
      <c r="N79" s="1307">
        <v>307044</v>
      </c>
      <c r="O79" s="1304" t="s">
        <v>1674</v>
      </c>
      <c r="P79" s="1304" t="s">
        <v>937</v>
      </c>
      <c r="Q79" s="1304" t="s">
        <v>2205</v>
      </c>
      <c r="R79" s="1307">
        <v>144453.6</v>
      </c>
      <c r="S79" s="1304" t="s">
        <v>1674</v>
      </c>
      <c r="T79" s="1307">
        <v>262054.8</v>
      </c>
      <c r="U79" s="1304" t="s">
        <v>1674</v>
      </c>
    </row>
    <row r="80" spans="1:21" ht="15">
      <c r="A80" s="1317"/>
      <c r="B80" s="1303" t="s">
        <v>2210</v>
      </c>
      <c r="C80" s="1303" t="s">
        <v>1693</v>
      </c>
      <c r="D80" s="1306">
        <v>0</v>
      </c>
      <c r="E80" s="1301" t="s">
        <v>1674</v>
      </c>
      <c r="F80" s="1306">
        <v>0</v>
      </c>
      <c r="G80" s="1301" t="s">
        <v>1674</v>
      </c>
      <c r="H80" s="1306">
        <v>266</v>
      </c>
      <c r="I80" s="1301" t="s">
        <v>1674</v>
      </c>
      <c r="J80" s="1306">
        <v>0</v>
      </c>
      <c r="K80" s="1301" t="s">
        <v>1674</v>
      </c>
      <c r="L80" s="1306">
        <v>0</v>
      </c>
      <c r="M80" s="1301" t="s">
        <v>1674</v>
      </c>
      <c r="N80" s="1306">
        <v>145</v>
      </c>
      <c r="O80" s="1301" t="s">
        <v>1674</v>
      </c>
      <c r="P80" s="1306">
        <v>0</v>
      </c>
      <c r="Q80" s="1301" t="s">
        <v>1674</v>
      </c>
      <c r="R80" s="1306">
        <v>0</v>
      </c>
      <c r="S80" s="1301" t="s">
        <v>1674</v>
      </c>
      <c r="T80" s="1306">
        <v>0</v>
      </c>
      <c r="U80" s="1301" t="s">
        <v>1674</v>
      </c>
    </row>
    <row r="81" spans="1:21" ht="15">
      <c r="A81" s="1317"/>
      <c r="B81" s="1303" t="s">
        <v>2210</v>
      </c>
      <c r="C81" s="1303" t="s">
        <v>2211</v>
      </c>
      <c r="D81" s="1305">
        <v>990976.34699999995</v>
      </c>
      <c r="E81" s="1304" t="s">
        <v>1674</v>
      </c>
      <c r="F81" s="1305">
        <v>99881.383000000002</v>
      </c>
      <c r="G81" s="1304" t="s">
        <v>1674</v>
      </c>
      <c r="H81" s="1305">
        <v>86296.471000000005</v>
      </c>
      <c r="I81" s="1304" t="s">
        <v>1674</v>
      </c>
      <c r="J81" s="1305">
        <v>1092978.014</v>
      </c>
      <c r="K81" s="1304" t="s">
        <v>1674</v>
      </c>
      <c r="L81" s="1305">
        <v>106426.103</v>
      </c>
      <c r="M81" s="1304" t="s">
        <v>1674</v>
      </c>
      <c r="N81" s="1305">
        <v>113664.588</v>
      </c>
      <c r="O81" s="1304" t="s">
        <v>1674</v>
      </c>
      <c r="P81" s="1305">
        <v>1131615.1540000001</v>
      </c>
      <c r="Q81" s="1304" t="s">
        <v>1674</v>
      </c>
      <c r="R81" s="1307">
        <v>110117.1</v>
      </c>
      <c r="S81" s="1304" t="s">
        <v>1674</v>
      </c>
      <c r="T81" s="1305">
        <v>135521.18799999999</v>
      </c>
      <c r="U81" s="1304" t="s">
        <v>1674</v>
      </c>
    </row>
    <row r="82" spans="1:21" ht="15">
      <c r="A82" s="1317"/>
      <c r="B82" s="1303" t="s">
        <v>2210</v>
      </c>
      <c r="C82" s="1303" t="s">
        <v>2209</v>
      </c>
      <c r="D82" s="1302">
        <v>2704547.0290000001</v>
      </c>
      <c r="E82" s="1301" t="s">
        <v>1674</v>
      </c>
      <c r="F82" s="1302">
        <v>10232539.171</v>
      </c>
      <c r="G82" s="1301" t="s">
        <v>1674</v>
      </c>
      <c r="H82" s="1302">
        <v>1661912.1569999999</v>
      </c>
      <c r="I82" s="1301" t="s">
        <v>1674</v>
      </c>
      <c r="J82" s="1302">
        <v>2391953.341</v>
      </c>
      <c r="K82" s="1301" t="s">
        <v>1674</v>
      </c>
      <c r="L82" s="1302">
        <v>10715410.078</v>
      </c>
      <c r="M82" s="1301" t="s">
        <v>1674</v>
      </c>
      <c r="N82" s="1302">
        <v>2306950.6749999998</v>
      </c>
      <c r="O82" s="1301" t="s">
        <v>1674</v>
      </c>
      <c r="P82" s="1302">
        <v>1685405.2720000001</v>
      </c>
      <c r="Q82" s="1301" t="s">
        <v>1674</v>
      </c>
      <c r="R82" s="1302">
        <v>9865515.5460000001</v>
      </c>
      <c r="S82" s="1301" t="s">
        <v>1674</v>
      </c>
      <c r="T82" s="1302">
        <v>1097951.3049999999</v>
      </c>
      <c r="U82" s="1301" t="s">
        <v>1674</v>
      </c>
    </row>
    <row r="84" spans="1:21" ht="15">
      <c r="B84" s="1300" t="s">
        <v>2208</v>
      </c>
    </row>
    <row r="85" spans="1:21" ht="15">
      <c r="B85" s="1300" t="s">
        <v>937</v>
      </c>
      <c r="C85" s="1299" t="s">
        <v>2207</v>
      </c>
    </row>
    <row r="86" spans="1:21" ht="15">
      <c r="B86" s="1300" t="s">
        <v>2206</v>
      </c>
    </row>
    <row r="87" spans="1:21" ht="15">
      <c r="B87" s="1300" t="s">
        <v>2205</v>
      </c>
      <c r="C87" s="1299" t="s">
        <v>2204</v>
      </c>
    </row>
  </sheetData>
  <mergeCells count="14">
    <mergeCell ref="B8:C8"/>
    <mergeCell ref="B9:C9"/>
    <mergeCell ref="P8:U8"/>
    <mergeCell ref="J8:O8"/>
    <mergeCell ref="L9:M9"/>
    <mergeCell ref="N9:O9"/>
    <mergeCell ref="P9:Q9"/>
    <mergeCell ref="R9:S9"/>
    <mergeCell ref="T9:U9"/>
    <mergeCell ref="D8:I8"/>
    <mergeCell ref="D9:E9"/>
    <mergeCell ref="F9:G9"/>
    <mergeCell ref="H9:I9"/>
    <mergeCell ref="J9:K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84"/>
  <sheetViews>
    <sheetView showGridLines="0" workbookViewId="0">
      <selection activeCell="C1" sqref="C1:E1"/>
    </sheetView>
  </sheetViews>
  <sheetFormatPr baseColWidth="10" defaultColWidth="8.83203125" defaultRowHeight="15"/>
  <cols>
    <col min="1" max="1" width="8.83203125" style="1298"/>
    <col min="2" max="5" width="79.6640625" style="1298" customWidth="1"/>
    <col min="6" max="16384" width="8.83203125" style="1298"/>
  </cols>
  <sheetData>
    <row r="1" spans="1:3">
      <c r="A1" s="1300" t="s">
        <v>2270</v>
      </c>
    </row>
    <row r="2" spans="1:3">
      <c r="B2" s="1312" t="s">
        <v>2269</v>
      </c>
      <c r="C2" s="1312" t="s">
        <v>2268</v>
      </c>
    </row>
    <row r="3" spans="1:3">
      <c r="B3" s="1311" t="s">
        <v>2267</v>
      </c>
      <c r="C3" s="1311" t="s">
        <v>2267</v>
      </c>
    </row>
    <row r="4" spans="1:3">
      <c r="B4" s="1299" t="s">
        <v>2259</v>
      </c>
      <c r="C4" s="1299" t="s">
        <v>2258</v>
      </c>
    </row>
    <row r="5" spans="1:3">
      <c r="B5" s="1310" t="s">
        <v>2266</v>
      </c>
      <c r="C5" s="1310" t="s">
        <v>927</v>
      </c>
    </row>
    <row r="6" spans="1:3">
      <c r="B6" s="1299" t="s">
        <v>2266</v>
      </c>
      <c r="C6" s="1299" t="s">
        <v>164</v>
      </c>
    </row>
    <row r="7" spans="1:3">
      <c r="B7" s="1310" t="s">
        <v>2266</v>
      </c>
      <c r="C7" s="1310" t="s">
        <v>170</v>
      </c>
    </row>
    <row r="8" spans="1:3">
      <c r="B8" s="1299" t="s">
        <v>2265</v>
      </c>
      <c r="C8" s="1299" t="s">
        <v>1640</v>
      </c>
    </row>
    <row r="9" spans="1:3">
      <c r="B9" s="1310" t="s">
        <v>2265</v>
      </c>
      <c r="C9" s="1310" t="s">
        <v>2251</v>
      </c>
    </row>
    <row r="10" spans="1:3">
      <c r="B10" s="1299" t="s">
        <v>2265</v>
      </c>
      <c r="C10" s="1299" t="s">
        <v>1346</v>
      </c>
    </row>
    <row r="11" spans="1:3">
      <c r="B11" s="1310" t="s">
        <v>2265</v>
      </c>
      <c r="C11" s="1310" t="s">
        <v>1345</v>
      </c>
    </row>
    <row r="12" spans="1:3">
      <c r="B12" s="1299" t="s">
        <v>2265</v>
      </c>
      <c r="C12" s="1299" t="s">
        <v>1344</v>
      </c>
    </row>
    <row r="13" spans="1:3">
      <c r="B13" s="1310" t="s">
        <v>2265</v>
      </c>
      <c r="C13" s="1310" t="s">
        <v>1343</v>
      </c>
    </row>
    <row r="14" spans="1:3">
      <c r="B14" s="1299" t="s">
        <v>2265</v>
      </c>
      <c r="C14" s="1299" t="s">
        <v>2250</v>
      </c>
    </row>
    <row r="15" spans="1:3">
      <c r="B15" s="1310" t="s">
        <v>2265</v>
      </c>
      <c r="C15" s="1310" t="s">
        <v>1340</v>
      </c>
    </row>
    <row r="16" spans="1:3">
      <c r="B16" s="1299" t="s">
        <v>2265</v>
      </c>
      <c r="C16" s="1299" t="s">
        <v>1339</v>
      </c>
    </row>
    <row r="17" spans="2:3">
      <c r="B17" s="1310" t="s">
        <v>2265</v>
      </c>
      <c r="C17" s="1310" t="s">
        <v>2249</v>
      </c>
    </row>
    <row r="18" spans="2:3">
      <c r="B18" s="1299" t="s">
        <v>2265</v>
      </c>
      <c r="C18" s="1299" t="s">
        <v>2248</v>
      </c>
    </row>
    <row r="19" spans="2:3">
      <c r="B19" s="1310" t="s">
        <v>2265</v>
      </c>
      <c r="C19" s="1310" t="s">
        <v>1338</v>
      </c>
    </row>
    <row r="20" spans="2:3">
      <c r="B20" s="1299" t="s">
        <v>2265</v>
      </c>
      <c r="C20" s="1299" t="s">
        <v>2247</v>
      </c>
    </row>
    <row r="21" spans="2:3">
      <c r="B21" s="1310" t="s">
        <v>2265</v>
      </c>
      <c r="C21" s="1310" t="s">
        <v>2246</v>
      </c>
    </row>
    <row r="22" spans="2:3">
      <c r="B22" s="1299" t="s">
        <v>2265</v>
      </c>
      <c r="C22" s="1299" t="s">
        <v>2245</v>
      </c>
    </row>
    <row r="23" spans="2:3">
      <c r="B23" s="1310" t="s">
        <v>2265</v>
      </c>
      <c r="C23" s="1310" t="s">
        <v>785</v>
      </c>
    </row>
    <row r="24" spans="2:3">
      <c r="B24" s="1299" t="s">
        <v>2265</v>
      </c>
      <c r="C24" s="1299" t="s">
        <v>2244</v>
      </c>
    </row>
    <row r="25" spans="2:3">
      <c r="B25" s="1310" t="s">
        <v>2265</v>
      </c>
      <c r="C25" s="1310" t="s">
        <v>2243</v>
      </c>
    </row>
    <row r="26" spans="2:3">
      <c r="B26" s="1299" t="s">
        <v>2265</v>
      </c>
      <c r="C26" s="1299" t="s">
        <v>780</v>
      </c>
    </row>
    <row r="27" spans="2:3">
      <c r="B27" s="1310" t="s">
        <v>2265</v>
      </c>
      <c r="C27" s="1310" t="s">
        <v>1336</v>
      </c>
    </row>
    <row r="28" spans="2:3">
      <c r="B28" s="1299" t="s">
        <v>2265</v>
      </c>
      <c r="C28" s="1299" t="s">
        <v>2242</v>
      </c>
    </row>
    <row r="29" spans="2:3">
      <c r="B29" s="1310" t="s">
        <v>2265</v>
      </c>
      <c r="C29" s="1310" t="s">
        <v>305</v>
      </c>
    </row>
    <row r="30" spans="2:3">
      <c r="B30" s="1299" t="s">
        <v>2265</v>
      </c>
      <c r="C30" s="1299" t="s">
        <v>2241</v>
      </c>
    </row>
    <row r="31" spans="2:3">
      <c r="B31" s="1310" t="s">
        <v>2265</v>
      </c>
      <c r="C31" s="1310" t="s">
        <v>142</v>
      </c>
    </row>
    <row r="32" spans="2:3">
      <c r="B32" s="1299" t="s">
        <v>2265</v>
      </c>
      <c r="C32" s="1299" t="s">
        <v>2240</v>
      </c>
    </row>
    <row r="33" spans="2:3">
      <c r="B33" s="1310" t="s">
        <v>2265</v>
      </c>
      <c r="C33" s="1310" t="s">
        <v>1688</v>
      </c>
    </row>
    <row r="34" spans="2:3">
      <c r="B34" s="1299" t="s">
        <v>2265</v>
      </c>
      <c r="C34" s="1299" t="s">
        <v>2239</v>
      </c>
    </row>
    <row r="35" spans="2:3">
      <c r="B35" s="1310" t="s">
        <v>2265</v>
      </c>
      <c r="C35" s="1310" t="s">
        <v>2238</v>
      </c>
    </row>
    <row r="36" spans="2:3">
      <c r="B36" s="1299" t="s">
        <v>2265</v>
      </c>
      <c r="C36" s="1299" t="s">
        <v>98</v>
      </c>
    </row>
    <row r="37" spans="2:3">
      <c r="B37" s="1310" t="s">
        <v>2265</v>
      </c>
      <c r="C37" s="1310" t="s">
        <v>1329</v>
      </c>
    </row>
    <row r="38" spans="2:3">
      <c r="B38" s="1299" t="s">
        <v>2265</v>
      </c>
      <c r="C38" s="1299" t="s">
        <v>2237</v>
      </c>
    </row>
    <row r="39" spans="2:3">
      <c r="B39" s="1310" t="s">
        <v>2265</v>
      </c>
      <c r="C39" s="1310" t="s">
        <v>254</v>
      </c>
    </row>
    <row r="40" spans="2:3">
      <c r="B40" s="1299" t="s">
        <v>2265</v>
      </c>
      <c r="C40" s="1299" t="s">
        <v>696</v>
      </c>
    </row>
    <row r="41" spans="2:3">
      <c r="B41" s="1310" t="s">
        <v>2265</v>
      </c>
      <c r="C41" s="1310" t="s">
        <v>2236</v>
      </c>
    </row>
    <row r="42" spans="2:3">
      <c r="B42" s="1299" t="s">
        <v>2265</v>
      </c>
      <c r="C42" s="1299" t="s">
        <v>2235</v>
      </c>
    </row>
    <row r="43" spans="2:3">
      <c r="B43" s="1310" t="s">
        <v>2265</v>
      </c>
      <c r="C43" s="1310" t="s">
        <v>2234</v>
      </c>
    </row>
    <row r="44" spans="2:3">
      <c r="B44" s="1299" t="s">
        <v>2265</v>
      </c>
      <c r="C44" s="1299" t="s">
        <v>2233</v>
      </c>
    </row>
    <row r="45" spans="2:3">
      <c r="B45" s="1310" t="s">
        <v>2265</v>
      </c>
      <c r="C45" s="1310" t="s">
        <v>2232</v>
      </c>
    </row>
    <row r="46" spans="2:3">
      <c r="B46" s="1299" t="s">
        <v>2265</v>
      </c>
      <c r="C46" s="1299" t="s">
        <v>99</v>
      </c>
    </row>
    <row r="47" spans="2:3">
      <c r="B47" s="1310" t="s">
        <v>2265</v>
      </c>
      <c r="C47" s="1310" t="s">
        <v>2231</v>
      </c>
    </row>
    <row r="48" spans="2:3">
      <c r="B48" s="1299" t="s">
        <v>2265</v>
      </c>
      <c r="C48" s="1299" t="s">
        <v>1320</v>
      </c>
    </row>
    <row r="49" spans="2:3">
      <c r="B49" s="1310" t="s">
        <v>2265</v>
      </c>
      <c r="C49" s="1310" t="s">
        <v>2230</v>
      </c>
    </row>
    <row r="50" spans="2:3">
      <c r="B50" s="1299" t="s">
        <v>2265</v>
      </c>
      <c r="C50" s="1299" t="s">
        <v>2229</v>
      </c>
    </row>
    <row r="51" spans="2:3">
      <c r="B51" s="1310" t="s">
        <v>2265</v>
      </c>
      <c r="C51" s="1310" t="s">
        <v>1319</v>
      </c>
    </row>
    <row r="52" spans="2:3">
      <c r="B52" s="1299" t="s">
        <v>2265</v>
      </c>
      <c r="C52" s="1299" t="s">
        <v>2228</v>
      </c>
    </row>
    <row r="53" spans="2:3">
      <c r="B53" s="1310" t="s">
        <v>2265</v>
      </c>
      <c r="C53" s="1310" t="s">
        <v>2227</v>
      </c>
    </row>
    <row r="54" spans="2:3">
      <c r="B54" s="1299" t="s">
        <v>2265</v>
      </c>
      <c r="C54" s="1299" t="s">
        <v>52</v>
      </c>
    </row>
    <row r="55" spans="2:3">
      <c r="B55" s="1310" t="s">
        <v>2265</v>
      </c>
      <c r="C55" s="1310" t="s">
        <v>59</v>
      </c>
    </row>
    <row r="56" spans="2:3">
      <c r="B56" s="1299" t="s">
        <v>2265</v>
      </c>
      <c r="C56" s="1299" t="s">
        <v>53</v>
      </c>
    </row>
    <row r="57" spans="2:3">
      <c r="B57" s="1310" t="s">
        <v>2265</v>
      </c>
      <c r="C57" s="1310" t="s">
        <v>1307</v>
      </c>
    </row>
    <row r="58" spans="2:3">
      <c r="B58" s="1299" t="s">
        <v>2265</v>
      </c>
      <c r="C58" s="1299" t="s">
        <v>2226</v>
      </c>
    </row>
    <row r="59" spans="2:3">
      <c r="B59" s="1310" t="s">
        <v>2265</v>
      </c>
      <c r="C59" s="1310" t="s">
        <v>2225</v>
      </c>
    </row>
    <row r="60" spans="2:3">
      <c r="B60" s="1299" t="s">
        <v>2265</v>
      </c>
      <c r="C60" s="1299" t="s">
        <v>2224</v>
      </c>
    </row>
    <row r="61" spans="2:3">
      <c r="B61" s="1310" t="s">
        <v>2265</v>
      </c>
      <c r="C61" s="1310" t="s">
        <v>2223</v>
      </c>
    </row>
    <row r="62" spans="2:3">
      <c r="B62" s="1299" t="s">
        <v>2265</v>
      </c>
      <c r="C62" s="1299" t="s">
        <v>1304</v>
      </c>
    </row>
    <row r="63" spans="2:3">
      <c r="B63" s="1310" t="s">
        <v>2265</v>
      </c>
      <c r="C63" s="1310" t="s">
        <v>2222</v>
      </c>
    </row>
    <row r="64" spans="2:3">
      <c r="B64" s="1299" t="s">
        <v>2265</v>
      </c>
      <c r="C64" s="1299" t="s">
        <v>2221</v>
      </c>
    </row>
    <row r="65" spans="2:3">
      <c r="B65" s="1310" t="s">
        <v>2265</v>
      </c>
      <c r="C65" s="1310" t="s">
        <v>2220</v>
      </c>
    </row>
    <row r="66" spans="2:3">
      <c r="B66" s="1299" t="s">
        <v>2265</v>
      </c>
      <c r="C66" s="1299" t="s">
        <v>2219</v>
      </c>
    </row>
    <row r="67" spans="2:3">
      <c r="B67" s="1310" t="s">
        <v>2265</v>
      </c>
      <c r="C67" s="1310" t="s">
        <v>2218</v>
      </c>
    </row>
    <row r="68" spans="2:3">
      <c r="B68" s="1299" t="s">
        <v>2265</v>
      </c>
      <c r="C68" s="1299" t="s">
        <v>2217</v>
      </c>
    </row>
    <row r="69" spans="2:3">
      <c r="B69" s="1310" t="s">
        <v>2265</v>
      </c>
      <c r="C69" s="1310" t="s">
        <v>1298</v>
      </c>
    </row>
    <row r="70" spans="2:3">
      <c r="B70" s="1299" t="s">
        <v>2265</v>
      </c>
      <c r="C70" s="1299" t="s">
        <v>2216</v>
      </c>
    </row>
    <row r="71" spans="2:3">
      <c r="B71" s="1310" t="s">
        <v>2265</v>
      </c>
      <c r="C71" s="1310" t="s">
        <v>2215</v>
      </c>
    </row>
    <row r="72" spans="2:3">
      <c r="B72" s="1299" t="s">
        <v>2265</v>
      </c>
      <c r="C72" s="1299" t="s">
        <v>2214</v>
      </c>
    </row>
    <row r="73" spans="2:3">
      <c r="B73" s="1310" t="s">
        <v>2265</v>
      </c>
      <c r="C73" s="1310" t="s">
        <v>2213</v>
      </c>
    </row>
    <row r="74" spans="2:3">
      <c r="B74" s="1299" t="s">
        <v>2265</v>
      </c>
      <c r="C74" s="1299" t="s">
        <v>2212</v>
      </c>
    </row>
    <row r="75" spans="2:3">
      <c r="B75" s="1310" t="s">
        <v>2265</v>
      </c>
      <c r="C75" s="1310" t="s">
        <v>1293</v>
      </c>
    </row>
    <row r="76" spans="2:3">
      <c r="B76" s="1299" t="s">
        <v>2265</v>
      </c>
      <c r="C76" s="1299" t="s">
        <v>247</v>
      </c>
    </row>
    <row r="77" spans="2:3">
      <c r="B77" s="1310" t="s">
        <v>2265</v>
      </c>
      <c r="C77" s="1310" t="s">
        <v>1693</v>
      </c>
    </row>
    <row r="78" spans="2:3">
      <c r="B78" s="1299" t="s">
        <v>2265</v>
      </c>
      <c r="C78" s="1299" t="s">
        <v>2211</v>
      </c>
    </row>
    <row r="79" spans="2:3">
      <c r="B79" s="1310" t="s">
        <v>2265</v>
      </c>
      <c r="C79" s="1310" t="s">
        <v>2209</v>
      </c>
    </row>
    <row r="80" spans="2:3">
      <c r="B80" s="1299" t="s">
        <v>2257</v>
      </c>
      <c r="C80" s="1299" t="s">
        <v>2256</v>
      </c>
    </row>
    <row r="81" spans="2:3">
      <c r="B81" s="1310" t="s">
        <v>2264</v>
      </c>
      <c r="C81" s="1310" t="s">
        <v>2210</v>
      </c>
    </row>
    <row r="82" spans="2:3">
      <c r="B82" s="1299" t="s">
        <v>2263</v>
      </c>
      <c r="C82" s="1299" t="s">
        <v>958</v>
      </c>
    </row>
    <row r="83" spans="2:3">
      <c r="B83" s="1310" t="s">
        <v>2263</v>
      </c>
      <c r="C83" s="1310" t="s">
        <v>953</v>
      </c>
    </row>
    <row r="84" spans="2:3">
      <c r="B84" s="1299" t="s">
        <v>2263</v>
      </c>
      <c r="C84" s="1299" t="s">
        <v>2281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6:O16"/>
  <sheetViews>
    <sheetView showGridLines="0" workbookViewId="0"/>
  </sheetViews>
  <sheetFormatPr baseColWidth="10" defaultColWidth="8.83203125" defaultRowHeight="15"/>
  <cols>
    <col min="1" max="1" width="20" style="1298" customWidth="1"/>
    <col min="2" max="2" width="10.5" style="1298" customWidth="1"/>
    <col min="3" max="3" width="17.1640625" style="1298" customWidth="1"/>
    <col min="4" max="4" width="17.83203125" style="1298" customWidth="1"/>
    <col min="5" max="5" width="20" style="1298" customWidth="1"/>
    <col min="6" max="16384" width="8.83203125" style="1298"/>
  </cols>
  <sheetData>
    <row r="6" spans="1:15">
      <c r="A6" s="1314" t="s">
        <v>2282</v>
      </c>
    </row>
    <row r="7" spans="1:15">
      <c r="A7" s="1316" t="s">
        <v>2280</v>
      </c>
      <c r="B7" s="1316" t="s">
        <v>2279</v>
      </c>
    </row>
    <row r="8" spans="1:15" ht="42.75" customHeight="1">
      <c r="A8" s="1315" t="s">
        <v>2278</v>
      </c>
      <c r="B8" s="1335" t="s">
        <v>1081</v>
      </c>
      <c r="C8" s="1336"/>
      <c r="D8" s="1336"/>
      <c r="E8" s="1336"/>
      <c r="F8" s="1336"/>
      <c r="G8" s="1336"/>
      <c r="H8" s="1336"/>
      <c r="I8" s="1336"/>
      <c r="J8" s="1336"/>
      <c r="K8" s="1336"/>
      <c r="L8" s="1336"/>
      <c r="M8" s="1336"/>
      <c r="N8" s="1336"/>
      <c r="O8" s="1336"/>
    </row>
    <row r="10" spans="1:15">
      <c r="A10" s="1299" t="s">
        <v>2277</v>
      </c>
      <c r="D10" s="1299" t="s">
        <v>2260</v>
      </c>
    </row>
    <row r="11" spans="1:15">
      <c r="A11" s="1299" t="s">
        <v>2276</v>
      </c>
      <c r="D11" s="1299" t="s">
        <v>2275</v>
      </c>
    </row>
    <row r="13" spans="1:15">
      <c r="B13" s="1300" t="s">
        <v>2274</v>
      </c>
    </row>
    <row r="14" spans="1:15">
      <c r="C14" s="1299" t="s">
        <v>2273</v>
      </c>
    </row>
    <row r="15" spans="1:15">
      <c r="B15" s="1314" t="s">
        <v>2272</v>
      </c>
      <c r="C15" s="1314" t="s">
        <v>2259</v>
      </c>
      <c r="D15" s="1314" t="s">
        <v>2257</v>
      </c>
    </row>
    <row r="16" spans="1:15">
      <c r="B16" s="1313" t="s">
        <v>2271</v>
      </c>
      <c r="C16" s="1299" t="s">
        <v>2258</v>
      </c>
      <c r="D16" s="1299" t="s">
        <v>2256</v>
      </c>
    </row>
  </sheetData>
  <mergeCells count="1">
    <mergeCell ref="B8:O8"/>
  </mergeCells>
  <hyperlinks>
    <hyperlink ref="A7" r:id="rId1" xr:uid="{00000000-0004-0000-0F00-000000000000}"/>
    <hyperlink ref="B7" r:id="rId2" xr:uid="{00000000-0004-0000-0F00-000001000000}"/>
    <hyperlink ref="B16" location="'Sheet 1'!A1" display="Sheet 1" xr:uid="{00000000-0004-0000-0F00-000002000000}"/>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55"/>
  <sheetViews>
    <sheetView showGridLines="0" workbookViewId="0">
      <selection activeCell="P26" sqref="P26"/>
    </sheetView>
  </sheetViews>
  <sheetFormatPr baseColWidth="10" defaultColWidth="9.1640625" defaultRowHeight="14"/>
  <cols>
    <col min="1" max="1" width="5.5" style="1168" customWidth="1"/>
    <col min="2" max="2" width="35.5" style="1168" customWidth="1"/>
    <col min="3" max="20" width="11.5" style="1168" customWidth="1"/>
    <col min="21" max="16384" width="9.1640625" style="1168"/>
  </cols>
  <sheetData>
    <row r="1" spans="1:20">
      <c r="P1" s="1141">
        <f>P25+P26</f>
        <v>56519.8</v>
      </c>
    </row>
    <row r="2" spans="1:20">
      <c r="B2" s="1337" t="s">
        <v>1774</v>
      </c>
      <c r="C2" s="1337"/>
      <c r="D2" s="1337"/>
      <c r="E2" s="1337"/>
      <c r="F2" s="1337"/>
      <c r="G2" s="1337"/>
      <c r="H2" s="1337"/>
      <c r="I2" s="1337"/>
      <c r="J2" s="1337"/>
      <c r="K2" s="1337"/>
      <c r="L2" s="1337"/>
      <c r="M2" s="1337"/>
      <c r="N2" s="1337"/>
      <c r="O2" s="1337"/>
      <c r="P2" s="1337"/>
      <c r="Q2" s="1337"/>
      <c r="R2" s="1337"/>
      <c r="S2" s="1337"/>
      <c r="T2" s="1337"/>
    </row>
    <row r="3" spans="1:20" ht="15" thickBot="1">
      <c r="B3" s="1207" t="s">
        <v>1685</v>
      </c>
      <c r="C3" s="1207"/>
      <c r="D3" s="1207" t="s">
        <v>93</v>
      </c>
      <c r="E3" s="1207"/>
      <c r="F3" s="1207"/>
      <c r="G3" s="1207"/>
      <c r="H3" s="1207"/>
      <c r="I3" s="1207" t="s">
        <v>76</v>
      </c>
      <c r="J3" s="1207" t="s">
        <v>79</v>
      </c>
      <c r="K3" s="1207"/>
      <c r="L3" s="1207" t="s">
        <v>45</v>
      </c>
      <c r="M3" s="1207" t="s">
        <v>759</v>
      </c>
      <c r="N3" s="1207"/>
      <c r="O3" s="1207"/>
      <c r="P3" s="1207" t="s">
        <v>41</v>
      </c>
      <c r="Q3" s="1207"/>
      <c r="R3" s="1207"/>
      <c r="S3" s="1207" t="s">
        <v>215</v>
      </c>
      <c r="T3" s="1207"/>
    </row>
    <row r="4" spans="1:20" s="1145" customFormat="1" ht="19.5" customHeight="1">
      <c r="B4" s="1344"/>
      <c r="C4" s="1338" t="s">
        <v>1686</v>
      </c>
      <c r="D4" s="1346" t="s">
        <v>1687</v>
      </c>
      <c r="E4" s="1338" t="s">
        <v>1688</v>
      </c>
      <c r="F4" s="1338" t="s">
        <v>1689</v>
      </c>
      <c r="G4" s="1348" t="s">
        <v>1690</v>
      </c>
      <c r="H4" s="1348"/>
      <c r="I4" s="1348"/>
      <c r="J4" s="1348"/>
      <c r="K4" s="1348"/>
      <c r="L4" s="1348"/>
      <c r="M4" s="1348"/>
      <c r="N4" s="1348"/>
      <c r="O4" s="1348"/>
      <c r="P4" s="1338" t="s">
        <v>1691</v>
      </c>
      <c r="Q4" s="1340" t="s">
        <v>1692</v>
      </c>
      <c r="R4" s="1338" t="s">
        <v>1693</v>
      </c>
      <c r="S4" s="1338" t="s">
        <v>1694</v>
      </c>
      <c r="T4" s="1342" t="s">
        <v>1695</v>
      </c>
    </row>
    <row r="5" spans="1:20" s="1145" customFormat="1" ht="49.5" customHeight="1" thickBot="1">
      <c r="B5" s="1345"/>
      <c r="C5" s="1339"/>
      <c r="D5" s="1347"/>
      <c r="E5" s="1339"/>
      <c r="F5" s="1339"/>
      <c r="G5" s="1143" t="s">
        <v>1696</v>
      </c>
      <c r="H5" s="1143" t="s">
        <v>1697</v>
      </c>
      <c r="I5" s="1143" t="s">
        <v>1698</v>
      </c>
      <c r="J5" s="1143" t="s">
        <v>1699</v>
      </c>
      <c r="K5" s="1143" t="s">
        <v>1700</v>
      </c>
      <c r="L5" s="1143" t="s">
        <v>1701</v>
      </c>
      <c r="M5" s="1143" t="s">
        <v>1773</v>
      </c>
      <c r="N5" s="1143" t="s">
        <v>1703</v>
      </c>
      <c r="O5" s="1143" t="s">
        <v>1704</v>
      </c>
      <c r="P5" s="1339"/>
      <c r="Q5" s="1341"/>
      <c r="R5" s="1339"/>
      <c r="S5" s="1339"/>
      <c r="T5" s="1343"/>
    </row>
    <row r="6" spans="1:20" ht="15">
      <c r="A6" s="1168" t="s">
        <v>171</v>
      </c>
      <c r="B6" s="1192" t="s">
        <v>927</v>
      </c>
      <c r="C6" s="1191">
        <v>2858233.9</v>
      </c>
      <c r="D6" s="1191">
        <v>2190821.4</v>
      </c>
      <c r="E6" s="1191" t="s">
        <v>1081</v>
      </c>
      <c r="F6" s="1191" t="s">
        <v>1081</v>
      </c>
      <c r="G6" s="1191" t="s">
        <v>1081</v>
      </c>
      <c r="H6" s="1191" t="s">
        <v>1081</v>
      </c>
      <c r="I6" s="1191" t="s">
        <v>1081</v>
      </c>
      <c r="J6" s="1191" t="s">
        <v>1081</v>
      </c>
      <c r="K6" s="1191" t="s">
        <v>1081</v>
      </c>
      <c r="L6" s="1191" t="s">
        <v>1081</v>
      </c>
      <c r="M6" s="1191" t="s">
        <v>1081</v>
      </c>
      <c r="N6" s="1191" t="s">
        <v>1081</v>
      </c>
      <c r="O6" s="1191" t="s">
        <v>1081</v>
      </c>
      <c r="P6" s="1191">
        <v>651235.69999999995</v>
      </c>
      <c r="Q6" s="1191">
        <v>16176.8</v>
      </c>
      <c r="R6" s="1191" t="s">
        <v>1081</v>
      </c>
      <c r="S6" s="1191" t="s">
        <v>1081</v>
      </c>
      <c r="T6" s="1190" t="s">
        <v>1081</v>
      </c>
    </row>
    <row r="7" spans="1:20">
      <c r="A7" s="1168" t="s">
        <v>61</v>
      </c>
      <c r="B7" s="1189" t="s">
        <v>1705</v>
      </c>
      <c r="C7" s="1174">
        <v>1822.8</v>
      </c>
      <c r="D7" s="1174" t="s">
        <v>1081</v>
      </c>
      <c r="E7" s="1174" t="s">
        <v>1081</v>
      </c>
      <c r="F7" s="1174">
        <v>1124.3</v>
      </c>
      <c r="G7" s="1174" t="s">
        <v>1081</v>
      </c>
      <c r="H7" s="1174">
        <v>4.7</v>
      </c>
      <c r="I7" s="1174">
        <v>17.3</v>
      </c>
      <c r="J7" s="1174" t="s">
        <v>1081</v>
      </c>
      <c r="K7" s="1174">
        <v>21.5</v>
      </c>
      <c r="L7" s="1174">
        <v>4.3</v>
      </c>
      <c r="M7" s="1174" t="s">
        <v>1081</v>
      </c>
      <c r="N7" s="1174" t="s">
        <v>1081</v>
      </c>
      <c r="O7" s="1174">
        <v>1076.5</v>
      </c>
      <c r="P7" s="1174" t="s">
        <v>1081</v>
      </c>
      <c r="Q7" s="1174" t="s">
        <v>1081</v>
      </c>
      <c r="R7" s="1174" t="s">
        <v>1081</v>
      </c>
      <c r="S7" s="1174">
        <v>359.3</v>
      </c>
      <c r="T7" s="1173">
        <v>339.2</v>
      </c>
    </row>
    <row r="8" spans="1:20">
      <c r="A8" s="1168" t="s">
        <v>298</v>
      </c>
      <c r="B8" s="1189" t="s">
        <v>912</v>
      </c>
      <c r="C8" s="1174">
        <v>-2275745.2999999998</v>
      </c>
      <c r="D8" s="1174">
        <v>-1918023.4</v>
      </c>
      <c r="E8" s="1174" t="s">
        <v>1081</v>
      </c>
      <c r="F8" s="1174">
        <v>-114385.3</v>
      </c>
      <c r="G8" s="1174" t="s">
        <v>1081</v>
      </c>
      <c r="H8" s="1174">
        <v>-7393.6</v>
      </c>
      <c r="I8" s="1174">
        <v>-8501.2000000000007</v>
      </c>
      <c r="J8" s="1174">
        <v>-4947.7</v>
      </c>
      <c r="K8" s="1174" t="s">
        <v>1081</v>
      </c>
      <c r="L8" s="1174">
        <v>-66944.3</v>
      </c>
      <c r="M8" s="1174">
        <v>-7829.1</v>
      </c>
      <c r="N8" s="1174">
        <v>-573.29999999999995</v>
      </c>
      <c r="O8" s="1174">
        <v>-18196.099999999999</v>
      </c>
      <c r="P8" s="1174">
        <v>-241672</v>
      </c>
      <c r="Q8" s="1174" t="s">
        <v>1081</v>
      </c>
      <c r="R8" s="1174" t="s">
        <v>1081</v>
      </c>
      <c r="S8" s="1174">
        <v>-1664.6</v>
      </c>
      <c r="T8" s="1173" t="s">
        <v>1081</v>
      </c>
    </row>
    <row r="9" spans="1:20" ht="15">
      <c r="B9" s="1188" t="s">
        <v>1706</v>
      </c>
      <c r="C9" s="1174">
        <v>-20059.5</v>
      </c>
      <c r="D9" s="1174" t="s">
        <v>1081</v>
      </c>
      <c r="E9" s="1174" t="s">
        <v>1081</v>
      </c>
      <c r="F9" s="1174">
        <v>-20059.5</v>
      </c>
      <c r="G9" s="1174" t="s">
        <v>1081</v>
      </c>
      <c r="H9" s="1174" t="s">
        <v>1081</v>
      </c>
      <c r="I9" s="1174" t="s">
        <v>1081</v>
      </c>
      <c r="J9" s="1174">
        <v>-16928.5</v>
      </c>
      <c r="K9" s="1174" t="s">
        <v>1081</v>
      </c>
      <c r="L9" s="1174">
        <v>-3131</v>
      </c>
      <c r="M9" s="1174" t="s">
        <v>1081</v>
      </c>
      <c r="N9" s="1174" t="s">
        <v>1081</v>
      </c>
      <c r="O9" s="1174" t="s">
        <v>1081</v>
      </c>
      <c r="P9" s="1174" t="s">
        <v>1081</v>
      </c>
      <c r="Q9" s="1174" t="s">
        <v>1081</v>
      </c>
      <c r="R9" s="1174" t="s">
        <v>1081</v>
      </c>
      <c r="S9" s="1174" t="s">
        <v>1081</v>
      </c>
      <c r="T9" s="1173" t="s">
        <v>1081</v>
      </c>
    </row>
    <row r="10" spans="1:20">
      <c r="B10" s="1183" t="s">
        <v>1707</v>
      </c>
      <c r="C10" s="1174">
        <v>-3131</v>
      </c>
      <c r="D10" s="1174" t="s">
        <v>1081</v>
      </c>
      <c r="E10" s="1174" t="s">
        <v>1081</v>
      </c>
      <c r="F10" s="1174">
        <v>-3131</v>
      </c>
      <c r="G10" s="1174" t="s">
        <v>1081</v>
      </c>
      <c r="H10" s="1174" t="s">
        <v>1081</v>
      </c>
      <c r="I10" s="1174" t="s">
        <v>1081</v>
      </c>
      <c r="J10" s="1174" t="s">
        <v>1081</v>
      </c>
      <c r="K10" s="1174" t="s">
        <v>1081</v>
      </c>
      <c r="L10" s="1174">
        <v>-3131</v>
      </c>
      <c r="M10" s="1174" t="s">
        <v>1081</v>
      </c>
      <c r="N10" s="1174" t="s">
        <v>1081</v>
      </c>
      <c r="O10" s="1174" t="s">
        <v>1081</v>
      </c>
      <c r="P10" s="1174" t="s">
        <v>1081</v>
      </c>
      <c r="Q10" s="1174" t="s">
        <v>1081</v>
      </c>
      <c r="R10" s="1174" t="s">
        <v>1081</v>
      </c>
      <c r="S10" s="1174" t="s">
        <v>1081</v>
      </c>
      <c r="T10" s="1173" t="s">
        <v>1081</v>
      </c>
    </row>
    <row r="11" spans="1:20">
      <c r="B11" s="1183" t="s">
        <v>1708</v>
      </c>
      <c r="C11" s="1174">
        <v>-16928.5</v>
      </c>
      <c r="D11" s="1174" t="s">
        <v>1081</v>
      </c>
      <c r="E11" s="1174" t="s">
        <v>1081</v>
      </c>
      <c r="F11" s="1174">
        <v>-16928.5</v>
      </c>
      <c r="G11" s="1174" t="s">
        <v>1081</v>
      </c>
      <c r="H11" s="1174" t="s">
        <v>1081</v>
      </c>
      <c r="I11" s="1174" t="s">
        <v>1081</v>
      </c>
      <c r="J11" s="1174">
        <v>-16928.5</v>
      </c>
      <c r="K11" s="1174" t="s">
        <v>1081</v>
      </c>
      <c r="L11" s="1174" t="s">
        <v>1081</v>
      </c>
      <c r="M11" s="1174" t="s">
        <v>1081</v>
      </c>
      <c r="N11" s="1174" t="s">
        <v>1081</v>
      </c>
      <c r="O11" s="1174" t="s">
        <v>1081</v>
      </c>
      <c r="P11" s="1174" t="s">
        <v>1081</v>
      </c>
      <c r="Q11" s="1174" t="s">
        <v>1081</v>
      </c>
      <c r="R11" s="1174" t="s">
        <v>1081</v>
      </c>
      <c r="S11" s="1174" t="s">
        <v>1081</v>
      </c>
      <c r="T11" s="1173" t="s">
        <v>1081</v>
      </c>
    </row>
    <row r="12" spans="1:20">
      <c r="B12" s="1187" t="s">
        <v>1709</v>
      </c>
      <c r="C12" s="1174">
        <v>-38043.699999999997</v>
      </c>
      <c r="D12" s="1174">
        <v>1590.2</v>
      </c>
      <c r="E12" s="1174" t="s">
        <v>1081</v>
      </c>
      <c r="F12" s="1174">
        <v>4202</v>
      </c>
      <c r="G12" s="1174" t="s">
        <v>1081</v>
      </c>
      <c r="H12" s="1174">
        <v>227.6</v>
      </c>
      <c r="I12" s="1174">
        <v>151.19999999999999</v>
      </c>
      <c r="J12" s="1174">
        <v>86.3</v>
      </c>
      <c r="K12" s="1174">
        <v>47.4</v>
      </c>
      <c r="L12" s="1174">
        <v>934.2</v>
      </c>
      <c r="M12" s="1174">
        <v>1397.6</v>
      </c>
      <c r="N12" s="1174">
        <v>-348</v>
      </c>
      <c r="O12" s="1174">
        <v>1705.7</v>
      </c>
      <c r="P12" s="1174">
        <v>-43876.1</v>
      </c>
      <c r="Q12" s="1174">
        <v>4.2</v>
      </c>
      <c r="R12" s="1174" t="s">
        <v>1081</v>
      </c>
      <c r="S12" s="1174" t="s">
        <v>1081</v>
      </c>
      <c r="T12" s="1173">
        <v>36</v>
      </c>
    </row>
    <row r="13" spans="1:20">
      <c r="B13" s="1186" t="s">
        <v>1710</v>
      </c>
      <c r="C13" s="1178">
        <v>526208.19999999995</v>
      </c>
      <c r="D13" s="1178">
        <v>274388.2</v>
      </c>
      <c r="E13" s="1174" t="s">
        <v>1081</v>
      </c>
      <c r="F13" s="1178">
        <v>-129118.5</v>
      </c>
      <c r="G13" s="1174" t="s">
        <v>1081</v>
      </c>
      <c r="H13" s="1174">
        <v>-7161.3</v>
      </c>
      <c r="I13" s="1174">
        <v>-8332.7000000000007</v>
      </c>
      <c r="J13" s="1174">
        <v>-21789.9</v>
      </c>
      <c r="K13" s="1174">
        <v>68.900000000000006</v>
      </c>
      <c r="L13" s="1174">
        <v>-69136.800000000003</v>
      </c>
      <c r="M13" s="1174">
        <v>-6431.5</v>
      </c>
      <c r="N13" s="1174">
        <v>-921.3</v>
      </c>
      <c r="O13" s="1174">
        <v>-15413.9</v>
      </c>
      <c r="P13" s="1178">
        <v>365687.6</v>
      </c>
      <c r="Q13" s="1178">
        <v>16181</v>
      </c>
      <c r="R13" s="1174" t="s">
        <v>1081</v>
      </c>
      <c r="S13" s="1178">
        <v>-1305.3</v>
      </c>
      <c r="T13" s="1177">
        <v>375.2</v>
      </c>
    </row>
    <row r="14" spans="1:20">
      <c r="B14" s="1185" t="s">
        <v>1711</v>
      </c>
      <c r="C14" s="1178">
        <v>11153</v>
      </c>
      <c r="D14" s="1178">
        <v>6459.9</v>
      </c>
      <c r="E14" s="1174" t="s">
        <v>1081</v>
      </c>
      <c r="F14" s="1178">
        <v>3054.2</v>
      </c>
      <c r="G14" s="1174" t="s">
        <v>1081</v>
      </c>
      <c r="H14" s="1174">
        <v>170.7</v>
      </c>
      <c r="I14" s="1174">
        <v>1110.0999999999999</v>
      </c>
      <c r="J14" s="1174" t="s">
        <v>1081</v>
      </c>
      <c r="K14" s="1174" t="s">
        <v>1081</v>
      </c>
      <c r="L14" s="1174">
        <v>1309.5999999999999</v>
      </c>
      <c r="M14" s="1174">
        <v>89.2</v>
      </c>
      <c r="N14" s="1174">
        <v>266.10000000000002</v>
      </c>
      <c r="O14" s="1174">
        <v>108.5</v>
      </c>
      <c r="P14" s="1178">
        <v>1191.4000000000001</v>
      </c>
      <c r="Q14" s="1174" t="s">
        <v>1081</v>
      </c>
      <c r="R14" s="1174" t="s">
        <v>1081</v>
      </c>
      <c r="S14" s="1178">
        <v>447.5</v>
      </c>
      <c r="T14" s="1173" t="s">
        <v>1081</v>
      </c>
    </row>
    <row r="15" spans="1:20">
      <c r="B15" s="1185" t="s">
        <v>1712</v>
      </c>
      <c r="C15" s="1174" t="s">
        <v>1081</v>
      </c>
      <c r="D15" s="1174" t="s">
        <v>1081</v>
      </c>
      <c r="E15" s="1178">
        <v>5728.5</v>
      </c>
      <c r="F15" s="1178">
        <v>-5728.5</v>
      </c>
      <c r="G15" s="1174" t="s">
        <v>1081</v>
      </c>
      <c r="H15" s="1174" t="s">
        <v>1081</v>
      </c>
      <c r="I15" s="1174" t="s">
        <v>1081</v>
      </c>
      <c r="J15" s="1174" t="s">
        <v>1081</v>
      </c>
      <c r="K15" s="1174" t="s">
        <v>1081</v>
      </c>
      <c r="L15" s="1174" t="s">
        <v>1081</v>
      </c>
      <c r="M15" s="1174" t="s">
        <v>1081</v>
      </c>
      <c r="N15" s="1174" t="s">
        <v>1081</v>
      </c>
      <c r="O15" s="1174">
        <v>-5728.5</v>
      </c>
      <c r="P15" s="1174" t="s">
        <v>1081</v>
      </c>
      <c r="Q15" s="1174" t="s">
        <v>1081</v>
      </c>
      <c r="R15" s="1174" t="s">
        <v>1081</v>
      </c>
      <c r="S15" s="1174" t="s">
        <v>1081</v>
      </c>
      <c r="T15" s="1173" t="s">
        <v>1081</v>
      </c>
    </row>
    <row r="16" spans="1:20">
      <c r="B16" s="1185" t="s">
        <v>1713</v>
      </c>
      <c r="C16" s="1178">
        <v>-112884.5</v>
      </c>
      <c r="D16" s="1178">
        <v>-265872.7</v>
      </c>
      <c r="E16" s="1178">
        <v>-5728.5</v>
      </c>
      <c r="F16" s="1178">
        <v>265564.3</v>
      </c>
      <c r="G16" s="1174">
        <v>11151</v>
      </c>
      <c r="H16" s="1174">
        <v>11391.5</v>
      </c>
      <c r="I16" s="1174">
        <v>53948.7</v>
      </c>
      <c r="J16" s="1174">
        <v>25921.7</v>
      </c>
      <c r="K16" s="1174" t="s">
        <v>1081</v>
      </c>
      <c r="L16" s="1174">
        <v>106008.8</v>
      </c>
      <c r="M16" s="1174">
        <v>9596.2000000000007</v>
      </c>
      <c r="N16" s="1174">
        <v>9888.9</v>
      </c>
      <c r="O16" s="1174">
        <v>37657.5</v>
      </c>
      <c r="P16" s="1178">
        <v>-165512.9</v>
      </c>
      <c r="Q16" s="1178">
        <v>-12408.5</v>
      </c>
      <c r="R16" s="1178">
        <v>3788.8</v>
      </c>
      <c r="S16" s="1178">
        <v>67354.2</v>
      </c>
      <c r="T16" s="1177">
        <v>-69.2</v>
      </c>
    </row>
    <row r="17" spans="2:20">
      <c r="B17" s="1183" t="s">
        <v>1714</v>
      </c>
      <c r="C17" s="1174">
        <v>-59982.8</v>
      </c>
      <c r="D17" s="1174" t="s">
        <v>1081</v>
      </c>
      <c r="E17" s="1174" t="s">
        <v>1081</v>
      </c>
      <c r="F17" s="1174">
        <v>-136.5</v>
      </c>
      <c r="G17" s="1174" t="s">
        <v>1081</v>
      </c>
      <c r="H17" s="1174" t="s">
        <v>1081</v>
      </c>
      <c r="I17" s="1174" t="s">
        <v>1081</v>
      </c>
      <c r="J17" s="1174" t="s">
        <v>1081</v>
      </c>
      <c r="K17" s="1174" t="s">
        <v>1081</v>
      </c>
      <c r="L17" s="1174">
        <v>-136.5</v>
      </c>
      <c r="M17" s="1174" t="s">
        <v>1081</v>
      </c>
      <c r="N17" s="1174" t="s">
        <v>1081</v>
      </c>
      <c r="O17" s="1174" t="s">
        <v>1081</v>
      </c>
      <c r="P17" s="1174">
        <v>-93861.2</v>
      </c>
      <c r="Q17" s="1174">
        <v>-12408.5</v>
      </c>
      <c r="R17" s="1174" t="s">
        <v>1081</v>
      </c>
      <c r="S17" s="1174">
        <v>46423.4</v>
      </c>
      <c r="T17" s="1173" t="s">
        <v>1081</v>
      </c>
    </row>
    <row r="18" spans="2:20">
      <c r="B18" s="1183" t="s">
        <v>1715</v>
      </c>
      <c r="C18" s="1174">
        <v>-45894.1</v>
      </c>
      <c r="D18" s="1174" t="s">
        <v>1081</v>
      </c>
      <c r="E18" s="1174" t="s">
        <v>1081</v>
      </c>
      <c r="F18" s="1174">
        <v>-102</v>
      </c>
      <c r="G18" s="1174" t="s">
        <v>1081</v>
      </c>
      <c r="H18" s="1174" t="s">
        <v>1081</v>
      </c>
      <c r="I18" s="1174" t="s">
        <v>1081</v>
      </c>
      <c r="J18" s="1174" t="s">
        <v>1081</v>
      </c>
      <c r="K18" s="1174" t="s">
        <v>1081</v>
      </c>
      <c r="L18" s="1174" t="s">
        <v>1081</v>
      </c>
      <c r="M18" s="1174">
        <v>-102</v>
      </c>
      <c r="N18" s="1174" t="s">
        <v>1081</v>
      </c>
      <c r="O18" s="1174" t="s">
        <v>1081</v>
      </c>
      <c r="P18" s="1174">
        <v>-68034.7</v>
      </c>
      <c r="Q18" s="1174" t="s">
        <v>1081</v>
      </c>
      <c r="R18" s="1174">
        <v>1311.8</v>
      </c>
      <c r="S18" s="1174">
        <v>20930.8</v>
      </c>
      <c r="T18" s="1173" t="s">
        <v>1081</v>
      </c>
    </row>
    <row r="19" spans="2:20">
      <c r="B19" s="1183" t="s">
        <v>1716</v>
      </c>
      <c r="C19" s="1174">
        <v>-818.6</v>
      </c>
      <c r="D19" s="1174" t="s">
        <v>1081</v>
      </c>
      <c r="E19" s="1174" t="s">
        <v>1081</v>
      </c>
      <c r="F19" s="1174">
        <v>-131.69999999999999</v>
      </c>
      <c r="G19" s="1174" t="s">
        <v>1081</v>
      </c>
      <c r="H19" s="1174" t="s">
        <v>1081</v>
      </c>
      <c r="I19" s="1174" t="s">
        <v>1081</v>
      </c>
      <c r="J19" s="1174" t="s">
        <v>1081</v>
      </c>
      <c r="K19" s="1174" t="s">
        <v>1081</v>
      </c>
      <c r="L19" s="1174" t="s">
        <v>1081</v>
      </c>
      <c r="M19" s="1174">
        <v>-131.69999999999999</v>
      </c>
      <c r="N19" s="1174" t="s">
        <v>1081</v>
      </c>
      <c r="O19" s="1174" t="s">
        <v>1081</v>
      </c>
      <c r="P19" s="1174">
        <v>-3163.9</v>
      </c>
      <c r="Q19" s="1174" t="s">
        <v>1081</v>
      </c>
      <c r="R19" s="1174">
        <v>2477</v>
      </c>
      <c r="S19" s="1174" t="s">
        <v>1081</v>
      </c>
      <c r="T19" s="1173" t="s">
        <v>1081</v>
      </c>
    </row>
    <row r="20" spans="2:20">
      <c r="B20" s="1183" t="s">
        <v>1060</v>
      </c>
      <c r="C20" s="1174">
        <v>2218.8000000000002</v>
      </c>
      <c r="D20" s="1174" t="s">
        <v>1081</v>
      </c>
      <c r="E20" s="1174" t="s">
        <v>1081</v>
      </c>
      <c r="F20" s="1174">
        <v>2671.9</v>
      </c>
      <c r="G20" s="1174" t="s">
        <v>1081</v>
      </c>
      <c r="H20" s="1174">
        <v>1242.5</v>
      </c>
      <c r="I20" s="1174" t="s">
        <v>1081</v>
      </c>
      <c r="J20" s="1174" t="s">
        <v>1081</v>
      </c>
      <c r="K20" s="1174" t="s">
        <v>1081</v>
      </c>
      <c r="L20" s="1174" t="s">
        <v>1081</v>
      </c>
      <c r="M20" s="1174" t="s">
        <v>1081</v>
      </c>
      <c r="N20" s="1174" t="s">
        <v>1081</v>
      </c>
      <c r="O20" s="1174">
        <v>1429.4</v>
      </c>
      <c r="P20" s="1174">
        <v>-453.1</v>
      </c>
      <c r="Q20" s="1174" t="s">
        <v>1081</v>
      </c>
      <c r="R20" s="1174" t="s">
        <v>1081</v>
      </c>
      <c r="S20" s="1174" t="s">
        <v>1081</v>
      </c>
      <c r="T20" s="1173" t="s">
        <v>1081</v>
      </c>
    </row>
    <row r="21" spans="2:20">
      <c r="B21" s="1183" t="s">
        <v>1717</v>
      </c>
      <c r="C21" s="1174">
        <v>-69.2</v>
      </c>
      <c r="D21" s="1174" t="s">
        <v>1081</v>
      </c>
      <c r="E21" s="1174" t="s">
        <v>1081</v>
      </c>
      <c r="F21" s="1174" t="s">
        <v>1081</v>
      </c>
      <c r="G21" s="1174" t="s">
        <v>1081</v>
      </c>
      <c r="H21" s="1174" t="s">
        <v>1081</v>
      </c>
      <c r="I21" s="1174" t="s">
        <v>1081</v>
      </c>
      <c r="J21" s="1174" t="s">
        <v>1081</v>
      </c>
      <c r="K21" s="1174" t="s">
        <v>1081</v>
      </c>
      <c r="L21" s="1174" t="s">
        <v>1081</v>
      </c>
      <c r="M21" s="1174" t="s">
        <v>1081</v>
      </c>
      <c r="N21" s="1174" t="s">
        <v>1081</v>
      </c>
      <c r="O21" s="1174" t="s">
        <v>1081</v>
      </c>
      <c r="P21" s="1174" t="s">
        <v>1081</v>
      </c>
      <c r="Q21" s="1174" t="s">
        <v>1081</v>
      </c>
      <c r="R21" s="1174" t="s">
        <v>1081</v>
      </c>
      <c r="S21" s="1174" t="s">
        <v>1081</v>
      </c>
      <c r="T21" s="1173">
        <v>-69.2</v>
      </c>
    </row>
    <row r="22" spans="2:20" ht="15">
      <c r="B22" s="1184" t="s">
        <v>1642</v>
      </c>
      <c r="C22" s="1174">
        <v>-9210.2999999999993</v>
      </c>
      <c r="D22" s="1174">
        <v>-265872.7</v>
      </c>
      <c r="E22" s="1174">
        <v>-5728.5</v>
      </c>
      <c r="F22" s="1174">
        <v>262390.90000000002</v>
      </c>
      <c r="G22" s="1174">
        <v>11151</v>
      </c>
      <c r="H22" s="1174">
        <v>10149</v>
      </c>
      <c r="I22" s="1174">
        <v>53948.7</v>
      </c>
      <c r="J22" s="1174">
        <v>25921.7</v>
      </c>
      <c r="K22" s="1174" t="s">
        <v>1081</v>
      </c>
      <c r="L22" s="1174">
        <v>106145.3</v>
      </c>
      <c r="M22" s="1174">
        <v>9829.9</v>
      </c>
      <c r="N22" s="1174">
        <v>9888.9</v>
      </c>
      <c r="O22" s="1174">
        <v>35356.400000000001</v>
      </c>
      <c r="P22" s="1174" t="s">
        <v>1081</v>
      </c>
      <c r="Q22" s="1174" t="s">
        <v>1081</v>
      </c>
      <c r="R22" s="1174" t="s">
        <v>1081</v>
      </c>
      <c r="S22" s="1174" t="s">
        <v>1081</v>
      </c>
      <c r="T22" s="1173" t="s">
        <v>1081</v>
      </c>
    </row>
    <row r="23" spans="2:20" ht="15">
      <c r="B23" s="1184" t="s">
        <v>1718</v>
      </c>
      <c r="C23" s="1174">
        <v>871.7</v>
      </c>
      <c r="D23" s="1174" t="s">
        <v>1081</v>
      </c>
      <c r="E23" s="1174" t="s">
        <v>1081</v>
      </c>
      <c r="F23" s="1174">
        <v>871.7</v>
      </c>
      <c r="G23" s="1174" t="s">
        <v>1081</v>
      </c>
      <c r="H23" s="1174" t="s">
        <v>1081</v>
      </c>
      <c r="I23" s="1174" t="s">
        <v>1081</v>
      </c>
      <c r="J23" s="1174" t="s">
        <v>1081</v>
      </c>
      <c r="K23" s="1174" t="s">
        <v>1081</v>
      </c>
      <c r="L23" s="1174" t="s">
        <v>1081</v>
      </c>
      <c r="M23" s="1174" t="s">
        <v>1081</v>
      </c>
      <c r="N23" s="1174" t="s">
        <v>1081</v>
      </c>
      <c r="O23" s="1174">
        <v>871.7</v>
      </c>
      <c r="P23" s="1174" t="s">
        <v>1081</v>
      </c>
      <c r="Q23" s="1174" t="s">
        <v>1081</v>
      </c>
      <c r="R23" s="1174" t="s">
        <v>1081</v>
      </c>
      <c r="S23" s="1174" t="s">
        <v>1081</v>
      </c>
      <c r="T23" s="1173" t="s">
        <v>1081</v>
      </c>
    </row>
    <row r="24" spans="2:20">
      <c r="B24" s="1183" t="s">
        <v>1719</v>
      </c>
      <c r="C24" s="1174" t="s">
        <v>1081</v>
      </c>
      <c r="D24" s="1174" t="s">
        <v>1081</v>
      </c>
      <c r="E24" s="1174" t="s">
        <v>1081</v>
      </c>
      <c r="F24" s="1174" t="s">
        <v>1081</v>
      </c>
      <c r="G24" s="1174" t="s">
        <v>1081</v>
      </c>
      <c r="H24" s="1174" t="s">
        <v>1081</v>
      </c>
      <c r="I24" s="1174" t="s">
        <v>1081</v>
      </c>
      <c r="J24" s="1174" t="s">
        <v>1081</v>
      </c>
      <c r="K24" s="1174" t="s">
        <v>1081</v>
      </c>
      <c r="L24" s="1174" t="s">
        <v>1081</v>
      </c>
      <c r="M24" s="1174" t="s">
        <v>1081</v>
      </c>
      <c r="N24" s="1174" t="s">
        <v>1081</v>
      </c>
      <c r="O24" s="1174" t="s">
        <v>1081</v>
      </c>
      <c r="P24" s="1174" t="s">
        <v>1081</v>
      </c>
      <c r="Q24" s="1174" t="s">
        <v>1081</v>
      </c>
      <c r="R24" s="1174" t="s">
        <v>1081</v>
      </c>
      <c r="S24" s="1174" t="s">
        <v>1081</v>
      </c>
      <c r="T24" s="1173" t="s">
        <v>1081</v>
      </c>
    </row>
    <row r="25" spans="2:20" ht="15">
      <c r="B25" s="1182" t="s">
        <v>1720</v>
      </c>
      <c r="C25" s="1178">
        <v>38973.800000000003</v>
      </c>
      <c r="D25" s="1178">
        <v>168.1</v>
      </c>
      <c r="E25" s="1174" t="s">
        <v>1081</v>
      </c>
      <c r="F25" s="1178">
        <v>17169.5</v>
      </c>
      <c r="G25" s="1174">
        <v>11151</v>
      </c>
      <c r="H25" s="1174" t="s">
        <v>1081</v>
      </c>
      <c r="I25" s="1174" t="s">
        <v>1081</v>
      </c>
      <c r="J25" s="1174" t="s">
        <v>1081</v>
      </c>
      <c r="K25" s="1174" t="s">
        <v>1081</v>
      </c>
      <c r="L25" s="1174">
        <v>85.3</v>
      </c>
      <c r="M25" s="1174">
        <v>696.7</v>
      </c>
      <c r="N25" s="1174" t="s">
        <v>1081</v>
      </c>
      <c r="O25" s="1174">
        <v>5236.5</v>
      </c>
      <c r="P25" s="1178">
        <v>12889.8</v>
      </c>
      <c r="Q25" s="1174" t="s">
        <v>1081</v>
      </c>
      <c r="R25" s="1178">
        <v>974.7</v>
      </c>
      <c r="S25" s="1178">
        <v>7771.7</v>
      </c>
      <c r="T25" s="1173" t="s">
        <v>1081</v>
      </c>
    </row>
    <row r="26" spans="2:20" ht="15">
      <c r="B26" s="1182" t="s">
        <v>1721</v>
      </c>
      <c r="C26" s="1178">
        <v>59811.7</v>
      </c>
      <c r="D26" s="1178">
        <v>1887.5</v>
      </c>
      <c r="E26" s="1174" t="s">
        <v>1081</v>
      </c>
      <c r="F26" s="1178"/>
      <c r="G26" s="1174" t="s">
        <v>1081</v>
      </c>
      <c r="H26" s="1174" t="s">
        <v>1081</v>
      </c>
      <c r="I26" s="1174" t="s">
        <v>1081</v>
      </c>
      <c r="J26" s="1174" t="s">
        <v>1081</v>
      </c>
      <c r="K26" s="1174" t="s">
        <v>1081</v>
      </c>
      <c r="L26" s="1174" t="s">
        <v>1081</v>
      </c>
      <c r="M26" s="1174" t="s">
        <v>1081</v>
      </c>
      <c r="N26" s="1174" t="s">
        <v>1081</v>
      </c>
      <c r="O26" s="1174" t="s">
        <v>1081</v>
      </c>
      <c r="P26" s="1178">
        <v>43630</v>
      </c>
      <c r="Q26" s="1174" t="s">
        <v>1081</v>
      </c>
      <c r="R26" s="1178">
        <v>505.8</v>
      </c>
      <c r="S26" s="1178">
        <v>13788.4</v>
      </c>
      <c r="T26" s="1173" t="s">
        <v>1081</v>
      </c>
    </row>
    <row r="27" spans="2:20" ht="15">
      <c r="B27" s="1182" t="s">
        <v>1722</v>
      </c>
      <c r="C27" s="1178">
        <v>303385.2</v>
      </c>
      <c r="D27" s="1174" t="s">
        <v>1081</v>
      </c>
      <c r="E27" s="1174" t="s">
        <v>1081</v>
      </c>
      <c r="F27" s="1178">
        <v>110493.6</v>
      </c>
      <c r="G27" s="1174" t="s">
        <v>1081</v>
      </c>
      <c r="H27" s="1174">
        <v>4059.5</v>
      </c>
      <c r="I27" s="1174">
        <v>44505.9</v>
      </c>
      <c r="J27" s="1174">
        <v>4131.8</v>
      </c>
      <c r="K27" s="1174">
        <v>68.900000000000006</v>
      </c>
      <c r="L27" s="1174">
        <v>35477.1</v>
      </c>
      <c r="M27" s="1174">
        <v>2378.8000000000002</v>
      </c>
      <c r="N27" s="1174">
        <v>8701.5</v>
      </c>
      <c r="O27" s="1174">
        <v>11170.1</v>
      </c>
      <c r="P27" s="1178">
        <v>142463.5</v>
      </c>
      <c r="Q27" s="1178">
        <v>3772.5</v>
      </c>
      <c r="R27" s="1178">
        <v>2308.3000000000002</v>
      </c>
      <c r="S27" s="1178">
        <v>44041.3</v>
      </c>
      <c r="T27" s="1177">
        <v>306</v>
      </c>
    </row>
    <row r="28" spans="2:20" ht="15">
      <c r="B28" s="1182" t="s">
        <v>1723</v>
      </c>
      <c r="C28" s="1178">
        <v>280902.3</v>
      </c>
      <c r="D28" s="1174" t="s">
        <v>1081</v>
      </c>
      <c r="E28" s="1174" t="s">
        <v>1081</v>
      </c>
      <c r="F28" s="1178">
        <v>89661.8</v>
      </c>
      <c r="G28" s="1174" t="s">
        <v>1081</v>
      </c>
      <c r="H28" s="1174">
        <v>3822.4</v>
      </c>
      <c r="I28" s="1174">
        <v>44505.9</v>
      </c>
      <c r="J28" s="1174">
        <v>3885.7</v>
      </c>
      <c r="K28" s="1174">
        <v>68.900000000000006</v>
      </c>
      <c r="L28" s="1174">
        <v>35477.1</v>
      </c>
      <c r="M28" s="1174">
        <v>1869</v>
      </c>
      <c r="N28" s="1174">
        <v>32.799999999999997</v>
      </c>
      <c r="O28" s="1174" t="s">
        <v>1081</v>
      </c>
      <c r="P28" s="1178">
        <v>140944.1</v>
      </c>
      <c r="Q28" s="1178">
        <v>3772.5</v>
      </c>
      <c r="R28" s="1178">
        <v>2308.3000000000002</v>
      </c>
      <c r="S28" s="1178">
        <v>44041.3</v>
      </c>
      <c r="T28" s="1177">
        <v>174.1</v>
      </c>
    </row>
    <row r="29" spans="2:20">
      <c r="B29" s="1181" t="s">
        <v>1725</v>
      </c>
      <c r="C29" s="1178">
        <v>33379.199999999997</v>
      </c>
      <c r="D29" s="1174" t="s">
        <v>1081</v>
      </c>
      <c r="E29" s="1174" t="s">
        <v>1081</v>
      </c>
      <c r="F29" s="1178">
        <v>3224.3</v>
      </c>
      <c r="G29" s="1174" t="s">
        <v>1081</v>
      </c>
      <c r="H29" s="1174">
        <v>246.5</v>
      </c>
      <c r="I29" s="1174" t="s">
        <v>1081</v>
      </c>
      <c r="J29" s="1174">
        <v>4.3</v>
      </c>
      <c r="K29" s="1174">
        <v>4.3</v>
      </c>
      <c r="L29" s="1174">
        <v>1271.3</v>
      </c>
      <c r="M29" s="1174">
        <v>1665.1</v>
      </c>
      <c r="N29" s="1174">
        <v>32.799999999999997</v>
      </c>
      <c r="O29" s="1174" t="s">
        <v>1081</v>
      </c>
      <c r="P29" s="1178">
        <v>23818.7</v>
      </c>
      <c r="Q29" s="1178">
        <v>2.1</v>
      </c>
      <c r="R29" s="1178">
        <v>6.7</v>
      </c>
      <c r="S29" s="1178">
        <v>6327.4</v>
      </c>
      <c r="T29" s="1177" t="s">
        <v>1081</v>
      </c>
    </row>
    <row r="30" spans="2:20" ht="15">
      <c r="B30" s="1176" t="s">
        <v>1727</v>
      </c>
      <c r="C30" s="1174">
        <v>2199.9</v>
      </c>
      <c r="D30" s="1174" t="s">
        <v>1081</v>
      </c>
      <c r="E30" s="1174" t="s">
        <v>1081</v>
      </c>
      <c r="F30" s="1174">
        <v>144.9</v>
      </c>
      <c r="G30" s="1174" t="s">
        <v>1081</v>
      </c>
      <c r="H30" s="1174">
        <v>4.7</v>
      </c>
      <c r="I30" s="1174" t="s">
        <v>1081</v>
      </c>
      <c r="J30" s="1174" t="s">
        <v>1081</v>
      </c>
      <c r="K30" s="1174" t="s">
        <v>1081</v>
      </c>
      <c r="L30" s="1174" t="s">
        <v>1081</v>
      </c>
      <c r="M30" s="1174">
        <v>140.19999999999999</v>
      </c>
      <c r="N30" s="1174" t="s">
        <v>1081</v>
      </c>
      <c r="O30" s="1174" t="s">
        <v>1081</v>
      </c>
      <c r="P30" s="1174">
        <v>902.3</v>
      </c>
      <c r="Q30" s="1174" t="s">
        <v>1081</v>
      </c>
      <c r="R30" s="1174" t="s">
        <v>1081</v>
      </c>
      <c r="S30" s="1174">
        <v>1152.7</v>
      </c>
      <c r="T30" s="1173" t="s">
        <v>1081</v>
      </c>
    </row>
    <row r="31" spans="2:20" ht="15">
      <c r="B31" s="1176" t="s">
        <v>1729</v>
      </c>
      <c r="C31" s="1174">
        <v>8763.5</v>
      </c>
      <c r="D31" s="1174" t="s">
        <v>1081</v>
      </c>
      <c r="E31" s="1174" t="s">
        <v>1081</v>
      </c>
      <c r="F31" s="1174">
        <v>46.1</v>
      </c>
      <c r="G31" s="1174" t="s">
        <v>1081</v>
      </c>
      <c r="H31" s="1174">
        <v>4.7</v>
      </c>
      <c r="I31" s="1174" t="s">
        <v>1081</v>
      </c>
      <c r="J31" s="1174" t="s">
        <v>1081</v>
      </c>
      <c r="K31" s="1174">
        <v>4.3</v>
      </c>
      <c r="L31" s="1174">
        <v>4.3</v>
      </c>
      <c r="M31" s="1174" t="s">
        <v>1081</v>
      </c>
      <c r="N31" s="1174">
        <v>32.799999999999997</v>
      </c>
      <c r="O31" s="1174" t="s">
        <v>1081</v>
      </c>
      <c r="P31" s="1174">
        <v>7913.5</v>
      </c>
      <c r="Q31" s="1174" t="s">
        <v>1081</v>
      </c>
      <c r="R31" s="1174" t="s">
        <v>1081</v>
      </c>
      <c r="S31" s="1174">
        <v>803.9</v>
      </c>
      <c r="T31" s="1173" t="s">
        <v>1081</v>
      </c>
    </row>
    <row r="32" spans="2:20" ht="15">
      <c r="B32" s="1176" t="s">
        <v>1730</v>
      </c>
      <c r="C32" s="1174">
        <v>353.3</v>
      </c>
      <c r="D32" s="1174" t="s">
        <v>1081</v>
      </c>
      <c r="E32" s="1174" t="s">
        <v>1081</v>
      </c>
      <c r="F32" s="1174">
        <v>21.2</v>
      </c>
      <c r="G32" s="1174" t="s">
        <v>1081</v>
      </c>
      <c r="H32" s="1174" t="s">
        <v>1081</v>
      </c>
      <c r="I32" s="1174" t="s">
        <v>1081</v>
      </c>
      <c r="J32" s="1174" t="s">
        <v>1081</v>
      </c>
      <c r="K32" s="1174" t="s">
        <v>1081</v>
      </c>
      <c r="L32" s="1174" t="s">
        <v>1081</v>
      </c>
      <c r="M32" s="1174">
        <v>21.2</v>
      </c>
      <c r="N32" s="1174" t="s">
        <v>1081</v>
      </c>
      <c r="O32" s="1174" t="s">
        <v>1081</v>
      </c>
      <c r="P32" s="1174">
        <v>300.8</v>
      </c>
      <c r="Q32" s="1174" t="s">
        <v>1081</v>
      </c>
      <c r="R32" s="1174" t="s">
        <v>1081</v>
      </c>
      <c r="S32" s="1174">
        <v>31.3</v>
      </c>
      <c r="T32" s="1173" t="s">
        <v>1081</v>
      </c>
    </row>
    <row r="33" spans="2:20" ht="15">
      <c r="B33" s="1176" t="s">
        <v>1732</v>
      </c>
      <c r="C33" s="1174">
        <v>5130.8999999999996</v>
      </c>
      <c r="D33" s="1174" t="s">
        <v>1081</v>
      </c>
      <c r="E33" s="1174" t="s">
        <v>1081</v>
      </c>
      <c r="F33" s="1174">
        <v>72.3</v>
      </c>
      <c r="G33" s="1174" t="s">
        <v>1081</v>
      </c>
      <c r="H33" s="1174" t="s">
        <v>1081</v>
      </c>
      <c r="I33" s="1174" t="s">
        <v>1081</v>
      </c>
      <c r="J33" s="1174" t="s">
        <v>1081</v>
      </c>
      <c r="K33" s="1174" t="s">
        <v>1081</v>
      </c>
      <c r="L33" s="1174">
        <v>4.3</v>
      </c>
      <c r="M33" s="1174">
        <v>68</v>
      </c>
      <c r="N33" s="1174" t="s">
        <v>1081</v>
      </c>
      <c r="O33" s="1174" t="s">
        <v>1081</v>
      </c>
      <c r="P33" s="1174">
        <v>4491.8999999999996</v>
      </c>
      <c r="Q33" s="1174" t="s">
        <v>1081</v>
      </c>
      <c r="R33" s="1174">
        <v>0.8</v>
      </c>
      <c r="S33" s="1174">
        <v>565.9</v>
      </c>
      <c r="T33" s="1173" t="s">
        <v>1081</v>
      </c>
    </row>
    <row r="34" spans="2:20" ht="15">
      <c r="B34" s="1176" t="s">
        <v>1734</v>
      </c>
      <c r="C34" s="1174">
        <v>247</v>
      </c>
      <c r="D34" s="1174" t="s">
        <v>1081</v>
      </c>
      <c r="E34" s="1174" t="s">
        <v>1081</v>
      </c>
      <c r="F34" s="1174">
        <v>4.3</v>
      </c>
      <c r="G34" s="1174" t="s">
        <v>1081</v>
      </c>
      <c r="H34" s="1174" t="s">
        <v>1081</v>
      </c>
      <c r="I34" s="1174" t="s">
        <v>1081</v>
      </c>
      <c r="J34" s="1174" t="s">
        <v>1081</v>
      </c>
      <c r="K34" s="1174" t="s">
        <v>1081</v>
      </c>
      <c r="L34" s="1174">
        <v>4.3</v>
      </c>
      <c r="M34" s="1174" t="s">
        <v>1081</v>
      </c>
      <c r="N34" s="1174" t="s">
        <v>1081</v>
      </c>
      <c r="O34" s="1174" t="s">
        <v>1081</v>
      </c>
      <c r="P34" s="1174">
        <v>203.1</v>
      </c>
      <c r="Q34" s="1174" t="s">
        <v>1081</v>
      </c>
      <c r="R34" s="1174" t="s">
        <v>1081</v>
      </c>
      <c r="S34" s="1174">
        <v>39.6</v>
      </c>
      <c r="T34" s="1173" t="s">
        <v>1081</v>
      </c>
    </row>
    <row r="35" spans="2:20" ht="15">
      <c r="B35" s="1176" t="s">
        <v>1010</v>
      </c>
      <c r="C35" s="1174">
        <v>955.8</v>
      </c>
      <c r="D35" s="1174" t="s">
        <v>1081</v>
      </c>
      <c r="E35" s="1174" t="s">
        <v>1081</v>
      </c>
      <c r="F35" s="1174">
        <v>4.3</v>
      </c>
      <c r="G35" s="1174" t="s">
        <v>1081</v>
      </c>
      <c r="H35" s="1174" t="s">
        <v>1081</v>
      </c>
      <c r="I35" s="1174" t="s">
        <v>1081</v>
      </c>
      <c r="J35" s="1174" t="s">
        <v>1081</v>
      </c>
      <c r="K35" s="1174" t="s">
        <v>1081</v>
      </c>
      <c r="L35" s="1174">
        <v>4.3</v>
      </c>
      <c r="M35" s="1174" t="s">
        <v>1081</v>
      </c>
      <c r="N35" s="1174" t="s">
        <v>1081</v>
      </c>
      <c r="O35" s="1174" t="s">
        <v>1081</v>
      </c>
      <c r="P35" s="1174">
        <v>546.79999999999995</v>
      </c>
      <c r="Q35" s="1174" t="s">
        <v>1081</v>
      </c>
      <c r="R35" s="1174" t="s">
        <v>1081</v>
      </c>
      <c r="S35" s="1174">
        <v>404.7</v>
      </c>
      <c r="T35" s="1173" t="s">
        <v>1081</v>
      </c>
    </row>
    <row r="36" spans="2:20">
      <c r="B36" s="1175" t="s">
        <v>948</v>
      </c>
      <c r="C36" s="1174">
        <v>729</v>
      </c>
      <c r="D36" s="1174" t="s">
        <v>1081</v>
      </c>
      <c r="E36" s="1174" t="s">
        <v>1081</v>
      </c>
      <c r="F36" s="1174">
        <v>281.60000000000002</v>
      </c>
      <c r="G36" s="1174" t="s">
        <v>1081</v>
      </c>
      <c r="H36" s="1174">
        <v>4.7</v>
      </c>
      <c r="I36" s="1174" t="s">
        <v>1081</v>
      </c>
      <c r="J36" s="1174" t="s">
        <v>1081</v>
      </c>
      <c r="K36" s="1174" t="s">
        <v>1081</v>
      </c>
      <c r="L36" s="1174">
        <v>196.2</v>
      </c>
      <c r="M36" s="1174">
        <v>80.7</v>
      </c>
      <c r="N36" s="1174" t="s">
        <v>1081</v>
      </c>
      <c r="O36" s="1174" t="s">
        <v>1081</v>
      </c>
      <c r="P36" s="1174">
        <v>175.8</v>
      </c>
      <c r="Q36" s="1174" t="s">
        <v>1081</v>
      </c>
      <c r="R36" s="1174">
        <v>5.9</v>
      </c>
      <c r="S36" s="1174">
        <v>265.7</v>
      </c>
      <c r="T36" s="1173" t="s">
        <v>1081</v>
      </c>
    </row>
    <row r="37" spans="2:20">
      <c r="B37" s="1175" t="s">
        <v>1738</v>
      </c>
      <c r="C37" s="1174">
        <v>9633.1</v>
      </c>
      <c r="D37" s="1174" t="s">
        <v>1081</v>
      </c>
      <c r="E37" s="1174" t="s">
        <v>1081</v>
      </c>
      <c r="F37" s="1174">
        <v>900</v>
      </c>
      <c r="G37" s="1174" t="s">
        <v>1081</v>
      </c>
      <c r="H37" s="1174">
        <v>28.5</v>
      </c>
      <c r="I37" s="1174" t="s">
        <v>1081</v>
      </c>
      <c r="J37" s="1174" t="s">
        <v>1081</v>
      </c>
      <c r="K37" s="1174" t="s">
        <v>1081</v>
      </c>
      <c r="L37" s="1174">
        <v>162.1</v>
      </c>
      <c r="M37" s="1174">
        <v>709.4</v>
      </c>
      <c r="N37" s="1174" t="s">
        <v>1081</v>
      </c>
      <c r="O37" s="1174" t="s">
        <v>1081</v>
      </c>
      <c r="P37" s="1174">
        <v>7815.9</v>
      </c>
      <c r="Q37" s="1174">
        <v>2.1</v>
      </c>
      <c r="R37" s="1174" t="s">
        <v>1081</v>
      </c>
      <c r="S37" s="1174">
        <v>915.1</v>
      </c>
      <c r="T37" s="1173" t="s">
        <v>1081</v>
      </c>
    </row>
    <row r="38" spans="2:20">
      <c r="B38" s="1175" t="s">
        <v>1740</v>
      </c>
      <c r="C38" s="1174">
        <v>75</v>
      </c>
      <c r="D38" s="1174" t="s">
        <v>1081</v>
      </c>
      <c r="E38" s="1174" t="s">
        <v>1081</v>
      </c>
      <c r="F38" s="1174" t="s">
        <v>1081</v>
      </c>
      <c r="G38" s="1174" t="s">
        <v>1081</v>
      </c>
      <c r="H38" s="1174" t="s">
        <v>1081</v>
      </c>
      <c r="I38" s="1174" t="s">
        <v>1081</v>
      </c>
      <c r="J38" s="1174" t="s">
        <v>1081</v>
      </c>
      <c r="K38" s="1174" t="s">
        <v>1081</v>
      </c>
      <c r="L38" s="1174" t="s">
        <v>1081</v>
      </c>
      <c r="M38" s="1174" t="s">
        <v>1081</v>
      </c>
      <c r="N38" s="1174" t="s">
        <v>1081</v>
      </c>
      <c r="O38" s="1174" t="s">
        <v>1081</v>
      </c>
      <c r="P38" s="1174">
        <v>46.9</v>
      </c>
      <c r="Q38" s="1174" t="s">
        <v>1081</v>
      </c>
      <c r="R38" s="1174" t="s">
        <v>1081</v>
      </c>
      <c r="S38" s="1174">
        <v>28.1</v>
      </c>
      <c r="T38" s="1173" t="s">
        <v>1081</v>
      </c>
    </row>
    <row r="39" spans="2:20" ht="15">
      <c r="B39" s="1176" t="s">
        <v>1742</v>
      </c>
      <c r="C39" s="1174">
        <v>22.9</v>
      </c>
      <c r="D39" s="1174" t="s">
        <v>1081</v>
      </c>
      <c r="E39" s="1174" t="s">
        <v>1081</v>
      </c>
      <c r="F39" s="1174" t="s">
        <v>1081</v>
      </c>
      <c r="G39" s="1174" t="s">
        <v>1081</v>
      </c>
      <c r="H39" s="1174" t="s">
        <v>1081</v>
      </c>
      <c r="I39" s="1174" t="s">
        <v>1081</v>
      </c>
      <c r="J39" s="1174" t="s">
        <v>1081</v>
      </c>
      <c r="K39" s="1174" t="s">
        <v>1081</v>
      </c>
      <c r="L39" s="1174" t="s">
        <v>1081</v>
      </c>
      <c r="M39" s="1174" t="s">
        <v>1081</v>
      </c>
      <c r="N39" s="1174" t="s">
        <v>1081</v>
      </c>
      <c r="O39" s="1174" t="s">
        <v>1081</v>
      </c>
      <c r="P39" s="1174">
        <v>7.8</v>
      </c>
      <c r="Q39" s="1174" t="s">
        <v>1081</v>
      </c>
      <c r="R39" s="1174" t="s">
        <v>1081</v>
      </c>
      <c r="S39" s="1174">
        <v>15.1</v>
      </c>
      <c r="T39" s="1173" t="s">
        <v>1081</v>
      </c>
    </row>
    <row r="40" spans="2:20">
      <c r="B40" s="1175" t="s">
        <v>1744</v>
      </c>
      <c r="C40" s="1174">
        <v>348.5</v>
      </c>
      <c r="D40" s="1174" t="s">
        <v>1081</v>
      </c>
      <c r="E40" s="1174" t="s">
        <v>1081</v>
      </c>
      <c r="F40" s="1174">
        <v>17</v>
      </c>
      <c r="G40" s="1174" t="s">
        <v>1081</v>
      </c>
      <c r="H40" s="1174" t="s">
        <v>1081</v>
      </c>
      <c r="I40" s="1174" t="s">
        <v>1081</v>
      </c>
      <c r="J40" s="1174" t="s">
        <v>1081</v>
      </c>
      <c r="K40" s="1174" t="s">
        <v>1081</v>
      </c>
      <c r="L40" s="1174">
        <v>8.5</v>
      </c>
      <c r="M40" s="1174">
        <v>8.5</v>
      </c>
      <c r="N40" s="1174" t="s">
        <v>1081</v>
      </c>
      <c r="O40" s="1174" t="s">
        <v>1081</v>
      </c>
      <c r="P40" s="1174">
        <v>136.69999999999999</v>
      </c>
      <c r="Q40" s="1174" t="s">
        <v>1081</v>
      </c>
      <c r="R40" s="1174" t="s">
        <v>1081</v>
      </c>
      <c r="S40" s="1174">
        <v>194.8</v>
      </c>
      <c r="T40" s="1173" t="s">
        <v>1081</v>
      </c>
    </row>
    <row r="41" spans="2:20">
      <c r="B41" s="1175" t="s">
        <v>1000</v>
      </c>
      <c r="C41" s="1180">
        <v>4250.2</v>
      </c>
      <c r="D41" s="1174" t="s">
        <v>1081</v>
      </c>
      <c r="E41" s="1174" t="s">
        <v>1081</v>
      </c>
      <c r="F41" s="1180">
        <v>1714.1</v>
      </c>
      <c r="G41" s="1174" t="s">
        <v>1081</v>
      </c>
      <c r="H41" s="1174">
        <v>189.7</v>
      </c>
      <c r="I41" s="1174" t="s">
        <v>1081</v>
      </c>
      <c r="J41" s="1174">
        <v>4.3</v>
      </c>
      <c r="K41" s="1174" t="s">
        <v>1081</v>
      </c>
      <c r="L41" s="1180">
        <v>883</v>
      </c>
      <c r="M41" s="1180">
        <v>637.1</v>
      </c>
      <c r="N41" s="1174" t="s">
        <v>1081</v>
      </c>
      <c r="O41" s="1174" t="s">
        <v>1081</v>
      </c>
      <c r="P41" s="1180">
        <v>789</v>
      </c>
      <c r="Q41" s="1174" t="s">
        <v>1081</v>
      </c>
      <c r="R41" s="1174" t="s">
        <v>1081</v>
      </c>
      <c r="S41" s="1180">
        <v>1747.1</v>
      </c>
      <c r="T41" s="1173" t="s">
        <v>1081</v>
      </c>
    </row>
    <row r="42" spans="2:20" ht="15">
      <c r="B42" s="1176" t="s">
        <v>1745</v>
      </c>
      <c r="C42" s="1174">
        <v>670.1</v>
      </c>
      <c r="D42" s="1174" t="s">
        <v>1081</v>
      </c>
      <c r="E42" s="1174" t="s">
        <v>1081</v>
      </c>
      <c r="F42" s="1174">
        <v>18.5</v>
      </c>
      <c r="G42" s="1174" t="s">
        <v>1081</v>
      </c>
      <c r="H42" s="1174">
        <v>14.2</v>
      </c>
      <c r="I42" s="1174" t="s">
        <v>1081</v>
      </c>
      <c r="J42" s="1174" t="s">
        <v>1081</v>
      </c>
      <c r="K42" s="1174" t="s">
        <v>1081</v>
      </c>
      <c r="L42" s="1174">
        <v>4.3</v>
      </c>
      <c r="M42" s="1174" t="s">
        <v>1081</v>
      </c>
      <c r="N42" s="1174" t="s">
        <v>1081</v>
      </c>
      <c r="O42" s="1174" t="s">
        <v>1081</v>
      </c>
      <c r="P42" s="1174">
        <v>488.2</v>
      </c>
      <c r="Q42" s="1174" t="s">
        <v>1081</v>
      </c>
      <c r="R42" s="1174" t="s">
        <v>1081</v>
      </c>
      <c r="S42" s="1174">
        <v>163.4</v>
      </c>
      <c r="T42" s="1173" t="s">
        <v>1081</v>
      </c>
    </row>
    <row r="43" spans="2:20" ht="15">
      <c r="B43" s="1179" t="s">
        <v>994</v>
      </c>
      <c r="C43" s="1178">
        <v>71350.899999999994</v>
      </c>
      <c r="D43" s="1174" t="s">
        <v>1081</v>
      </c>
      <c r="E43" s="1174" t="s">
        <v>1081</v>
      </c>
      <c r="F43" s="1178">
        <v>69214.7</v>
      </c>
      <c r="G43" s="1174" t="s">
        <v>1081</v>
      </c>
      <c r="H43" s="1174">
        <v>901.1</v>
      </c>
      <c r="I43" s="1174">
        <v>43978.9</v>
      </c>
      <c r="J43" s="1174">
        <v>3881.4</v>
      </c>
      <c r="K43" s="1174" t="s">
        <v>1081</v>
      </c>
      <c r="L43" s="1174">
        <v>20398.099999999999</v>
      </c>
      <c r="M43" s="1174">
        <v>55.2</v>
      </c>
      <c r="N43" s="1174" t="s">
        <v>1081</v>
      </c>
      <c r="O43" s="1174" t="s">
        <v>1081</v>
      </c>
      <c r="P43" s="1178" t="s">
        <v>1081</v>
      </c>
      <c r="Q43" s="1178">
        <v>2.1</v>
      </c>
      <c r="R43" s="1174" t="s">
        <v>1081</v>
      </c>
      <c r="S43" s="1178">
        <v>1959.8</v>
      </c>
      <c r="T43" s="1177">
        <v>174.3</v>
      </c>
    </row>
    <row r="44" spans="2:20">
      <c r="B44" s="1175" t="s">
        <v>1747</v>
      </c>
      <c r="C44" s="1174">
        <v>64010.8</v>
      </c>
      <c r="D44" s="1174" t="s">
        <v>1081</v>
      </c>
      <c r="E44" s="1174" t="s">
        <v>1081</v>
      </c>
      <c r="F44" s="1174">
        <v>64010.8</v>
      </c>
      <c r="G44" s="1174" t="s">
        <v>1081</v>
      </c>
      <c r="H44" s="1174">
        <v>896.4</v>
      </c>
      <c r="I44" s="1174">
        <v>43978.9</v>
      </c>
      <c r="J44" s="1174" t="s">
        <v>1081</v>
      </c>
      <c r="K44" s="1174" t="s">
        <v>1081</v>
      </c>
      <c r="L44" s="1174">
        <v>19135.5</v>
      </c>
      <c r="M44" s="1174" t="s">
        <v>1081</v>
      </c>
      <c r="N44" s="1174" t="s">
        <v>1081</v>
      </c>
      <c r="O44" s="1174" t="s">
        <v>1081</v>
      </c>
      <c r="P44" s="1174" t="s">
        <v>1081</v>
      </c>
      <c r="Q44" s="1174" t="s">
        <v>1081</v>
      </c>
      <c r="R44" s="1174" t="s">
        <v>1081</v>
      </c>
      <c r="S44" s="1174" t="s">
        <v>1081</v>
      </c>
      <c r="T44" s="1173" t="s">
        <v>1081</v>
      </c>
    </row>
    <row r="45" spans="2:20" ht="15">
      <c r="B45" s="1176" t="s">
        <v>992</v>
      </c>
      <c r="C45" s="1174">
        <v>1875.8</v>
      </c>
      <c r="D45" s="1174" t="s">
        <v>1081</v>
      </c>
      <c r="E45" s="1174" t="s">
        <v>1081</v>
      </c>
      <c r="F45" s="1174">
        <v>140.6</v>
      </c>
      <c r="G45" s="1174" t="s">
        <v>1081</v>
      </c>
      <c r="H45" s="1174" t="s">
        <v>1081</v>
      </c>
      <c r="I45" s="1174" t="s">
        <v>1081</v>
      </c>
      <c r="J45" s="1174" t="s">
        <v>1081</v>
      </c>
      <c r="K45" s="1174" t="s">
        <v>1081</v>
      </c>
      <c r="L45" s="1174">
        <v>102.4</v>
      </c>
      <c r="M45" s="1174">
        <v>38.200000000000003</v>
      </c>
      <c r="N45" s="1174" t="s">
        <v>1081</v>
      </c>
      <c r="O45" s="1174" t="s">
        <v>1081</v>
      </c>
      <c r="P45" s="1174" t="s">
        <v>1081</v>
      </c>
      <c r="Q45" s="1174">
        <v>2.1</v>
      </c>
      <c r="R45" s="1174" t="s">
        <v>1081</v>
      </c>
      <c r="S45" s="1174">
        <v>1558.8</v>
      </c>
      <c r="T45" s="1173">
        <v>174.3</v>
      </c>
    </row>
    <row r="46" spans="2:20">
      <c r="B46" s="1175" t="s">
        <v>986</v>
      </c>
      <c r="C46" s="1174">
        <v>3881.4</v>
      </c>
      <c r="D46" s="1174" t="s">
        <v>1081</v>
      </c>
      <c r="E46" s="1174" t="s">
        <v>1081</v>
      </c>
      <c r="F46" s="1174">
        <v>3881.4</v>
      </c>
      <c r="G46" s="1174" t="s">
        <v>1081</v>
      </c>
      <c r="H46" s="1174" t="s">
        <v>1081</v>
      </c>
      <c r="I46" s="1174" t="s">
        <v>1081</v>
      </c>
      <c r="J46" s="1174">
        <v>3881.4</v>
      </c>
      <c r="K46" s="1174" t="s">
        <v>1081</v>
      </c>
      <c r="L46" s="1174" t="s">
        <v>1081</v>
      </c>
      <c r="M46" s="1174" t="s">
        <v>1081</v>
      </c>
      <c r="N46" s="1174" t="s">
        <v>1081</v>
      </c>
      <c r="O46" s="1174" t="s">
        <v>1081</v>
      </c>
      <c r="P46" s="1174" t="s">
        <v>1081</v>
      </c>
      <c r="Q46" s="1174" t="s">
        <v>1081</v>
      </c>
      <c r="R46" s="1174" t="s">
        <v>1081</v>
      </c>
      <c r="S46" s="1174" t="s">
        <v>1081</v>
      </c>
      <c r="T46" s="1173" t="s">
        <v>1081</v>
      </c>
    </row>
    <row r="47" spans="2:20">
      <c r="B47" s="1175" t="s">
        <v>1750</v>
      </c>
      <c r="C47" s="1174">
        <v>1177.2</v>
      </c>
      <c r="D47" s="1174" t="s">
        <v>1081</v>
      </c>
      <c r="E47" s="1174" t="s">
        <v>1081</v>
      </c>
      <c r="F47" s="1174">
        <v>1177.2</v>
      </c>
      <c r="G47" s="1174" t="s">
        <v>1081</v>
      </c>
      <c r="H47" s="1174" t="s">
        <v>1081</v>
      </c>
      <c r="I47" s="1174" t="s">
        <v>1081</v>
      </c>
      <c r="J47" s="1174" t="s">
        <v>1081</v>
      </c>
      <c r="K47" s="1174" t="s">
        <v>1081</v>
      </c>
      <c r="L47" s="1174">
        <v>1160.2</v>
      </c>
      <c r="M47" s="1174">
        <v>17</v>
      </c>
      <c r="N47" s="1174" t="s">
        <v>1081</v>
      </c>
      <c r="O47" s="1174" t="s">
        <v>1081</v>
      </c>
      <c r="P47" s="1174" t="s">
        <v>1081</v>
      </c>
      <c r="Q47" s="1174" t="s">
        <v>1081</v>
      </c>
      <c r="R47" s="1174" t="s">
        <v>1081</v>
      </c>
      <c r="S47" s="1174" t="s">
        <v>1081</v>
      </c>
      <c r="T47" s="1173" t="s">
        <v>1081</v>
      </c>
    </row>
    <row r="48" spans="2:20">
      <c r="B48" s="1175" t="s">
        <v>1772</v>
      </c>
      <c r="C48" s="1174">
        <v>405.7</v>
      </c>
      <c r="D48" s="1174" t="s">
        <v>1081</v>
      </c>
      <c r="E48" s="1174" t="s">
        <v>1081</v>
      </c>
      <c r="F48" s="1174">
        <v>4.7</v>
      </c>
      <c r="G48" s="1174" t="s">
        <v>1081</v>
      </c>
      <c r="H48" s="1174">
        <v>4.7</v>
      </c>
      <c r="I48" s="1174" t="s">
        <v>1081</v>
      </c>
      <c r="J48" s="1174" t="s">
        <v>1081</v>
      </c>
      <c r="K48" s="1174" t="s">
        <v>1081</v>
      </c>
      <c r="L48" s="1174" t="s">
        <v>1081</v>
      </c>
      <c r="M48" s="1174" t="s">
        <v>1081</v>
      </c>
      <c r="N48" s="1174" t="s">
        <v>1081</v>
      </c>
      <c r="O48" s="1174" t="s">
        <v>1081</v>
      </c>
      <c r="P48" s="1174" t="s">
        <v>1081</v>
      </c>
      <c r="Q48" s="1174" t="s">
        <v>1081</v>
      </c>
      <c r="R48" s="1174" t="s">
        <v>1081</v>
      </c>
      <c r="S48" s="1174">
        <v>401</v>
      </c>
      <c r="T48" s="1173" t="s">
        <v>1081</v>
      </c>
    </row>
    <row r="49" spans="2:20" ht="15">
      <c r="B49" s="1163" t="s">
        <v>1752</v>
      </c>
      <c r="C49" s="1174" t="s">
        <v>1081</v>
      </c>
      <c r="D49" s="1174" t="s">
        <v>1081</v>
      </c>
      <c r="E49" s="1174" t="s">
        <v>1081</v>
      </c>
      <c r="F49" s="1174" t="s">
        <v>1081</v>
      </c>
      <c r="G49" s="1174" t="s">
        <v>1081</v>
      </c>
      <c r="H49" s="1174" t="s">
        <v>1081</v>
      </c>
      <c r="I49" s="1174" t="s">
        <v>1081</v>
      </c>
      <c r="J49" s="1174" t="s">
        <v>1081</v>
      </c>
      <c r="K49" s="1174" t="s">
        <v>1081</v>
      </c>
      <c r="L49" s="1174" t="s">
        <v>1081</v>
      </c>
      <c r="M49" s="1174" t="s">
        <v>1081</v>
      </c>
      <c r="N49" s="1174" t="s">
        <v>1081</v>
      </c>
      <c r="O49" s="1174" t="s">
        <v>1081</v>
      </c>
      <c r="P49" s="1174" t="s">
        <v>1081</v>
      </c>
      <c r="Q49" s="1174" t="s">
        <v>1081</v>
      </c>
      <c r="R49" s="1174" t="s">
        <v>1081</v>
      </c>
      <c r="S49" s="1174" t="s">
        <v>1081</v>
      </c>
      <c r="T49" s="1173" t="s">
        <v>1081</v>
      </c>
    </row>
    <row r="50" spans="2:20" ht="15">
      <c r="B50" s="1179" t="s">
        <v>1753</v>
      </c>
      <c r="C50" s="1178">
        <v>176172.2</v>
      </c>
      <c r="D50" s="1174" t="s">
        <v>1081</v>
      </c>
      <c r="E50" s="1174" t="s">
        <v>1081</v>
      </c>
      <c r="F50" s="1178">
        <v>17222.8</v>
      </c>
      <c r="G50" s="1174" t="s">
        <v>1081</v>
      </c>
      <c r="H50" s="1174">
        <v>2674.8</v>
      </c>
      <c r="I50" s="1174">
        <v>527</v>
      </c>
      <c r="J50" s="1174" t="s">
        <v>1081</v>
      </c>
      <c r="K50" s="1174">
        <v>64.599999999999994</v>
      </c>
      <c r="L50" s="1174">
        <v>13807.7</v>
      </c>
      <c r="M50" s="1174">
        <v>148.69999999999999</v>
      </c>
      <c r="N50" s="1174" t="s">
        <v>1081</v>
      </c>
      <c r="O50" s="1174" t="s">
        <v>1081</v>
      </c>
      <c r="P50" s="1178">
        <v>117125.4</v>
      </c>
      <c r="Q50" s="1178">
        <v>3768.3</v>
      </c>
      <c r="R50" s="1178">
        <v>2301.6</v>
      </c>
      <c r="S50" s="1178">
        <v>35754.1</v>
      </c>
      <c r="T50" s="1177" t="s">
        <v>1081</v>
      </c>
    </row>
    <row r="51" spans="2:20" ht="15">
      <c r="B51" s="1176" t="s">
        <v>1755</v>
      </c>
      <c r="C51" s="1174">
        <v>17023.900000000001</v>
      </c>
      <c r="D51" s="1174" t="s">
        <v>1081</v>
      </c>
      <c r="E51" s="1174" t="s">
        <v>1081</v>
      </c>
      <c r="F51" s="1174">
        <v>13673.7</v>
      </c>
      <c r="G51" s="1174" t="s">
        <v>1081</v>
      </c>
      <c r="H51" s="1174">
        <v>9.5</v>
      </c>
      <c r="I51" s="1174">
        <v>475.2</v>
      </c>
      <c r="J51" s="1174" t="s">
        <v>1081</v>
      </c>
      <c r="K51" s="1174" t="s">
        <v>1081</v>
      </c>
      <c r="L51" s="1174">
        <v>13142.3</v>
      </c>
      <c r="M51" s="1174">
        <v>46.7</v>
      </c>
      <c r="N51" s="1174" t="s">
        <v>1081</v>
      </c>
      <c r="O51" s="1174" t="s">
        <v>1081</v>
      </c>
      <c r="P51" s="1174">
        <v>898.4</v>
      </c>
      <c r="Q51" s="1174">
        <v>54.6</v>
      </c>
      <c r="R51" s="1174" t="s">
        <v>1081</v>
      </c>
      <c r="S51" s="1174">
        <v>2397.1999999999998</v>
      </c>
      <c r="T51" s="1173" t="s">
        <v>1081</v>
      </c>
    </row>
    <row r="52" spans="2:20">
      <c r="B52" s="1175" t="s">
        <v>1757</v>
      </c>
      <c r="C52" s="1174">
        <v>18409.8</v>
      </c>
      <c r="D52" s="1174" t="s">
        <v>1081</v>
      </c>
      <c r="E52" s="1174" t="s">
        <v>1081</v>
      </c>
      <c r="F52" s="1174">
        <v>357.1</v>
      </c>
      <c r="G52" s="1174" t="s">
        <v>1081</v>
      </c>
      <c r="H52" s="1174">
        <v>118.6</v>
      </c>
      <c r="I52" s="1174" t="s">
        <v>1081</v>
      </c>
      <c r="J52" s="1174" t="s">
        <v>1081</v>
      </c>
      <c r="K52" s="1174" t="s">
        <v>1081</v>
      </c>
      <c r="L52" s="1174">
        <v>136.5</v>
      </c>
      <c r="M52" s="1174">
        <v>102</v>
      </c>
      <c r="N52" s="1174" t="s">
        <v>1081</v>
      </c>
      <c r="O52" s="1174" t="s">
        <v>1081</v>
      </c>
      <c r="P52" s="1174">
        <v>3816.2</v>
      </c>
      <c r="Q52" s="1174">
        <v>668.3</v>
      </c>
      <c r="R52" s="1174">
        <v>930.4</v>
      </c>
      <c r="S52" s="1174">
        <v>12637.8</v>
      </c>
      <c r="T52" s="1173" t="s">
        <v>1081</v>
      </c>
    </row>
    <row r="53" spans="2:20">
      <c r="B53" s="1175" t="s">
        <v>1759</v>
      </c>
      <c r="C53" s="1174">
        <v>140738.5</v>
      </c>
      <c r="D53" s="1174" t="s">
        <v>1081</v>
      </c>
      <c r="E53" s="1174" t="s">
        <v>1081</v>
      </c>
      <c r="F53" s="1174">
        <v>3192</v>
      </c>
      <c r="G53" s="1174" t="s">
        <v>1081</v>
      </c>
      <c r="H53" s="1174">
        <v>2546.6999999999998</v>
      </c>
      <c r="I53" s="1174">
        <v>51.8</v>
      </c>
      <c r="J53" s="1174" t="s">
        <v>1081</v>
      </c>
      <c r="K53" s="1174">
        <v>64.599999999999994</v>
      </c>
      <c r="L53" s="1174">
        <v>528.9</v>
      </c>
      <c r="M53" s="1174" t="s">
        <v>1081</v>
      </c>
      <c r="N53" s="1174" t="s">
        <v>1081</v>
      </c>
      <c r="O53" s="1174" t="s">
        <v>1081</v>
      </c>
      <c r="P53" s="1174">
        <v>112410.8</v>
      </c>
      <c r="Q53" s="1174">
        <v>3045.4</v>
      </c>
      <c r="R53" s="1174">
        <v>1371.2</v>
      </c>
      <c r="S53" s="1174">
        <v>20719.099999999999</v>
      </c>
      <c r="T53" s="1173" t="s">
        <v>1081</v>
      </c>
    </row>
    <row r="54" spans="2:20">
      <c r="B54" s="1175" t="s">
        <v>1761</v>
      </c>
      <c r="C54" s="1174" t="s">
        <v>1081</v>
      </c>
      <c r="D54" s="1174" t="s">
        <v>1081</v>
      </c>
      <c r="E54" s="1174" t="s">
        <v>1081</v>
      </c>
      <c r="F54" s="1174" t="s">
        <v>1081</v>
      </c>
      <c r="G54" s="1174" t="s">
        <v>1081</v>
      </c>
      <c r="H54" s="1174" t="s">
        <v>1081</v>
      </c>
      <c r="I54" s="1174" t="s">
        <v>1081</v>
      </c>
      <c r="J54" s="1174" t="s">
        <v>1081</v>
      </c>
      <c r="K54" s="1174" t="s">
        <v>1081</v>
      </c>
      <c r="L54" s="1174" t="s">
        <v>1081</v>
      </c>
      <c r="M54" s="1174" t="s">
        <v>1081</v>
      </c>
      <c r="N54" s="1174" t="s">
        <v>1081</v>
      </c>
      <c r="O54" s="1174" t="s">
        <v>1081</v>
      </c>
      <c r="P54" s="1174"/>
      <c r="Q54" s="1174" t="s">
        <v>1081</v>
      </c>
      <c r="R54" s="1174" t="s">
        <v>1081</v>
      </c>
      <c r="S54" s="1174" t="s">
        <v>1081</v>
      </c>
      <c r="T54" s="1173" t="s">
        <v>1081</v>
      </c>
    </row>
    <row r="55" spans="2:20" ht="16" thickBot="1">
      <c r="B55" s="1172" t="s">
        <v>1763</v>
      </c>
      <c r="C55" s="1171">
        <v>22482.9</v>
      </c>
      <c r="D55" s="1170" t="s">
        <v>1081</v>
      </c>
      <c r="E55" s="1170" t="s">
        <v>1081</v>
      </c>
      <c r="F55" s="1171">
        <v>20831.8</v>
      </c>
      <c r="G55" s="1170" t="s">
        <v>1081</v>
      </c>
      <c r="H55" s="1170">
        <v>237.1</v>
      </c>
      <c r="I55" s="1170" t="s">
        <v>1081</v>
      </c>
      <c r="J55" s="1170">
        <v>246.1</v>
      </c>
      <c r="K55" s="1170" t="s">
        <v>1081</v>
      </c>
      <c r="L55" s="1170" t="s">
        <v>1081</v>
      </c>
      <c r="M55" s="1170">
        <v>509.8</v>
      </c>
      <c r="N55" s="1170">
        <v>8668.7000000000007</v>
      </c>
      <c r="O55" s="1170">
        <v>11170.1</v>
      </c>
      <c r="P55" s="1171">
        <v>1519.4</v>
      </c>
      <c r="Q55" s="1170" t="s">
        <v>1081</v>
      </c>
      <c r="R55" s="1170" t="s">
        <v>1081</v>
      </c>
      <c r="S55" s="1170" t="s">
        <v>1081</v>
      </c>
      <c r="T55" s="1169">
        <v>131.69999999999999</v>
      </c>
    </row>
  </sheetData>
  <mergeCells count="12">
    <mergeCell ref="B2:T2"/>
    <mergeCell ref="P4:P5"/>
    <mergeCell ref="Q4:Q5"/>
    <mergeCell ref="R4:R5"/>
    <mergeCell ref="S4:S5"/>
    <mergeCell ref="T4:T5"/>
    <mergeCell ref="B4:B5"/>
    <mergeCell ref="C4:C5"/>
    <mergeCell ref="D4:D5"/>
    <mergeCell ref="E4:E5"/>
    <mergeCell ref="F4:F5"/>
    <mergeCell ref="G4:O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55"/>
  <sheetViews>
    <sheetView showGridLines="0" topLeftCell="D1" workbookViewId="0">
      <selection activeCell="P26" sqref="P26"/>
    </sheetView>
  </sheetViews>
  <sheetFormatPr baseColWidth="10" defaultColWidth="8.83203125" defaultRowHeight="14"/>
  <cols>
    <col min="1" max="1" width="5.5" style="1140" customWidth="1"/>
    <col min="2" max="2" width="31.5" style="1140" bestFit="1" customWidth="1"/>
    <col min="3" max="3" width="11.5" style="1140" customWidth="1"/>
    <col min="4" max="4" width="12" style="1140" customWidth="1"/>
    <col min="5" max="20" width="11.5" style="1140" customWidth="1"/>
    <col min="21" max="256" width="9.1640625" style="1140"/>
    <col min="257" max="257" width="5.5" style="1140" customWidth="1"/>
    <col min="258" max="258" width="31.5" style="1140" bestFit="1" customWidth="1"/>
    <col min="259" max="259" width="11.5" style="1140" customWidth="1"/>
    <col min="260" max="260" width="12" style="1140" customWidth="1"/>
    <col min="261" max="276" width="11.5" style="1140" customWidth="1"/>
    <col min="277" max="512" width="9.1640625" style="1140"/>
    <col min="513" max="513" width="5.5" style="1140" customWidth="1"/>
    <col min="514" max="514" width="31.5" style="1140" bestFit="1" customWidth="1"/>
    <col min="515" max="515" width="11.5" style="1140" customWidth="1"/>
    <col min="516" max="516" width="12" style="1140" customWidth="1"/>
    <col min="517" max="532" width="11.5" style="1140" customWidth="1"/>
    <col min="533" max="768" width="9.1640625" style="1140"/>
    <col min="769" max="769" width="5.5" style="1140" customWidth="1"/>
    <col min="770" max="770" width="31.5" style="1140" bestFit="1" customWidth="1"/>
    <col min="771" max="771" width="11.5" style="1140" customWidth="1"/>
    <col min="772" max="772" width="12" style="1140" customWidth="1"/>
    <col min="773" max="788" width="11.5" style="1140" customWidth="1"/>
    <col min="789" max="1024" width="9.1640625" style="1140"/>
    <col min="1025" max="1025" width="5.5" style="1140" customWidth="1"/>
    <col min="1026" max="1026" width="31.5" style="1140" bestFit="1" customWidth="1"/>
    <col min="1027" max="1027" width="11.5" style="1140" customWidth="1"/>
    <col min="1028" max="1028" width="12" style="1140" customWidth="1"/>
    <col min="1029" max="1044" width="11.5" style="1140" customWidth="1"/>
    <col min="1045" max="1280" width="9.1640625" style="1140"/>
    <col min="1281" max="1281" width="5.5" style="1140" customWidth="1"/>
    <col min="1282" max="1282" width="31.5" style="1140" bestFit="1" customWidth="1"/>
    <col min="1283" max="1283" width="11.5" style="1140" customWidth="1"/>
    <col min="1284" max="1284" width="12" style="1140" customWidth="1"/>
    <col min="1285" max="1300" width="11.5" style="1140" customWidth="1"/>
    <col min="1301" max="1536" width="9.1640625" style="1140"/>
    <col min="1537" max="1537" width="5.5" style="1140" customWidth="1"/>
    <col min="1538" max="1538" width="31.5" style="1140" bestFit="1" customWidth="1"/>
    <col min="1539" max="1539" width="11.5" style="1140" customWidth="1"/>
    <col min="1540" max="1540" width="12" style="1140" customWidth="1"/>
    <col min="1541" max="1556" width="11.5" style="1140" customWidth="1"/>
    <col min="1557" max="1792" width="9.1640625" style="1140"/>
    <col min="1793" max="1793" width="5.5" style="1140" customWidth="1"/>
    <col min="1794" max="1794" width="31.5" style="1140" bestFit="1" customWidth="1"/>
    <col min="1795" max="1795" width="11.5" style="1140" customWidth="1"/>
    <col min="1796" max="1796" width="12" style="1140" customWidth="1"/>
    <col min="1797" max="1812" width="11.5" style="1140" customWidth="1"/>
    <col min="1813" max="2048" width="9.1640625" style="1140"/>
    <col min="2049" max="2049" width="5.5" style="1140" customWidth="1"/>
    <col min="2050" max="2050" width="31.5" style="1140" bestFit="1" customWidth="1"/>
    <col min="2051" max="2051" width="11.5" style="1140" customWidth="1"/>
    <col min="2052" max="2052" width="12" style="1140" customWidth="1"/>
    <col min="2053" max="2068" width="11.5" style="1140" customWidth="1"/>
    <col min="2069" max="2304" width="9.1640625" style="1140"/>
    <col min="2305" max="2305" width="5.5" style="1140" customWidth="1"/>
    <col min="2306" max="2306" width="31.5" style="1140" bestFit="1" customWidth="1"/>
    <col min="2307" max="2307" width="11.5" style="1140" customWidth="1"/>
    <col min="2308" max="2308" width="12" style="1140" customWidth="1"/>
    <col min="2309" max="2324" width="11.5" style="1140" customWidth="1"/>
    <col min="2325" max="2560" width="9.1640625" style="1140"/>
    <col min="2561" max="2561" width="5.5" style="1140" customWidth="1"/>
    <col min="2562" max="2562" width="31.5" style="1140" bestFit="1" customWidth="1"/>
    <col min="2563" max="2563" width="11.5" style="1140" customWidth="1"/>
    <col min="2564" max="2564" width="12" style="1140" customWidth="1"/>
    <col min="2565" max="2580" width="11.5" style="1140" customWidth="1"/>
    <col min="2581" max="2816" width="9.1640625" style="1140"/>
    <col min="2817" max="2817" width="5.5" style="1140" customWidth="1"/>
    <col min="2818" max="2818" width="31.5" style="1140" bestFit="1" customWidth="1"/>
    <col min="2819" max="2819" width="11.5" style="1140" customWidth="1"/>
    <col min="2820" max="2820" width="12" style="1140" customWidth="1"/>
    <col min="2821" max="2836" width="11.5" style="1140" customWidth="1"/>
    <col min="2837" max="3072" width="9.1640625" style="1140"/>
    <col min="3073" max="3073" width="5.5" style="1140" customWidth="1"/>
    <col min="3074" max="3074" width="31.5" style="1140" bestFit="1" customWidth="1"/>
    <col min="3075" max="3075" width="11.5" style="1140" customWidth="1"/>
    <col min="3076" max="3076" width="12" style="1140" customWidth="1"/>
    <col min="3077" max="3092" width="11.5" style="1140" customWidth="1"/>
    <col min="3093" max="3328" width="9.1640625" style="1140"/>
    <col min="3329" max="3329" width="5.5" style="1140" customWidth="1"/>
    <col min="3330" max="3330" width="31.5" style="1140" bestFit="1" customWidth="1"/>
    <col min="3331" max="3331" width="11.5" style="1140" customWidth="1"/>
    <col min="3332" max="3332" width="12" style="1140" customWidth="1"/>
    <col min="3333" max="3348" width="11.5" style="1140" customWidth="1"/>
    <col min="3349" max="3584" width="9.1640625" style="1140"/>
    <col min="3585" max="3585" width="5.5" style="1140" customWidth="1"/>
    <col min="3586" max="3586" width="31.5" style="1140" bestFit="1" customWidth="1"/>
    <col min="3587" max="3587" width="11.5" style="1140" customWidth="1"/>
    <col min="3588" max="3588" width="12" style="1140" customWidth="1"/>
    <col min="3589" max="3604" width="11.5" style="1140" customWidth="1"/>
    <col min="3605" max="3840" width="9.1640625" style="1140"/>
    <col min="3841" max="3841" width="5.5" style="1140" customWidth="1"/>
    <col min="3842" max="3842" width="31.5" style="1140" bestFit="1" customWidth="1"/>
    <col min="3843" max="3843" width="11.5" style="1140" customWidth="1"/>
    <col min="3844" max="3844" width="12" style="1140" customWidth="1"/>
    <col min="3845" max="3860" width="11.5" style="1140" customWidth="1"/>
    <col min="3861" max="4096" width="9.1640625" style="1140"/>
    <col min="4097" max="4097" width="5.5" style="1140" customWidth="1"/>
    <col min="4098" max="4098" width="31.5" style="1140" bestFit="1" customWidth="1"/>
    <col min="4099" max="4099" width="11.5" style="1140" customWidth="1"/>
    <col min="4100" max="4100" width="12" style="1140" customWidth="1"/>
    <col min="4101" max="4116" width="11.5" style="1140" customWidth="1"/>
    <col min="4117" max="4352" width="9.1640625" style="1140"/>
    <col min="4353" max="4353" width="5.5" style="1140" customWidth="1"/>
    <col min="4354" max="4354" width="31.5" style="1140" bestFit="1" customWidth="1"/>
    <col min="4355" max="4355" width="11.5" style="1140" customWidth="1"/>
    <col min="4356" max="4356" width="12" style="1140" customWidth="1"/>
    <col min="4357" max="4372" width="11.5" style="1140" customWidth="1"/>
    <col min="4373" max="4608" width="9.1640625" style="1140"/>
    <col min="4609" max="4609" width="5.5" style="1140" customWidth="1"/>
    <col min="4610" max="4610" width="31.5" style="1140" bestFit="1" customWidth="1"/>
    <col min="4611" max="4611" width="11.5" style="1140" customWidth="1"/>
    <col min="4612" max="4612" width="12" style="1140" customWidth="1"/>
    <col min="4613" max="4628" width="11.5" style="1140" customWidth="1"/>
    <col min="4629" max="4864" width="9.1640625" style="1140"/>
    <col min="4865" max="4865" width="5.5" style="1140" customWidth="1"/>
    <col min="4866" max="4866" width="31.5" style="1140" bestFit="1" customWidth="1"/>
    <col min="4867" max="4867" width="11.5" style="1140" customWidth="1"/>
    <col min="4868" max="4868" width="12" style="1140" customWidth="1"/>
    <col min="4869" max="4884" width="11.5" style="1140" customWidth="1"/>
    <col min="4885" max="5120" width="9.1640625" style="1140"/>
    <col min="5121" max="5121" width="5.5" style="1140" customWidth="1"/>
    <col min="5122" max="5122" width="31.5" style="1140" bestFit="1" customWidth="1"/>
    <col min="5123" max="5123" width="11.5" style="1140" customWidth="1"/>
    <col min="5124" max="5124" width="12" style="1140" customWidth="1"/>
    <col min="5125" max="5140" width="11.5" style="1140" customWidth="1"/>
    <col min="5141" max="5376" width="9.1640625" style="1140"/>
    <col min="5377" max="5377" width="5.5" style="1140" customWidth="1"/>
    <col min="5378" max="5378" width="31.5" style="1140" bestFit="1" customWidth="1"/>
    <col min="5379" max="5379" width="11.5" style="1140" customWidth="1"/>
    <col min="5380" max="5380" width="12" style="1140" customWidth="1"/>
    <col min="5381" max="5396" width="11.5" style="1140" customWidth="1"/>
    <col min="5397" max="5632" width="9.1640625" style="1140"/>
    <col min="5633" max="5633" width="5.5" style="1140" customWidth="1"/>
    <col min="5634" max="5634" width="31.5" style="1140" bestFit="1" customWidth="1"/>
    <col min="5635" max="5635" width="11.5" style="1140" customWidth="1"/>
    <col min="5636" max="5636" width="12" style="1140" customWidth="1"/>
    <col min="5637" max="5652" width="11.5" style="1140" customWidth="1"/>
    <col min="5653" max="5888" width="9.1640625" style="1140"/>
    <col min="5889" max="5889" width="5.5" style="1140" customWidth="1"/>
    <col min="5890" max="5890" width="31.5" style="1140" bestFit="1" customWidth="1"/>
    <col min="5891" max="5891" width="11.5" style="1140" customWidth="1"/>
    <col min="5892" max="5892" width="12" style="1140" customWidth="1"/>
    <col min="5893" max="5908" width="11.5" style="1140" customWidth="1"/>
    <col min="5909" max="6144" width="9.1640625" style="1140"/>
    <col min="6145" max="6145" width="5.5" style="1140" customWidth="1"/>
    <col min="6146" max="6146" width="31.5" style="1140" bestFit="1" customWidth="1"/>
    <col min="6147" max="6147" width="11.5" style="1140" customWidth="1"/>
    <col min="6148" max="6148" width="12" style="1140" customWidth="1"/>
    <col min="6149" max="6164" width="11.5" style="1140" customWidth="1"/>
    <col min="6165" max="6400" width="9.1640625" style="1140"/>
    <col min="6401" max="6401" width="5.5" style="1140" customWidth="1"/>
    <col min="6402" max="6402" width="31.5" style="1140" bestFit="1" customWidth="1"/>
    <col min="6403" max="6403" width="11.5" style="1140" customWidth="1"/>
    <col min="6404" max="6404" width="12" style="1140" customWidth="1"/>
    <col min="6405" max="6420" width="11.5" style="1140" customWidth="1"/>
    <col min="6421" max="6656" width="9.1640625" style="1140"/>
    <col min="6657" max="6657" width="5.5" style="1140" customWidth="1"/>
    <col min="6658" max="6658" width="31.5" style="1140" bestFit="1" customWidth="1"/>
    <col min="6659" max="6659" width="11.5" style="1140" customWidth="1"/>
    <col min="6660" max="6660" width="12" style="1140" customWidth="1"/>
    <col min="6661" max="6676" width="11.5" style="1140" customWidth="1"/>
    <col min="6677" max="6912" width="9.1640625" style="1140"/>
    <col min="6913" max="6913" width="5.5" style="1140" customWidth="1"/>
    <col min="6914" max="6914" width="31.5" style="1140" bestFit="1" customWidth="1"/>
    <col min="6915" max="6915" width="11.5" style="1140" customWidth="1"/>
    <col min="6916" max="6916" width="12" style="1140" customWidth="1"/>
    <col min="6917" max="6932" width="11.5" style="1140" customWidth="1"/>
    <col min="6933" max="7168" width="9.1640625" style="1140"/>
    <col min="7169" max="7169" width="5.5" style="1140" customWidth="1"/>
    <col min="7170" max="7170" width="31.5" style="1140" bestFit="1" customWidth="1"/>
    <col min="7171" max="7171" width="11.5" style="1140" customWidth="1"/>
    <col min="7172" max="7172" width="12" style="1140" customWidth="1"/>
    <col min="7173" max="7188" width="11.5" style="1140" customWidth="1"/>
    <col min="7189" max="7424" width="9.1640625" style="1140"/>
    <col min="7425" max="7425" width="5.5" style="1140" customWidth="1"/>
    <col min="7426" max="7426" width="31.5" style="1140" bestFit="1" customWidth="1"/>
    <col min="7427" max="7427" width="11.5" style="1140" customWidth="1"/>
    <col min="7428" max="7428" width="12" style="1140" customWidth="1"/>
    <col min="7429" max="7444" width="11.5" style="1140" customWidth="1"/>
    <col min="7445" max="7680" width="9.1640625" style="1140"/>
    <col min="7681" max="7681" width="5.5" style="1140" customWidth="1"/>
    <col min="7682" max="7682" width="31.5" style="1140" bestFit="1" customWidth="1"/>
    <col min="7683" max="7683" width="11.5" style="1140" customWidth="1"/>
    <col min="7684" max="7684" width="12" style="1140" customWidth="1"/>
    <col min="7685" max="7700" width="11.5" style="1140" customWidth="1"/>
    <col min="7701" max="7936" width="9.1640625" style="1140"/>
    <col min="7937" max="7937" width="5.5" style="1140" customWidth="1"/>
    <col min="7938" max="7938" width="31.5" style="1140" bestFit="1" customWidth="1"/>
    <col min="7939" max="7939" width="11.5" style="1140" customWidth="1"/>
    <col min="7940" max="7940" width="12" style="1140" customWidth="1"/>
    <col min="7941" max="7956" width="11.5" style="1140" customWidth="1"/>
    <col min="7957" max="8192" width="9.1640625" style="1140"/>
    <col min="8193" max="8193" width="5.5" style="1140" customWidth="1"/>
    <col min="8194" max="8194" width="31.5" style="1140" bestFit="1" customWidth="1"/>
    <col min="8195" max="8195" width="11.5" style="1140" customWidth="1"/>
    <col min="8196" max="8196" width="12" style="1140" customWidth="1"/>
    <col min="8197" max="8212" width="11.5" style="1140" customWidth="1"/>
    <col min="8213" max="8448" width="9.1640625" style="1140"/>
    <col min="8449" max="8449" width="5.5" style="1140" customWidth="1"/>
    <col min="8450" max="8450" width="31.5" style="1140" bestFit="1" customWidth="1"/>
    <col min="8451" max="8451" width="11.5" style="1140" customWidth="1"/>
    <col min="8452" max="8452" width="12" style="1140" customWidth="1"/>
    <col min="8453" max="8468" width="11.5" style="1140" customWidth="1"/>
    <col min="8469" max="8704" width="9.1640625" style="1140"/>
    <col min="8705" max="8705" width="5.5" style="1140" customWidth="1"/>
    <col min="8706" max="8706" width="31.5" style="1140" bestFit="1" customWidth="1"/>
    <col min="8707" max="8707" width="11.5" style="1140" customWidth="1"/>
    <col min="8708" max="8708" width="12" style="1140" customWidth="1"/>
    <col min="8709" max="8724" width="11.5" style="1140" customWidth="1"/>
    <col min="8725" max="8960" width="9.1640625" style="1140"/>
    <col min="8961" max="8961" width="5.5" style="1140" customWidth="1"/>
    <col min="8962" max="8962" width="31.5" style="1140" bestFit="1" customWidth="1"/>
    <col min="8963" max="8963" width="11.5" style="1140" customWidth="1"/>
    <col min="8964" max="8964" width="12" style="1140" customWidth="1"/>
    <col min="8965" max="8980" width="11.5" style="1140" customWidth="1"/>
    <col min="8981" max="9216" width="9.1640625" style="1140"/>
    <col min="9217" max="9217" width="5.5" style="1140" customWidth="1"/>
    <col min="9218" max="9218" width="31.5" style="1140" bestFit="1" customWidth="1"/>
    <col min="9219" max="9219" width="11.5" style="1140" customWidth="1"/>
    <col min="9220" max="9220" width="12" style="1140" customWidth="1"/>
    <col min="9221" max="9236" width="11.5" style="1140" customWidth="1"/>
    <col min="9237" max="9472" width="9.1640625" style="1140"/>
    <col min="9473" max="9473" width="5.5" style="1140" customWidth="1"/>
    <col min="9474" max="9474" width="31.5" style="1140" bestFit="1" customWidth="1"/>
    <col min="9475" max="9475" width="11.5" style="1140" customWidth="1"/>
    <col min="9476" max="9476" width="12" style="1140" customWidth="1"/>
    <col min="9477" max="9492" width="11.5" style="1140" customWidth="1"/>
    <col min="9493" max="9728" width="9.1640625" style="1140"/>
    <col min="9729" max="9729" width="5.5" style="1140" customWidth="1"/>
    <col min="9730" max="9730" width="31.5" style="1140" bestFit="1" customWidth="1"/>
    <col min="9731" max="9731" width="11.5" style="1140" customWidth="1"/>
    <col min="9732" max="9732" width="12" style="1140" customWidth="1"/>
    <col min="9733" max="9748" width="11.5" style="1140" customWidth="1"/>
    <col min="9749" max="9984" width="9.1640625" style="1140"/>
    <col min="9985" max="9985" width="5.5" style="1140" customWidth="1"/>
    <col min="9986" max="9986" width="31.5" style="1140" bestFit="1" customWidth="1"/>
    <col min="9987" max="9987" width="11.5" style="1140" customWidth="1"/>
    <col min="9988" max="9988" width="12" style="1140" customWidth="1"/>
    <col min="9989" max="10004" width="11.5" style="1140" customWidth="1"/>
    <col min="10005" max="10240" width="9.1640625" style="1140"/>
    <col min="10241" max="10241" width="5.5" style="1140" customWidth="1"/>
    <col min="10242" max="10242" width="31.5" style="1140" bestFit="1" customWidth="1"/>
    <col min="10243" max="10243" width="11.5" style="1140" customWidth="1"/>
    <col min="10244" max="10244" width="12" style="1140" customWidth="1"/>
    <col min="10245" max="10260" width="11.5" style="1140" customWidth="1"/>
    <col min="10261" max="10496" width="9.1640625" style="1140"/>
    <col min="10497" max="10497" width="5.5" style="1140" customWidth="1"/>
    <col min="10498" max="10498" width="31.5" style="1140" bestFit="1" customWidth="1"/>
    <col min="10499" max="10499" width="11.5" style="1140" customWidth="1"/>
    <col min="10500" max="10500" width="12" style="1140" customWidth="1"/>
    <col min="10501" max="10516" width="11.5" style="1140" customWidth="1"/>
    <col min="10517" max="10752" width="9.1640625" style="1140"/>
    <col min="10753" max="10753" width="5.5" style="1140" customWidth="1"/>
    <col min="10754" max="10754" width="31.5" style="1140" bestFit="1" customWidth="1"/>
    <col min="10755" max="10755" width="11.5" style="1140" customWidth="1"/>
    <col min="10756" max="10756" width="12" style="1140" customWidth="1"/>
    <col min="10757" max="10772" width="11.5" style="1140" customWidth="1"/>
    <col min="10773" max="11008" width="9.1640625" style="1140"/>
    <col min="11009" max="11009" width="5.5" style="1140" customWidth="1"/>
    <col min="11010" max="11010" width="31.5" style="1140" bestFit="1" customWidth="1"/>
    <col min="11011" max="11011" width="11.5" style="1140" customWidth="1"/>
    <col min="11012" max="11012" width="12" style="1140" customWidth="1"/>
    <col min="11013" max="11028" width="11.5" style="1140" customWidth="1"/>
    <col min="11029" max="11264" width="9.1640625" style="1140"/>
    <col min="11265" max="11265" width="5.5" style="1140" customWidth="1"/>
    <col min="11266" max="11266" width="31.5" style="1140" bestFit="1" customWidth="1"/>
    <col min="11267" max="11267" width="11.5" style="1140" customWidth="1"/>
    <col min="11268" max="11268" width="12" style="1140" customWidth="1"/>
    <col min="11269" max="11284" width="11.5" style="1140" customWidth="1"/>
    <col min="11285" max="11520" width="9.1640625" style="1140"/>
    <col min="11521" max="11521" width="5.5" style="1140" customWidth="1"/>
    <col min="11522" max="11522" width="31.5" style="1140" bestFit="1" customWidth="1"/>
    <col min="11523" max="11523" width="11.5" style="1140" customWidth="1"/>
    <col min="11524" max="11524" width="12" style="1140" customWidth="1"/>
    <col min="11525" max="11540" width="11.5" style="1140" customWidth="1"/>
    <col min="11541" max="11776" width="9.1640625" style="1140"/>
    <col min="11777" max="11777" width="5.5" style="1140" customWidth="1"/>
    <col min="11778" max="11778" width="31.5" style="1140" bestFit="1" customWidth="1"/>
    <col min="11779" max="11779" width="11.5" style="1140" customWidth="1"/>
    <col min="11780" max="11780" width="12" style="1140" customWidth="1"/>
    <col min="11781" max="11796" width="11.5" style="1140" customWidth="1"/>
    <col min="11797" max="12032" width="9.1640625" style="1140"/>
    <col min="12033" max="12033" width="5.5" style="1140" customWidth="1"/>
    <col min="12034" max="12034" width="31.5" style="1140" bestFit="1" customWidth="1"/>
    <col min="12035" max="12035" width="11.5" style="1140" customWidth="1"/>
    <col min="12036" max="12036" width="12" style="1140" customWidth="1"/>
    <col min="12037" max="12052" width="11.5" style="1140" customWidth="1"/>
    <col min="12053" max="12288" width="9.1640625" style="1140"/>
    <col min="12289" max="12289" width="5.5" style="1140" customWidth="1"/>
    <col min="12290" max="12290" width="31.5" style="1140" bestFit="1" customWidth="1"/>
    <col min="12291" max="12291" width="11.5" style="1140" customWidth="1"/>
    <col min="12292" max="12292" width="12" style="1140" customWidth="1"/>
    <col min="12293" max="12308" width="11.5" style="1140" customWidth="1"/>
    <col min="12309" max="12544" width="9.1640625" style="1140"/>
    <col min="12545" max="12545" width="5.5" style="1140" customWidth="1"/>
    <col min="12546" max="12546" width="31.5" style="1140" bestFit="1" customWidth="1"/>
    <col min="12547" max="12547" width="11.5" style="1140" customWidth="1"/>
    <col min="12548" max="12548" width="12" style="1140" customWidth="1"/>
    <col min="12549" max="12564" width="11.5" style="1140" customWidth="1"/>
    <col min="12565" max="12800" width="9.1640625" style="1140"/>
    <col min="12801" max="12801" width="5.5" style="1140" customWidth="1"/>
    <col min="12802" max="12802" width="31.5" style="1140" bestFit="1" customWidth="1"/>
    <col min="12803" max="12803" width="11.5" style="1140" customWidth="1"/>
    <col min="12804" max="12804" width="12" style="1140" customWidth="1"/>
    <col min="12805" max="12820" width="11.5" style="1140" customWidth="1"/>
    <col min="12821" max="13056" width="9.1640625" style="1140"/>
    <col min="13057" max="13057" width="5.5" style="1140" customWidth="1"/>
    <col min="13058" max="13058" width="31.5" style="1140" bestFit="1" customWidth="1"/>
    <col min="13059" max="13059" width="11.5" style="1140" customWidth="1"/>
    <col min="13060" max="13060" width="12" style="1140" customWidth="1"/>
    <col min="13061" max="13076" width="11.5" style="1140" customWidth="1"/>
    <col min="13077" max="13312" width="9.1640625" style="1140"/>
    <col min="13313" max="13313" width="5.5" style="1140" customWidth="1"/>
    <col min="13314" max="13314" width="31.5" style="1140" bestFit="1" customWidth="1"/>
    <col min="13315" max="13315" width="11.5" style="1140" customWidth="1"/>
    <col min="13316" max="13316" width="12" style="1140" customWidth="1"/>
    <col min="13317" max="13332" width="11.5" style="1140" customWidth="1"/>
    <col min="13333" max="13568" width="9.1640625" style="1140"/>
    <col min="13569" max="13569" width="5.5" style="1140" customWidth="1"/>
    <col min="13570" max="13570" width="31.5" style="1140" bestFit="1" customWidth="1"/>
    <col min="13571" max="13571" width="11.5" style="1140" customWidth="1"/>
    <col min="13572" max="13572" width="12" style="1140" customWidth="1"/>
    <col min="13573" max="13588" width="11.5" style="1140" customWidth="1"/>
    <col min="13589" max="13824" width="9.1640625" style="1140"/>
    <col min="13825" max="13825" width="5.5" style="1140" customWidth="1"/>
    <col min="13826" max="13826" width="31.5" style="1140" bestFit="1" customWidth="1"/>
    <col min="13827" max="13827" width="11.5" style="1140" customWidth="1"/>
    <col min="13828" max="13828" width="12" style="1140" customWidth="1"/>
    <col min="13829" max="13844" width="11.5" style="1140" customWidth="1"/>
    <col min="13845" max="14080" width="9.1640625" style="1140"/>
    <col min="14081" max="14081" width="5.5" style="1140" customWidth="1"/>
    <col min="14082" max="14082" width="31.5" style="1140" bestFit="1" customWidth="1"/>
    <col min="14083" max="14083" width="11.5" style="1140" customWidth="1"/>
    <col min="14084" max="14084" width="12" style="1140" customWidth="1"/>
    <col min="14085" max="14100" width="11.5" style="1140" customWidth="1"/>
    <col min="14101" max="14336" width="9.1640625" style="1140"/>
    <col min="14337" max="14337" width="5.5" style="1140" customWidth="1"/>
    <col min="14338" max="14338" width="31.5" style="1140" bestFit="1" customWidth="1"/>
    <col min="14339" max="14339" width="11.5" style="1140" customWidth="1"/>
    <col min="14340" max="14340" width="12" style="1140" customWidth="1"/>
    <col min="14341" max="14356" width="11.5" style="1140" customWidth="1"/>
    <col min="14357" max="14592" width="9.1640625" style="1140"/>
    <col min="14593" max="14593" width="5.5" style="1140" customWidth="1"/>
    <col min="14594" max="14594" width="31.5" style="1140" bestFit="1" customWidth="1"/>
    <col min="14595" max="14595" width="11.5" style="1140" customWidth="1"/>
    <col min="14596" max="14596" width="12" style="1140" customWidth="1"/>
    <col min="14597" max="14612" width="11.5" style="1140" customWidth="1"/>
    <col min="14613" max="14848" width="9.1640625" style="1140"/>
    <col min="14849" max="14849" width="5.5" style="1140" customWidth="1"/>
    <col min="14850" max="14850" width="31.5" style="1140" bestFit="1" customWidth="1"/>
    <col min="14851" max="14851" width="11.5" style="1140" customWidth="1"/>
    <col min="14852" max="14852" width="12" style="1140" customWidth="1"/>
    <col min="14853" max="14868" width="11.5" style="1140" customWidth="1"/>
    <col min="14869" max="15104" width="9.1640625" style="1140"/>
    <col min="15105" max="15105" width="5.5" style="1140" customWidth="1"/>
    <col min="15106" max="15106" width="31.5" style="1140" bestFit="1" customWidth="1"/>
    <col min="15107" max="15107" width="11.5" style="1140" customWidth="1"/>
    <col min="15108" max="15108" width="12" style="1140" customWidth="1"/>
    <col min="15109" max="15124" width="11.5" style="1140" customWidth="1"/>
    <col min="15125" max="15360" width="9.1640625" style="1140"/>
    <col min="15361" max="15361" width="5.5" style="1140" customWidth="1"/>
    <col min="15362" max="15362" width="31.5" style="1140" bestFit="1" customWidth="1"/>
    <col min="15363" max="15363" width="11.5" style="1140" customWidth="1"/>
    <col min="15364" max="15364" width="12" style="1140" customWidth="1"/>
    <col min="15365" max="15380" width="11.5" style="1140" customWidth="1"/>
    <col min="15381" max="15616" width="9.1640625" style="1140"/>
    <col min="15617" max="15617" width="5.5" style="1140" customWidth="1"/>
    <col min="15618" max="15618" width="31.5" style="1140" bestFit="1" customWidth="1"/>
    <col min="15619" max="15619" width="11.5" style="1140" customWidth="1"/>
    <col min="15620" max="15620" width="12" style="1140" customWidth="1"/>
    <col min="15621" max="15636" width="11.5" style="1140" customWidth="1"/>
    <col min="15637" max="15872" width="9.1640625" style="1140"/>
    <col min="15873" max="15873" width="5.5" style="1140" customWidth="1"/>
    <col min="15874" max="15874" width="31.5" style="1140" bestFit="1" customWidth="1"/>
    <col min="15875" max="15875" width="11.5" style="1140" customWidth="1"/>
    <col min="15876" max="15876" width="12" style="1140" customWidth="1"/>
    <col min="15877" max="15892" width="11.5" style="1140" customWidth="1"/>
    <col min="15893" max="16128" width="9.1640625" style="1140"/>
    <col min="16129" max="16129" width="5.5" style="1140" customWidth="1"/>
    <col min="16130" max="16130" width="31.5" style="1140" bestFit="1" customWidth="1"/>
    <col min="16131" max="16131" width="11.5" style="1140" customWidth="1"/>
    <col min="16132" max="16132" width="12" style="1140" customWidth="1"/>
    <col min="16133" max="16148" width="11.5" style="1140" customWidth="1"/>
    <col min="16149" max="16384" width="9.1640625" style="1140"/>
  </cols>
  <sheetData>
    <row r="1" spans="1:20">
      <c r="P1" s="1141">
        <f>P25+P26</f>
        <v>62105.399999999994</v>
      </c>
    </row>
    <row r="2" spans="1:20">
      <c r="B2" s="1337" t="s">
        <v>1775</v>
      </c>
      <c r="C2" s="1337"/>
      <c r="D2" s="1337"/>
      <c r="E2" s="1337"/>
      <c r="F2" s="1337"/>
      <c r="G2" s="1337"/>
      <c r="H2" s="1337"/>
      <c r="I2" s="1337"/>
      <c r="J2" s="1337"/>
      <c r="K2" s="1337"/>
      <c r="L2" s="1337"/>
      <c r="M2" s="1337"/>
      <c r="N2" s="1337"/>
      <c r="O2" s="1337"/>
      <c r="P2" s="1337"/>
      <c r="Q2" s="1337"/>
      <c r="R2" s="1337"/>
      <c r="S2" s="1337"/>
      <c r="T2" s="1337"/>
    </row>
    <row r="3" spans="1:20" ht="15" thickBot="1">
      <c r="B3" s="1207" t="s">
        <v>1685</v>
      </c>
      <c r="C3" s="1207"/>
      <c r="D3" s="1207" t="s">
        <v>93</v>
      </c>
      <c r="E3" s="1207"/>
      <c r="F3" s="1207"/>
      <c r="G3" s="1207"/>
      <c r="H3" s="1207"/>
      <c r="I3" s="1207" t="s">
        <v>76</v>
      </c>
      <c r="J3" s="1207" t="s">
        <v>79</v>
      </c>
      <c r="K3" s="1207"/>
      <c r="L3" s="1207" t="s">
        <v>45</v>
      </c>
      <c r="M3" s="1207" t="s">
        <v>759</v>
      </c>
      <c r="N3" s="1207"/>
      <c r="O3" s="1207"/>
      <c r="P3" s="1207" t="s">
        <v>41</v>
      </c>
      <c r="Q3" s="1207"/>
      <c r="R3" s="1207"/>
      <c r="S3" s="1207" t="s">
        <v>215</v>
      </c>
      <c r="T3" s="1207"/>
    </row>
    <row r="4" spans="1:20" s="1193" customFormat="1" ht="18.75" customHeight="1">
      <c r="B4" s="1353"/>
      <c r="C4" s="1349" t="s">
        <v>1686</v>
      </c>
      <c r="D4" s="1349" t="s">
        <v>1687</v>
      </c>
      <c r="E4" s="1349" t="s">
        <v>1688</v>
      </c>
      <c r="F4" s="1349" t="s">
        <v>1689</v>
      </c>
      <c r="G4" s="1355" t="s">
        <v>1690</v>
      </c>
      <c r="H4" s="1356"/>
      <c r="I4" s="1356"/>
      <c r="J4" s="1356"/>
      <c r="K4" s="1356"/>
      <c r="L4" s="1356"/>
      <c r="M4" s="1356"/>
      <c r="N4" s="1356"/>
      <c r="O4" s="1357"/>
      <c r="P4" s="1349" t="s">
        <v>1691</v>
      </c>
      <c r="Q4" s="1349" t="s">
        <v>1692</v>
      </c>
      <c r="R4" s="1349" t="s">
        <v>1693</v>
      </c>
      <c r="S4" s="1349" t="s">
        <v>1694</v>
      </c>
      <c r="T4" s="1351" t="s">
        <v>1695</v>
      </c>
    </row>
    <row r="5" spans="1:20" s="1196" customFormat="1" ht="50.25" customHeight="1" thickBot="1">
      <c r="B5" s="1354"/>
      <c r="C5" s="1350"/>
      <c r="D5" s="1350"/>
      <c r="E5" s="1350"/>
      <c r="F5" s="1350"/>
      <c r="G5" s="1194" t="s">
        <v>1696</v>
      </c>
      <c r="H5" s="1194" t="s">
        <v>1697</v>
      </c>
      <c r="I5" s="1194" t="s">
        <v>1698</v>
      </c>
      <c r="J5" s="1194" t="s">
        <v>1699</v>
      </c>
      <c r="K5" s="1194" t="s">
        <v>1700</v>
      </c>
      <c r="L5" s="1194" t="s">
        <v>1776</v>
      </c>
      <c r="M5" s="1195" t="s">
        <v>1702</v>
      </c>
      <c r="N5" s="1194" t="s">
        <v>1703</v>
      </c>
      <c r="O5" s="1194" t="s">
        <v>1704</v>
      </c>
      <c r="P5" s="1350"/>
      <c r="Q5" s="1350"/>
      <c r="R5" s="1350"/>
      <c r="S5" s="1350"/>
      <c r="T5" s="1352"/>
    </row>
    <row r="6" spans="1:20" ht="15">
      <c r="A6" s="1140" t="s">
        <v>171</v>
      </c>
      <c r="B6" s="1192" t="s">
        <v>927</v>
      </c>
      <c r="C6" s="1197">
        <v>2557914.5</v>
      </c>
      <c r="D6" s="1197">
        <v>1793930</v>
      </c>
      <c r="E6" s="1197" t="s">
        <v>1081</v>
      </c>
      <c r="F6" s="1197" t="s">
        <v>1081</v>
      </c>
      <c r="G6" s="1197" t="s">
        <v>1081</v>
      </c>
      <c r="H6" s="1197" t="s">
        <v>1081</v>
      </c>
      <c r="I6" s="1197" t="s">
        <v>1081</v>
      </c>
      <c r="J6" s="1197" t="s">
        <v>1081</v>
      </c>
      <c r="K6" s="1197" t="s">
        <v>1081</v>
      </c>
      <c r="L6" s="1197" t="s">
        <v>1081</v>
      </c>
      <c r="M6" s="1197" t="s">
        <v>1081</v>
      </c>
      <c r="N6" s="1197" t="s">
        <v>1081</v>
      </c>
      <c r="O6" s="1197" t="s">
        <v>1081</v>
      </c>
      <c r="P6" s="1197">
        <v>751362.1</v>
      </c>
      <c r="Q6" s="1197">
        <v>12622.4</v>
      </c>
      <c r="R6" s="1197" t="s">
        <v>1081</v>
      </c>
      <c r="S6" s="1197" t="s">
        <v>1081</v>
      </c>
      <c r="T6" s="1198" t="s">
        <v>1081</v>
      </c>
    </row>
    <row r="7" spans="1:20">
      <c r="A7" s="1140" t="s">
        <v>61</v>
      </c>
      <c r="B7" s="1189" t="s">
        <v>1705</v>
      </c>
      <c r="C7" s="1199">
        <v>12895.3</v>
      </c>
      <c r="D7" s="1199" t="s">
        <v>1081</v>
      </c>
      <c r="E7" s="1199" t="s">
        <v>1081</v>
      </c>
      <c r="F7" s="1199">
        <v>11847.4</v>
      </c>
      <c r="G7" s="1199" t="s">
        <v>1081</v>
      </c>
      <c r="H7" s="1199" t="s">
        <v>1081</v>
      </c>
      <c r="I7" s="1199">
        <v>1978.4</v>
      </c>
      <c r="J7" s="1199" t="s">
        <v>1081</v>
      </c>
      <c r="K7" s="1199">
        <v>624.29999999999995</v>
      </c>
      <c r="L7" s="1199">
        <v>528.9</v>
      </c>
      <c r="M7" s="1199">
        <v>5734.8</v>
      </c>
      <c r="N7" s="1199" t="s">
        <v>1081</v>
      </c>
      <c r="O7" s="1199">
        <v>2981</v>
      </c>
      <c r="P7" s="1199" t="s">
        <v>1081</v>
      </c>
      <c r="Q7" s="1199" t="s">
        <v>1081</v>
      </c>
      <c r="R7" s="1199" t="s">
        <v>1081</v>
      </c>
      <c r="S7" s="1199">
        <v>387</v>
      </c>
      <c r="T7" s="1200">
        <v>660.9</v>
      </c>
    </row>
    <row r="8" spans="1:20">
      <c r="A8" s="1140" t="s">
        <v>298</v>
      </c>
      <c r="B8" s="1189" t="s">
        <v>912</v>
      </c>
      <c r="C8" s="1199">
        <v>-1928627.4</v>
      </c>
      <c r="D8" s="1199">
        <v>-1513026</v>
      </c>
      <c r="E8" s="1199" t="s">
        <v>1081</v>
      </c>
      <c r="F8" s="1199">
        <v>-96495.9</v>
      </c>
      <c r="G8" s="1199" t="s">
        <v>1081</v>
      </c>
      <c r="H8" s="1199">
        <v>-735.1</v>
      </c>
      <c r="I8" s="1199">
        <v>-203</v>
      </c>
      <c r="J8" s="1199">
        <v>-10210.700000000001</v>
      </c>
      <c r="K8" s="1199" t="s">
        <v>1081</v>
      </c>
      <c r="L8" s="1199">
        <v>-70595.7</v>
      </c>
      <c r="M8" s="1199">
        <v>-4817.2</v>
      </c>
      <c r="N8" s="1199" t="s">
        <v>1081</v>
      </c>
      <c r="O8" s="1199">
        <v>-9934.2000000000007</v>
      </c>
      <c r="P8" s="1199">
        <v>-318151.5</v>
      </c>
      <c r="Q8" s="1199" t="s">
        <v>1081</v>
      </c>
      <c r="R8" s="1199" t="s">
        <v>1081</v>
      </c>
      <c r="S8" s="1199">
        <v>-954</v>
      </c>
      <c r="T8" s="1200" t="s">
        <v>1081</v>
      </c>
    </row>
    <row r="9" spans="1:20" ht="15">
      <c r="B9" s="1188" t="s">
        <v>1706</v>
      </c>
      <c r="C9" s="1199">
        <v>-13573.9</v>
      </c>
      <c r="D9" s="1199" t="s">
        <v>1081</v>
      </c>
      <c r="E9" s="1199" t="s">
        <v>1081</v>
      </c>
      <c r="F9" s="1199">
        <v>-13573.9</v>
      </c>
      <c r="G9" s="1199" t="s">
        <v>1081</v>
      </c>
      <c r="H9" s="1199" t="s">
        <v>1081</v>
      </c>
      <c r="I9" s="1199" t="s">
        <v>1081</v>
      </c>
      <c r="J9" s="1199">
        <v>-11441.1</v>
      </c>
      <c r="K9" s="1199" t="s">
        <v>1081</v>
      </c>
      <c r="L9" s="1199">
        <v>-2132.8000000000002</v>
      </c>
      <c r="M9" s="1199" t="s">
        <v>1081</v>
      </c>
      <c r="N9" s="1199" t="s">
        <v>1081</v>
      </c>
      <c r="O9" s="1199" t="s">
        <v>1081</v>
      </c>
      <c r="P9" s="1199" t="s">
        <v>1081</v>
      </c>
      <c r="Q9" s="1199" t="s">
        <v>1081</v>
      </c>
      <c r="R9" s="1199" t="s">
        <v>1081</v>
      </c>
      <c r="S9" s="1199" t="s">
        <v>1081</v>
      </c>
      <c r="T9" s="1200" t="s">
        <v>1081</v>
      </c>
    </row>
    <row r="10" spans="1:20">
      <c r="B10" s="1183" t="s">
        <v>1707</v>
      </c>
      <c r="C10" s="1199">
        <v>-2132.8000000000002</v>
      </c>
      <c r="D10" s="1199" t="s">
        <v>1081</v>
      </c>
      <c r="E10" s="1199" t="s">
        <v>1081</v>
      </c>
      <c r="F10" s="1199">
        <v>-2132.8000000000002</v>
      </c>
      <c r="G10" s="1199" t="s">
        <v>1081</v>
      </c>
      <c r="H10" s="1199" t="s">
        <v>1081</v>
      </c>
      <c r="I10" s="1199" t="s">
        <v>1081</v>
      </c>
      <c r="J10" s="1199" t="s">
        <v>1081</v>
      </c>
      <c r="K10" s="1199" t="s">
        <v>1081</v>
      </c>
      <c r="L10" s="1199">
        <v>-2132.8000000000002</v>
      </c>
      <c r="M10" s="1199" t="s">
        <v>1081</v>
      </c>
      <c r="N10" s="1199" t="s">
        <v>1081</v>
      </c>
      <c r="O10" s="1199" t="s">
        <v>1081</v>
      </c>
      <c r="P10" s="1199" t="s">
        <v>1081</v>
      </c>
      <c r="Q10" s="1199" t="s">
        <v>1081</v>
      </c>
      <c r="R10" s="1199" t="s">
        <v>1081</v>
      </c>
      <c r="S10" s="1199" t="s">
        <v>1081</v>
      </c>
      <c r="T10" s="1200" t="s">
        <v>1081</v>
      </c>
    </row>
    <row r="11" spans="1:20">
      <c r="B11" s="1183" t="s">
        <v>1708</v>
      </c>
      <c r="C11" s="1199">
        <v>-11441.1</v>
      </c>
      <c r="D11" s="1199" t="s">
        <v>1081</v>
      </c>
      <c r="E11" s="1199" t="s">
        <v>1081</v>
      </c>
      <c r="F11" s="1199">
        <v>-11441.1</v>
      </c>
      <c r="G11" s="1199" t="s">
        <v>1081</v>
      </c>
      <c r="H11" s="1199" t="s">
        <v>1081</v>
      </c>
      <c r="I11" s="1199" t="s">
        <v>1081</v>
      </c>
      <c r="J11" s="1199">
        <v>-11441.1</v>
      </c>
      <c r="K11" s="1199" t="s">
        <v>1081</v>
      </c>
      <c r="L11" s="1199" t="s">
        <v>1081</v>
      </c>
      <c r="M11" s="1199" t="s">
        <v>1081</v>
      </c>
      <c r="N11" s="1199" t="s">
        <v>1081</v>
      </c>
      <c r="O11" s="1199" t="s">
        <v>1081</v>
      </c>
      <c r="P11" s="1199" t="s">
        <v>1081</v>
      </c>
      <c r="Q11" s="1199" t="s">
        <v>1081</v>
      </c>
      <c r="R11" s="1199" t="s">
        <v>1081</v>
      </c>
      <c r="S11" s="1199" t="s">
        <v>1081</v>
      </c>
      <c r="T11" s="1200" t="s">
        <v>1081</v>
      </c>
    </row>
    <row r="12" spans="1:20">
      <c r="B12" s="1187" t="s">
        <v>1709</v>
      </c>
      <c r="C12" s="1199">
        <v>23320.1</v>
      </c>
      <c r="D12" s="1199">
        <v>2572.6999999999998</v>
      </c>
      <c r="E12" s="1199" t="s">
        <v>1081</v>
      </c>
      <c r="F12" s="1199">
        <v>7955.7</v>
      </c>
      <c r="G12" s="1199" t="s">
        <v>1081</v>
      </c>
      <c r="H12" s="1199">
        <v>-170.7</v>
      </c>
      <c r="I12" s="1199">
        <v>2168.5</v>
      </c>
      <c r="J12" s="1199">
        <v>354</v>
      </c>
      <c r="K12" s="1199">
        <v>-43</v>
      </c>
      <c r="L12" s="1199">
        <v>2218.1</v>
      </c>
      <c r="M12" s="1199">
        <v>2663.5</v>
      </c>
      <c r="N12" s="1199">
        <v>122.8</v>
      </c>
      <c r="O12" s="1199">
        <v>642.5</v>
      </c>
      <c r="P12" s="1199">
        <v>12651.5</v>
      </c>
      <c r="Q12" s="1199">
        <v>37.799999999999997</v>
      </c>
      <c r="R12" s="1199" t="s">
        <v>1081</v>
      </c>
      <c r="S12" s="1199" t="s">
        <v>1081</v>
      </c>
      <c r="T12" s="1200">
        <v>102.4</v>
      </c>
    </row>
    <row r="13" spans="1:20">
      <c r="B13" s="1186" t="s">
        <v>1710</v>
      </c>
      <c r="C13" s="1201">
        <v>651928.6</v>
      </c>
      <c r="D13" s="1201">
        <v>283476.7</v>
      </c>
      <c r="E13" s="1199" t="s">
        <v>1081</v>
      </c>
      <c r="F13" s="1201">
        <v>-90266.7</v>
      </c>
      <c r="G13" s="1199" t="s">
        <v>1081</v>
      </c>
      <c r="H13" s="1199">
        <v>-905.8</v>
      </c>
      <c r="I13" s="1199">
        <v>3943.9</v>
      </c>
      <c r="J13" s="1199">
        <v>-21297.8</v>
      </c>
      <c r="K13" s="1199">
        <v>581.29999999999995</v>
      </c>
      <c r="L13" s="1199">
        <v>-69981.5</v>
      </c>
      <c r="M13" s="1199">
        <v>3581.1</v>
      </c>
      <c r="N13" s="1199">
        <v>122.8</v>
      </c>
      <c r="O13" s="1199">
        <v>-6310.7</v>
      </c>
      <c r="P13" s="1201">
        <v>445862.1</v>
      </c>
      <c r="Q13" s="1201">
        <v>12660.2</v>
      </c>
      <c r="R13" s="1199" t="s">
        <v>1081</v>
      </c>
      <c r="S13" s="1201">
        <v>-567</v>
      </c>
      <c r="T13" s="1202">
        <v>763.3</v>
      </c>
    </row>
    <row r="14" spans="1:20">
      <c r="B14" s="1185" t="s">
        <v>1711</v>
      </c>
      <c r="C14" s="1201">
        <v>6271</v>
      </c>
      <c r="D14" s="1201">
        <v>1585.9</v>
      </c>
      <c r="E14" s="1199" t="s">
        <v>1081</v>
      </c>
      <c r="F14" s="1201">
        <v>2512.8000000000002</v>
      </c>
      <c r="G14" s="1199" t="s">
        <v>1081</v>
      </c>
      <c r="H14" s="1199">
        <v>33.4</v>
      </c>
      <c r="I14" s="1199">
        <v>846.7</v>
      </c>
      <c r="J14" s="1199" t="s">
        <v>1081</v>
      </c>
      <c r="K14" s="1199">
        <v>86.1</v>
      </c>
      <c r="L14" s="1199">
        <v>1032.2</v>
      </c>
      <c r="M14" s="1199">
        <v>72.400000000000006</v>
      </c>
      <c r="N14" s="1199">
        <v>429.9</v>
      </c>
      <c r="O14" s="1199">
        <v>12.1</v>
      </c>
      <c r="P14" s="1201">
        <v>1785.3</v>
      </c>
      <c r="Q14" s="1199" t="s">
        <v>1081</v>
      </c>
      <c r="R14" s="1199" t="s">
        <v>1081</v>
      </c>
      <c r="S14" s="1201">
        <v>387</v>
      </c>
      <c r="T14" s="1200" t="s">
        <v>1081</v>
      </c>
    </row>
    <row r="15" spans="1:20">
      <c r="B15" s="1185" t="s">
        <v>1712</v>
      </c>
      <c r="C15" s="1199" t="s">
        <v>1081</v>
      </c>
      <c r="D15" s="1199" t="s">
        <v>1081</v>
      </c>
      <c r="E15" s="1199" t="s">
        <v>1081</v>
      </c>
      <c r="F15" s="1199" t="s">
        <v>1081</v>
      </c>
      <c r="G15" s="1199" t="s">
        <v>1081</v>
      </c>
      <c r="H15" s="1199" t="s">
        <v>1081</v>
      </c>
      <c r="I15" s="1199" t="s">
        <v>1081</v>
      </c>
      <c r="J15" s="1199" t="s">
        <v>1081</v>
      </c>
      <c r="K15" s="1199" t="s">
        <v>1081</v>
      </c>
      <c r="L15" s="1199" t="s">
        <v>1081</v>
      </c>
      <c r="M15" s="1199" t="s">
        <v>1081</v>
      </c>
      <c r="N15" s="1199" t="s">
        <v>1081</v>
      </c>
      <c r="O15" s="1199" t="s">
        <v>1081</v>
      </c>
      <c r="P15" s="1199" t="s">
        <v>1081</v>
      </c>
      <c r="Q15" s="1199" t="s">
        <v>1081</v>
      </c>
      <c r="R15" s="1199" t="s">
        <v>1081</v>
      </c>
      <c r="S15" s="1199" t="s">
        <v>1081</v>
      </c>
      <c r="T15" s="1200" t="s">
        <v>1081</v>
      </c>
    </row>
    <row r="16" spans="1:20">
      <c r="B16" s="1185" t="s">
        <v>1713</v>
      </c>
      <c r="C16" s="1201">
        <v>-159995.5</v>
      </c>
      <c r="D16" s="1201">
        <v>-279456</v>
      </c>
      <c r="E16" s="1199" t="s">
        <v>1081</v>
      </c>
      <c r="F16" s="1201">
        <v>253727.1</v>
      </c>
      <c r="G16" s="1199">
        <v>9170.6</v>
      </c>
      <c r="H16" s="1199">
        <v>8171.4</v>
      </c>
      <c r="I16" s="1199">
        <v>52868.800000000003</v>
      </c>
      <c r="J16" s="1199">
        <v>29725.3</v>
      </c>
      <c r="K16" s="1199" t="s">
        <v>1081</v>
      </c>
      <c r="L16" s="1199">
        <v>116800.7</v>
      </c>
      <c r="M16" s="1199">
        <v>-2756.9</v>
      </c>
      <c r="N16" s="1199">
        <v>7034.9</v>
      </c>
      <c r="O16" s="1199">
        <v>32712.3</v>
      </c>
      <c r="P16" s="1201">
        <v>-220267.1</v>
      </c>
      <c r="Q16" s="1201">
        <v>-9378.7999999999993</v>
      </c>
      <c r="R16" s="1201">
        <v>6501.1</v>
      </c>
      <c r="S16" s="1201">
        <v>88878.2</v>
      </c>
      <c r="T16" s="1200" t="s">
        <v>1081</v>
      </c>
    </row>
    <row r="17" spans="2:20">
      <c r="B17" s="1183" t="s">
        <v>1714</v>
      </c>
      <c r="C17" s="1199">
        <v>-90683.7</v>
      </c>
      <c r="D17" s="1199" t="s">
        <v>1081</v>
      </c>
      <c r="E17" s="1199" t="s">
        <v>1081</v>
      </c>
      <c r="F17" s="1199">
        <v>-2396.6</v>
      </c>
      <c r="G17" s="1199" t="s">
        <v>1081</v>
      </c>
      <c r="H17" s="1199" t="s">
        <v>1081</v>
      </c>
      <c r="I17" s="1199" t="s">
        <v>1081</v>
      </c>
      <c r="J17" s="1199" t="s">
        <v>1081</v>
      </c>
      <c r="K17" s="1199" t="s">
        <v>1081</v>
      </c>
      <c r="L17" s="1199">
        <v>-174.9</v>
      </c>
      <c r="M17" s="1199">
        <v>-2221.6999999999998</v>
      </c>
      <c r="N17" s="1199" t="s">
        <v>1081</v>
      </c>
      <c r="O17" s="1199" t="s">
        <v>1081</v>
      </c>
      <c r="P17" s="1199">
        <v>-139135.6</v>
      </c>
      <c r="Q17" s="1199">
        <v>-8964.7999999999993</v>
      </c>
      <c r="R17" s="1199" t="s">
        <v>1081</v>
      </c>
      <c r="S17" s="1199">
        <v>59813.3</v>
      </c>
      <c r="T17" s="1200" t="s">
        <v>1081</v>
      </c>
    </row>
    <row r="18" spans="2:20">
      <c r="B18" s="1183" t="s">
        <v>1715</v>
      </c>
      <c r="C18" s="1199">
        <v>-57810.3</v>
      </c>
      <c r="D18" s="1199" t="s">
        <v>1081</v>
      </c>
      <c r="E18" s="1199" t="s">
        <v>1081</v>
      </c>
      <c r="F18" s="1199">
        <v>-14315.8</v>
      </c>
      <c r="G18" s="1199" t="s">
        <v>1081</v>
      </c>
      <c r="H18" s="1199" t="s">
        <v>1081</v>
      </c>
      <c r="I18" s="1199" t="s">
        <v>1081</v>
      </c>
      <c r="J18" s="1199" t="s">
        <v>1081</v>
      </c>
      <c r="K18" s="1199" t="s">
        <v>1081</v>
      </c>
      <c r="L18" s="1199">
        <v>-17</v>
      </c>
      <c r="M18" s="1199">
        <v>-14298.8</v>
      </c>
      <c r="N18" s="1199" t="s">
        <v>1081</v>
      </c>
      <c r="O18" s="1199" t="s">
        <v>1081</v>
      </c>
      <c r="P18" s="1199">
        <v>-73635.899999999994</v>
      </c>
      <c r="Q18" s="1199" t="s">
        <v>1081</v>
      </c>
      <c r="R18" s="1199">
        <v>1076.5</v>
      </c>
      <c r="S18" s="1199">
        <v>29064.9</v>
      </c>
      <c r="T18" s="1200" t="s">
        <v>1081</v>
      </c>
    </row>
    <row r="19" spans="2:20">
      <c r="B19" s="1183" t="s">
        <v>1716</v>
      </c>
      <c r="C19" s="1199">
        <v>-1814.6</v>
      </c>
      <c r="D19" s="1199" t="s">
        <v>1081</v>
      </c>
      <c r="E19" s="1199" t="s">
        <v>1081</v>
      </c>
      <c r="F19" s="1199">
        <v>-17</v>
      </c>
      <c r="G19" s="1199" t="s">
        <v>1081</v>
      </c>
      <c r="H19" s="1199" t="s">
        <v>1081</v>
      </c>
      <c r="I19" s="1199" t="s">
        <v>1081</v>
      </c>
      <c r="J19" s="1199" t="s">
        <v>1081</v>
      </c>
      <c r="K19" s="1199" t="s">
        <v>1081</v>
      </c>
      <c r="L19" s="1199">
        <v>-4.3</v>
      </c>
      <c r="M19" s="1199">
        <v>-12.7</v>
      </c>
      <c r="N19" s="1199" t="s">
        <v>1081</v>
      </c>
      <c r="O19" s="1199" t="s">
        <v>1081</v>
      </c>
      <c r="P19" s="1199">
        <v>-7222.2</v>
      </c>
      <c r="Q19" s="1199" t="s">
        <v>1081</v>
      </c>
      <c r="R19" s="1199">
        <v>5424.6</v>
      </c>
      <c r="S19" s="1199" t="s">
        <v>1081</v>
      </c>
      <c r="T19" s="1200" t="s">
        <v>1081</v>
      </c>
    </row>
    <row r="20" spans="2:20">
      <c r="B20" s="1183" t="s">
        <v>1060</v>
      </c>
      <c r="C20" s="1199">
        <v>1524.6</v>
      </c>
      <c r="D20" s="1199" t="s">
        <v>1081</v>
      </c>
      <c r="E20" s="1199" t="s">
        <v>1081</v>
      </c>
      <c r="F20" s="1199">
        <v>1798</v>
      </c>
      <c r="G20" s="1199" t="s">
        <v>1081</v>
      </c>
      <c r="H20" s="1199">
        <v>711.4</v>
      </c>
      <c r="I20" s="1199" t="s">
        <v>1081</v>
      </c>
      <c r="J20" s="1199" t="s">
        <v>1081</v>
      </c>
      <c r="K20" s="1199" t="s">
        <v>1081</v>
      </c>
      <c r="L20" s="1199" t="s">
        <v>1081</v>
      </c>
      <c r="M20" s="1199" t="s">
        <v>1081</v>
      </c>
      <c r="N20" s="1199" t="s">
        <v>1081</v>
      </c>
      <c r="O20" s="1199">
        <v>1086.5999999999999</v>
      </c>
      <c r="P20" s="1199">
        <v>-273.39999999999998</v>
      </c>
      <c r="Q20" s="1199" t="s">
        <v>1081</v>
      </c>
      <c r="R20" s="1199" t="s">
        <v>1081</v>
      </c>
      <c r="S20" s="1199" t="s">
        <v>1081</v>
      </c>
      <c r="T20" s="1200" t="s">
        <v>1081</v>
      </c>
    </row>
    <row r="21" spans="2:20">
      <c r="B21" s="1183" t="s">
        <v>1717</v>
      </c>
      <c r="C21" s="1199" t="s">
        <v>1081</v>
      </c>
      <c r="D21" s="1199" t="s">
        <v>1081</v>
      </c>
      <c r="E21" s="1199" t="s">
        <v>1081</v>
      </c>
      <c r="F21" s="1199" t="s">
        <v>1081</v>
      </c>
      <c r="G21" s="1199" t="s">
        <v>1081</v>
      </c>
      <c r="H21" s="1199" t="s">
        <v>1081</v>
      </c>
      <c r="I21" s="1199" t="s">
        <v>1081</v>
      </c>
      <c r="J21" s="1199" t="s">
        <v>1081</v>
      </c>
      <c r="K21" s="1199" t="s">
        <v>1081</v>
      </c>
      <c r="L21" s="1199" t="s">
        <v>1081</v>
      </c>
      <c r="M21" s="1199" t="s">
        <v>1081</v>
      </c>
      <c r="N21" s="1199" t="s">
        <v>1081</v>
      </c>
      <c r="O21" s="1199" t="s">
        <v>1081</v>
      </c>
      <c r="P21" s="1199" t="s">
        <v>1081</v>
      </c>
      <c r="Q21" s="1199" t="s">
        <v>1081</v>
      </c>
      <c r="R21" s="1199" t="s">
        <v>1081</v>
      </c>
      <c r="S21" s="1199" t="s">
        <v>1081</v>
      </c>
      <c r="T21" s="1200" t="s">
        <v>1081</v>
      </c>
    </row>
    <row r="22" spans="2:20" ht="15">
      <c r="B22" s="1184" t="s">
        <v>1642</v>
      </c>
      <c r="C22" s="1199">
        <v>-11785.7</v>
      </c>
      <c r="D22" s="1199">
        <v>-279456</v>
      </c>
      <c r="E22" s="1199" t="s">
        <v>1081</v>
      </c>
      <c r="F22" s="1199">
        <v>267670.3</v>
      </c>
      <c r="G22" s="1199">
        <v>9170.6</v>
      </c>
      <c r="H22" s="1199">
        <v>7460</v>
      </c>
      <c r="I22" s="1199">
        <v>52868.800000000003</v>
      </c>
      <c r="J22" s="1199">
        <v>29725.3</v>
      </c>
      <c r="K22" s="1199" t="s">
        <v>1081</v>
      </c>
      <c r="L22" s="1199">
        <v>116996.9</v>
      </c>
      <c r="M22" s="1199">
        <v>13776.3</v>
      </c>
      <c r="N22" s="1199">
        <v>7034.9</v>
      </c>
      <c r="O22" s="1199">
        <v>30637.5</v>
      </c>
      <c r="P22" s="1199" t="s">
        <v>1081</v>
      </c>
      <c r="Q22" s="1199" t="s">
        <v>1081</v>
      </c>
      <c r="R22" s="1199" t="s">
        <v>1081</v>
      </c>
      <c r="S22" s="1199" t="s">
        <v>1081</v>
      </c>
      <c r="T22" s="1200" t="s">
        <v>1081</v>
      </c>
    </row>
    <row r="23" spans="2:20" ht="15">
      <c r="B23" s="1184" t="s">
        <v>1718</v>
      </c>
      <c r="C23" s="1199">
        <v>988.2</v>
      </c>
      <c r="D23" s="1199" t="s">
        <v>1081</v>
      </c>
      <c r="E23" s="1199" t="s">
        <v>1081</v>
      </c>
      <c r="F23" s="1199">
        <v>988.2</v>
      </c>
      <c r="G23" s="1199" t="s">
        <v>1081</v>
      </c>
      <c r="H23" s="1199" t="s">
        <v>1081</v>
      </c>
      <c r="I23" s="1199" t="s">
        <v>1081</v>
      </c>
      <c r="J23" s="1199" t="s">
        <v>1081</v>
      </c>
      <c r="K23" s="1199" t="s">
        <v>1081</v>
      </c>
      <c r="L23" s="1199" t="s">
        <v>1081</v>
      </c>
      <c r="M23" s="1199" t="s">
        <v>1081</v>
      </c>
      <c r="N23" s="1199" t="s">
        <v>1081</v>
      </c>
      <c r="O23" s="1199">
        <v>988.2</v>
      </c>
      <c r="P23" s="1199" t="s">
        <v>1081</v>
      </c>
      <c r="Q23" s="1199" t="s">
        <v>1081</v>
      </c>
      <c r="R23" s="1199" t="s">
        <v>1081</v>
      </c>
      <c r="S23" s="1199" t="s">
        <v>1081</v>
      </c>
      <c r="T23" s="1200" t="s">
        <v>1081</v>
      </c>
    </row>
    <row r="24" spans="2:20">
      <c r="B24" s="1183" t="s">
        <v>1719</v>
      </c>
      <c r="C24" s="1199">
        <v>-414</v>
      </c>
      <c r="D24" s="1199" t="s">
        <v>1081</v>
      </c>
      <c r="E24" s="1199" t="s">
        <v>1081</v>
      </c>
      <c r="F24" s="1199" t="s">
        <v>1081</v>
      </c>
      <c r="G24" s="1199" t="s">
        <v>1081</v>
      </c>
      <c r="H24" s="1199" t="s">
        <v>1081</v>
      </c>
      <c r="I24" s="1199" t="s">
        <v>1081</v>
      </c>
      <c r="J24" s="1199" t="s">
        <v>1081</v>
      </c>
      <c r="K24" s="1199" t="s">
        <v>1081</v>
      </c>
      <c r="L24" s="1199" t="s">
        <v>1081</v>
      </c>
      <c r="M24" s="1199" t="s">
        <v>1081</v>
      </c>
      <c r="N24" s="1199" t="s">
        <v>1081</v>
      </c>
      <c r="O24" s="1199" t="s">
        <v>1081</v>
      </c>
      <c r="P24" s="1199" t="s">
        <v>1081</v>
      </c>
      <c r="Q24" s="1199">
        <v>-414</v>
      </c>
      <c r="R24" s="1199" t="s">
        <v>1081</v>
      </c>
      <c r="S24" s="1199" t="s">
        <v>1081</v>
      </c>
      <c r="T24" s="1200" t="s">
        <v>1081</v>
      </c>
    </row>
    <row r="25" spans="2:20" ht="15">
      <c r="B25" s="1182" t="s">
        <v>1720</v>
      </c>
      <c r="C25" s="1201">
        <v>48858</v>
      </c>
      <c r="D25" s="1201">
        <v>491.3</v>
      </c>
      <c r="E25" s="1199" t="s">
        <v>1081</v>
      </c>
      <c r="F25" s="1201">
        <v>13938.9</v>
      </c>
      <c r="G25" s="1199">
        <v>9170.6</v>
      </c>
      <c r="H25" s="1199" t="s">
        <v>1081</v>
      </c>
      <c r="I25" s="1199" t="s">
        <v>1081</v>
      </c>
      <c r="J25" s="1199" t="s">
        <v>1081</v>
      </c>
      <c r="K25" s="1199" t="s">
        <v>1081</v>
      </c>
      <c r="L25" s="1199" t="s">
        <v>1081</v>
      </c>
      <c r="M25" s="1199" t="s">
        <v>1081</v>
      </c>
      <c r="N25" s="1199" t="s">
        <v>1081</v>
      </c>
      <c r="O25" s="1199">
        <v>4768.3</v>
      </c>
      <c r="P25" s="1201">
        <v>19647.2</v>
      </c>
      <c r="Q25" s="1199" t="s">
        <v>1081</v>
      </c>
      <c r="R25" s="1201">
        <v>612.1</v>
      </c>
      <c r="S25" s="1201">
        <v>14168.5</v>
      </c>
      <c r="T25" s="1200" t="s">
        <v>1081</v>
      </c>
    </row>
    <row r="26" spans="2:20" ht="15">
      <c r="B26" s="1182" t="s">
        <v>1721</v>
      </c>
      <c r="C26" s="1201">
        <v>55461.8</v>
      </c>
      <c r="D26" s="1201">
        <v>1943.5</v>
      </c>
      <c r="E26" s="1199" t="s">
        <v>1081</v>
      </c>
      <c r="F26" s="1199" t="s">
        <v>1081</v>
      </c>
      <c r="G26" s="1199" t="s">
        <v>1081</v>
      </c>
      <c r="H26" s="1199" t="s">
        <v>1081</v>
      </c>
      <c r="I26" s="1199" t="s">
        <v>1081</v>
      </c>
      <c r="J26" s="1199" t="s">
        <v>1081</v>
      </c>
      <c r="K26" s="1199" t="s">
        <v>1081</v>
      </c>
      <c r="L26" s="1199" t="s">
        <v>1081</v>
      </c>
      <c r="M26" s="1199" t="s">
        <v>1081</v>
      </c>
      <c r="N26" s="1199" t="s">
        <v>1081</v>
      </c>
      <c r="O26" s="1199" t="s">
        <v>1081</v>
      </c>
      <c r="P26" s="1201">
        <v>42458.2</v>
      </c>
      <c r="Q26" s="1199" t="s">
        <v>1081</v>
      </c>
      <c r="R26" s="1201">
        <v>733.1</v>
      </c>
      <c r="S26" s="1201">
        <v>10327</v>
      </c>
      <c r="T26" s="1200" t="s">
        <v>1081</v>
      </c>
    </row>
    <row r="27" spans="2:20" ht="15">
      <c r="B27" s="1182" t="s">
        <v>1722</v>
      </c>
      <c r="C27" s="1201">
        <v>381342.3</v>
      </c>
      <c r="D27" s="1199" t="s">
        <v>1081</v>
      </c>
      <c r="E27" s="1199" t="s">
        <v>1081</v>
      </c>
      <c r="F27" s="1201">
        <v>147008.70000000001</v>
      </c>
      <c r="G27" s="1199" t="s">
        <v>1081</v>
      </c>
      <c r="H27" s="1199">
        <v>7232.2</v>
      </c>
      <c r="I27" s="1199">
        <v>55966</v>
      </c>
      <c r="J27" s="1199">
        <v>8427.5</v>
      </c>
      <c r="K27" s="1199">
        <v>495.2</v>
      </c>
      <c r="L27" s="1199">
        <v>45787</v>
      </c>
      <c r="M27" s="1199">
        <v>751.8</v>
      </c>
      <c r="N27" s="1199">
        <v>6727.8</v>
      </c>
      <c r="O27" s="1199">
        <v>21621.200000000001</v>
      </c>
      <c r="P27" s="1201">
        <v>161704.29999999999</v>
      </c>
      <c r="Q27" s="1201">
        <v>3281.4</v>
      </c>
      <c r="R27" s="1201">
        <v>5155.8999999999996</v>
      </c>
      <c r="S27" s="1201">
        <v>63428.7</v>
      </c>
      <c r="T27" s="1202">
        <v>763.3</v>
      </c>
    </row>
    <row r="28" spans="2:20" ht="15">
      <c r="B28" s="1182" t="s">
        <v>1723</v>
      </c>
      <c r="C28" s="1201">
        <v>344985</v>
      </c>
      <c r="D28" s="1199" t="s">
        <v>1081</v>
      </c>
      <c r="E28" s="1199" t="s">
        <v>1081</v>
      </c>
      <c r="F28" s="1201">
        <v>112682.9</v>
      </c>
      <c r="G28" s="1199" t="s">
        <v>1081</v>
      </c>
      <c r="H28" s="1199">
        <v>2119.8000000000002</v>
      </c>
      <c r="I28" s="1199">
        <v>55966</v>
      </c>
      <c r="J28" s="1199">
        <v>8151.2</v>
      </c>
      <c r="K28" s="1199">
        <v>68.900000000000006</v>
      </c>
      <c r="L28" s="1199">
        <v>45710.2</v>
      </c>
      <c r="M28" s="1199">
        <v>666.8</v>
      </c>
      <c r="N28" s="1199" t="s">
        <v>1081</v>
      </c>
      <c r="O28" s="1199" t="s">
        <v>1081</v>
      </c>
      <c r="P28" s="1201">
        <v>160306</v>
      </c>
      <c r="Q28" s="1201">
        <v>3281.4</v>
      </c>
      <c r="R28" s="1201">
        <v>5155.8999999999996</v>
      </c>
      <c r="S28" s="1201">
        <v>63428.7</v>
      </c>
      <c r="T28" s="1202">
        <v>130.1</v>
      </c>
    </row>
    <row r="29" spans="2:20">
      <c r="B29" s="1181" t="s">
        <v>1725</v>
      </c>
      <c r="C29" s="1201">
        <v>56164.5</v>
      </c>
      <c r="D29" s="1199" t="s">
        <v>1081</v>
      </c>
      <c r="E29" s="1199" t="s">
        <v>1081</v>
      </c>
      <c r="F29" s="1201">
        <v>2827.8</v>
      </c>
      <c r="G29" s="1199" t="s">
        <v>1081</v>
      </c>
      <c r="H29" s="1199">
        <v>147</v>
      </c>
      <c r="I29" s="1199" t="s">
        <v>1081</v>
      </c>
      <c r="J29" s="1199" t="s">
        <v>1081</v>
      </c>
      <c r="K29" s="1199">
        <v>4.3</v>
      </c>
      <c r="L29" s="1199">
        <v>2137.1</v>
      </c>
      <c r="M29" s="1199">
        <v>539.4</v>
      </c>
      <c r="N29" s="1199" t="s">
        <v>1081</v>
      </c>
      <c r="O29" s="1199" t="s">
        <v>1081</v>
      </c>
      <c r="P29" s="1201">
        <v>41930.9</v>
      </c>
      <c r="Q29" s="1201">
        <v>19</v>
      </c>
      <c r="R29" s="1199" t="s">
        <v>1081</v>
      </c>
      <c r="S29" s="1201">
        <v>11386.8</v>
      </c>
      <c r="T29" s="1200" t="s">
        <v>1081</v>
      </c>
    </row>
    <row r="30" spans="2:20" ht="15">
      <c r="B30" s="1176" t="s">
        <v>1727</v>
      </c>
      <c r="C30" s="1199">
        <v>2787.2</v>
      </c>
      <c r="D30" s="1199" t="s">
        <v>1081</v>
      </c>
      <c r="E30" s="1199" t="s">
        <v>1081</v>
      </c>
      <c r="F30" s="1199">
        <v>25.5</v>
      </c>
      <c r="G30" s="1199" t="s">
        <v>1081</v>
      </c>
      <c r="H30" s="1199" t="s">
        <v>1081</v>
      </c>
      <c r="I30" s="1199" t="s">
        <v>1081</v>
      </c>
      <c r="J30" s="1199" t="s">
        <v>1081</v>
      </c>
      <c r="K30" s="1199" t="s">
        <v>1081</v>
      </c>
      <c r="L30" s="1199" t="s">
        <v>1081</v>
      </c>
      <c r="M30" s="1199">
        <v>25.5</v>
      </c>
      <c r="N30" s="1199" t="s">
        <v>1081</v>
      </c>
      <c r="O30" s="1199" t="s">
        <v>1081</v>
      </c>
      <c r="P30" s="1199">
        <v>1835.8</v>
      </c>
      <c r="Q30" s="1199" t="s">
        <v>1081</v>
      </c>
      <c r="R30" s="1199" t="s">
        <v>1081</v>
      </c>
      <c r="S30" s="1199">
        <v>925.9</v>
      </c>
      <c r="T30" s="1200" t="s">
        <v>1081</v>
      </c>
    </row>
    <row r="31" spans="2:20" ht="15">
      <c r="B31" s="1176" t="s">
        <v>1729</v>
      </c>
      <c r="C31" s="1199">
        <v>11521.8</v>
      </c>
      <c r="D31" s="1199" t="s">
        <v>1081</v>
      </c>
      <c r="E31" s="1199" t="s">
        <v>1081</v>
      </c>
      <c r="F31" s="1199">
        <v>8.6</v>
      </c>
      <c r="G31" s="1199" t="s">
        <v>1081</v>
      </c>
      <c r="H31" s="1199" t="s">
        <v>1081</v>
      </c>
      <c r="I31" s="1199" t="s">
        <v>1081</v>
      </c>
      <c r="J31" s="1199" t="s">
        <v>1081</v>
      </c>
      <c r="K31" s="1199">
        <v>4.3</v>
      </c>
      <c r="L31" s="1199">
        <v>4.3</v>
      </c>
      <c r="M31" s="1199" t="s">
        <v>1081</v>
      </c>
      <c r="N31" s="1199" t="s">
        <v>1081</v>
      </c>
      <c r="O31" s="1199" t="s">
        <v>1081</v>
      </c>
      <c r="P31" s="1199">
        <v>10151.700000000001</v>
      </c>
      <c r="Q31" s="1199" t="s">
        <v>1081</v>
      </c>
      <c r="R31" s="1199" t="s">
        <v>1081</v>
      </c>
      <c r="S31" s="1199">
        <v>1361.5</v>
      </c>
      <c r="T31" s="1200" t="s">
        <v>1081</v>
      </c>
    </row>
    <row r="32" spans="2:20" ht="15">
      <c r="B32" s="1176" t="s">
        <v>1730</v>
      </c>
      <c r="C32" s="1199">
        <v>3130</v>
      </c>
      <c r="D32" s="1199" t="s">
        <v>1081</v>
      </c>
      <c r="E32" s="1199" t="s">
        <v>1081</v>
      </c>
      <c r="F32" s="1199">
        <v>4.2</v>
      </c>
      <c r="G32" s="1199" t="s">
        <v>1081</v>
      </c>
      <c r="H32" s="1199" t="s">
        <v>1081</v>
      </c>
      <c r="I32" s="1199" t="s">
        <v>1081</v>
      </c>
      <c r="J32" s="1199" t="s">
        <v>1081</v>
      </c>
      <c r="K32" s="1199" t="s">
        <v>1081</v>
      </c>
      <c r="L32" s="1199" t="s">
        <v>1081</v>
      </c>
      <c r="M32" s="1199">
        <v>4.2</v>
      </c>
      <c r="N32" s="1199" t="s">
        <v>1081</v>
      </c>
      <c r="O32" s="1199" t="s">
        <v>1081</v>
      </c>
      <c r="P32" s="1199">
        <v>168</v>
      </c>
      <c r="Q32" s="1199" t="s">
        <v>1081</v>
      </c>
      <c r="R32" s="1199" t="s">
        <v>1081</v>
      </c>
      <c r="S32" s="1199">
        <v>2957.8</v>
      </c>
      <c r="T32" s="1200" t="s">
        <v>1081</v>
      </c>
    </row>
    <row r="33" spans="2:20" ht="15">
      <c r="B33" s="1176" t="s">
        <v>1732</v>
      </c>
      <c r="C33" s="1199">
        <v>11138.4</v>
      </c>
      <c r="D33" s="1199" t="s">
        <v>1081</v>
      </c>
      <c r="E33" s="1199" t="s">
        <v>1081</v>
      </c>
      <c r="F33" s="1199">
        <v>38.299999999999997</v>
      </c>
      <c r="G33" s="1199" t="s">
        <v>1081</v>
      </c>
      <c r="H33" s="1199" t="s">
        <v>1081</v>
      </c>
      <c r="I33" s="1199" t="s">
        <v>1081</v>
      </c>
      <c r="J33" s="1199" t="s">
        <v>1081</v>
      </c>
      <c r="K33" s="1199" t="s">
        <v>1081</v>
      </c>
      <c r="L33" s="1199">
        <v>4.3</v>
      </c>
      <c r="M33" s="1199">
        <v>34</v>
      </c>
      <c r="N33" s="1199" t="s">
        <v>1081</v>
      </c>
      <c r="O33" s="1199" t="s">
        <v>1081</v>
      </c>
      <c r="P33" s="1199">
        <v>9960.2999999999993</v>
      </c>
      <c r="Q33" s="1199" t="s">
        <v>1081</v>
      </c>
      <c r="R33" s="1199" t="s">
        <v>1081</v>
      </c>
      <c r="S33" s="1199">
        <v>1139.8</v>
      </c>
      <c r="T33" s="1200" t="s">
        <v>1081</v>
      </c>
    </row>
    <row r="34" spans="2:20" ht="15">
      <c r="B34" s="1176" t="s">
        <v>1734</v>
      </c>
      <c r="C34" s="1199">
        <v>390.2</v>
      </c>
      <c r="D34" s="1199" t="s">
        <v>1081</v>
      </c>
      <c r="E34" s="1199" t="s">
        <v>1081</v>
      </c>
      <c r="F34" s="1199">
        <v>4.3</v>
      </c>
      <c r="G34" s="1199" t="s">
        <v>1081</v>
      </c>
      <c r="H34" s="1199" t="s">
        <v>1081</v>
      </c>
      <c r="I34" s="1199" t="s">
        <v>1081</v>
      </c>
      <c r="J34" s="1199" t="s">
        <v>1081</v>
      </c>
      <c r="K34" s="1199" t="s">
        <v>1081</v>
      </c>
      <c r="L34" s="1199">
        <v>4.3</v>
      </c>
      <c r="M34" s="1199" t="s">
        <v>1081</v>
      </c>
      <c r="N34" s="1199" t="s">
        <v>1081</v>
      </c>
      <c r="O34" s="1199" t="s">
        <v>1081</v>
      </c>
      <c r="P34" s="1199">
        <v>367.2</v>
      </c>
      <c r="Q34" s="1199" t="s">
        <v>1081</v>
      </c>
      <c r="R34" s="1199" t="s">
        <v>1081</v>
      </c>
      <c r="S34" s="1199">
        <v>18.7</v>
      </c>
      <c r="T34" s="1200" t="s">
        <v>1081</v>
      </c>
    </row>
    <row r="35" spans="2:20" ht="15">
      <c r="B35" s="1176" t="s">
        <v>1010</v>
      </c>
      <c r="C35" s="1199">
        <v>1811.6</v>
      </c>
      <c r="D35" s="1199" t="s">
        <v>1081</v>
      </c>
      <c r="E35" s="1199" t="s">
        <v>1081</v>
      </c>
      <c r="F35" s="1199">
        <v>4.3</v>
      </c>
      <c r="G35" s="1199" t="s">
        <v>1081</v>
      </c>
      <c r="H35" s="1199" t="s">
        <v>1081</v>
      </c>
      <c r="I35" s="1199" t="s">
        <v>1081</v>
      </c>
      <c r="J35" s="1199" t="s">
        <v>1081</v>
      </c>
      <c r="K35" s="1199" t="s">
        <v>1081</v>
      </c>
      <c r="L35" s="1199">
        <v>4.3</v>
      </c>
      <c r="M35" s="1199" t="s">
        <v>1081</v>
      </c>
      <c r="N35" s="1199" t="s">
        <v>1081</v>
      </c>
      <c r="O35" s="1199" t="s">
        <v>1081</v>
      </c>
      <c r="P35" s="1199">
        <v>1136.5999999999999</v>
      </c>
      <c r="Q35" s="1199" t="s">
        <v>1081</v>
      </c>
      <c r="R35" s="1199" t="s">
        <v>1081</v>
      </c>
      <c r="S35" s="1199">
        <v>670.7</v>
      </c>
      <c r="T35" s="1200" t="s">
        <v>1081</v>
      </c>
    </row>
    <row r="36" spans="2:20">
      <c r="B36" s="1175" t="s">
        <v>948</v>
      </c>
      <c r="C36" s="1199">
        <v>743.7</v>
      </c>
      <c r="D36" s="1199" t="s">
        <v>1081</v>
      </c>
      <c r="E36" s="1199" t="s">
        <v>1081</v>
      </c>
      <c r="F36" s="1199">
        <v>170.6</v>
      </c>
      <c r="G36" s="1199" t="s">
        <v>1081</v>
      </c>
      <c r="H36" s="1199" t="s">
        <v>1081</v>
      </c>
      <c r="I36" s="1199" t="s">
        <v>1081</v>
      </c>
      <c r="J36" s="1199" t="s">
        <v>1081</v>
      </c>
      <c r="K36" s="1199" t="s">
        <v>1081</v>
      </c>
      <c r="L36" s="1199">
        <v>170.6</v>
      </c>
      <c r="M36" s="1199" t="s">
        <v>1081</v>
      </c>
      <c r="N36" s="1199" t="s">
        <v>1081</v>
      </c>
      <c r="O36" s="1199" t="s">
        <v>1081</v>
      </c>
      <c r="P36" s="1199">
        <v>285.10000000000002</v>
      </c>
      <c r="Q36" s="1199" t="s">
        <v>1081</v>
      </c>
      <c r="R36" s="1199" t="s">
        <v>1081</v>
      </c>
      <c r="S36" s="1199">
        <v>288</v>
      </c>
      <c r="T36" s="1200" t="s">
        <v>1081</v>
      </c>
    </row>
    <row r="37" spans="2:20">
      <c r="B37" s="1175" t="s">
        <v>1738</v>
      </c>
      <c r="C37" s="1199">
        <v>16409.599999999999</v>
      </c>
      <c r="D37" s="1199" t="s">
        <v>1081</v>
      </c>
      <c r="E37" s="1199" t="s">
        <v>1081</v>
      </c>
      <c r="F37" s="1199">
        <v>345.5</v>
      </c>
      <c r="G37" s="1199" t="s">
        <v>1081</v>
      </c>
      <c r="H37" s="1199">
        <v>9.5</v>
      </c>
      <c r="I37" s="1199" t="s">
        <v>1081</v>
      </c>
      <c r="J37" s="1199" t="s">
        <v>1081</v>
      </c>
      <c r="K37" s="1199" t="s">
        <v>1081</v>
      </c>
      <c r="L37" s="1199">
        <v>119.4</v>
      </c>
      <c r="M37" s="1199">
        <v>216.6</v>
      </c>
      <c r="N37" s="1199" t="s">
        <v>1081</v>
      </c>
      <c r="O37" s="1199" t="s">
        <v>1081</v>
      </c>
      <c r="P37" s="1199">
        <v>14729.5</v>
      </c>
      <c r="Q37" s="1199">
        <v>12.7</v>
      </c>
      <c r="R37" s="1199" t="s">
        <v>1081</v>
      </c>
      <c r="S37" s="1199">
        <v>1321.9</v>
      </c>
      <c r="T37" s="1200" t="s">
        <v>1081</v>
      </c>
    </row>
    <row r="38" spans="2:20">
      <c r="B38" s="1175" t="s">
        <v>1740</v>
      </c>
      <c r="C38" s="1199">
        <v>248.4</v>
      </c>
      <c r="D38" s="1199" t="s">
        <v>1081</v>
      </c>
      <c r="E38" s="1199" t="s">
        <v>1081</v>
      </c>
      <c r="F38" s="1199" t="s">
        <v>1081</v>
      </c>
      <c r="G38" s="1199" t="s">
        <v>1081</v>
      </c>
      <c r="H38" s="1199" t="s">
        <v>1081</v>
      </c>
      <c r="I38" s="1199" t="s">
        <v>1081</v>
      </c>
      <c r="J38" s="1199" t="s">
        <v>1081</v>
      </c>
      <c r="K38" s="1199" t="s">
        <v>1081</v>
      </c>
      <c r="L38" s="1199" t="s">
        <v>1081</v>
      </c>
      <c r="M38" s="1199" t="s">
        <v>1081</v>
      </c>
      <c r="N38" s="1199" t="s">
        <v>1081</v>
      </c>
      <c r="O38" s="1199" t="s">
        <v>1081</v>
      </c>
      <c r="P38" s="1199">
        <v>78.099999999999994</v>
      </c>
      <c r="Q38" s="1199" t="s">
        <v>1081</v>
      </c>
      <c r="R38" s="1199" t="s">
        <v>1081</v>
      </c>
      <c r="S38" s="1199">
        <v>170.3</v>
      </c>
      <c r="T38" s="1200" t="s">
        <v>1081</v>
      </c>
    </row>
    <row r="39" spans="2:20" ht="15">
      <c r="B39" s="1176" t="s">
        <v>1742</v>
      </c>
      <c r="C39" s="1199">
        <v>156.9</v>
      </c>
      <c r="D39" s="1199" t="s">
        <v>1081</v>
      </c>
      <c r="E39" s="1199" t="s">
        <v>1081</v>
      </c>
      <c r="F39" s="1199" t="s">
        <v>1081</v>
      </c>
      <c r="G39" s="1199" t="s">
        <v>1081</v>
      </c>
      <c r="H39" s="1199" t="s">
        <v>1081</v>
      </c>
      <c r="I39" s="1199" t="s">
        <v>1081</v>
      </c>
      <c r="J39" s="1199" t="s">
        <v>1081</v>
      </c>
      <c r="K39" s="1199" t="s">
        <v>1081</v>
      </c>
      <c r="L39" s="1199" t="s">
        <v>1081</v>
      </c>
      <c r="M39" s="1199" t="s">
        <v>1081</v>
      </c>
      <c r="N39" s="1199" t="s">
        <v>1081</v>
      </c>
      <c r="O39" s="1199" t="s">
        <v>1081</v>
      </c>
      <c r="P39" s="1199">
        <v>109.4</v>
      </c>
      <c r="Q39" s="1199" t="s">
        <v>1081</v>
      </c>
      <c r="R39" s="1199" t="s">
        <v>1081</v>
      </c>
      <c r="S39" s="1199">
        <v>47.5</v>
      </c>
      <c r="T39" s="1200" t="s">
        <v>1081</v>
      </c>
    </row>
    <row r="40" spans="2:20">
      <c r="B40" s="1175" t="s">
        <v>1744</v>
      </c>
      <c r="C40" s="1199">
        <v>505.9</v>
      </c>
      <c r="D40" s="1199" t="s">
        <v>1081</v>
      </c>
      <c r="E40" s="1199" t="s">
        <v>1081</v>
      </c>
      <c r="F40" s="1199">
        <v>12.7</v>
      </c>
      <c r="G40" s="1199" t="s">
        <v>1081</v>
      </c>
      <c r="H40" s="1199" t="s">
        <v>1081</v>
      </c>
      <c r="I40" s="1199" t="s">
        <v>1081</v>
      </c>
      <c r="J40" s="1199" t="s">
        <v>1081</v>
      </c>
      <c r="K40" s="1199" t="s">
        <v>1081</v>
      </c>
      <c r="L40" s="1199">
        <v>8.5</v>
      </c>
      <c r="M40" s="1199">
        <v>4.2</v>
      </c>
      <c r="N40" s="1199" t="s">
        <v>1081</v>
      </c>
      <c r="O40" s="1199" t="s">
        <v>1081</v>
      </c>
      <c r="P40" s="1199">
        <v>257.8</v>
      </c>
      <c r="Q40" s="1199" t="s">
        <v>1081</v>
      </c>
      <c r="R40" s="1199" t="s">
        <v>1081</v>
      </c>
      <c r="S40" s="1199">
        <v>235.4</v>
      </c>
      <c r="T40" s="1200" t="s">
        <v>1081</v>
      </c>
    </row>
    <row r="41" spans="2:20">
      <c r="B41" s="1175" t="s">
        <v>1000</v>
      </c>
      <c r="C41" s="1199">
        <v>6034</v>
      </c>
      <c r="D41" s="1199" t="s">
        <v>1081</v>
      </c>
      <c r="E41" s="1199" t="s">
        <v>1081</v>
      </c>
      <c r="F41" s="1199">
        <v>2209.5</v>
      </c>
      <c r="G41" s="1199" t="s">
        <v>1081</v>
      </c>
      <c r="H41" s="1199">
        <v>137.5</v>
      </c>
      <c r="I41" s="1199" t="s">
        <v>1081</v>
      </c>
      <c r="J41" s="1199" t="s">
        <v>1081</v>
      </c>
      <c r="K41" s="1199" t="s">
        <v>1081</v>
      </c>
      <c r="L41" s="1199">
        <v>1817.1</v>
      </c>
      <c r="M41" s="1199">
        <v>254.9</v>
      </c>
      <c r="N41" s="1199" t="s">
        <v>1081</v>
      </c>
      <c r="O41" s="1199" t="s">
        <v>1081</v>
      </c>
      <c r="P41" s="1199">
        <v>1874.9</v>
      </c>
      <c r="Q41" s="1199">
        <v>6.3</v>
      </c>
      <c r="R41" s="1199" t="s">
        <v>1081</v>
      </c>
      <c r="S41" s="1199">
        <v>1943.3</v>
      </c>
      <c r="T41" s="1200" t="s">
        <v>1081</v>
      </c>
    </row>
    <row r="42" spans="2:20" ht="15">
      <c r="B42" s="1176" t="s">
        <v>1745</v>
      </c>
      <c r="C42" s="1199">
        <v>1286.8</v>
      </c>
      <c r="D42" s="1199" t="s">
        <v>1081</v>
      </c>
      <c r="E42" s="1199" t="s">
        <v>1081</v>
      </c>
      <c r="F42" s="1199">
        <v>4.3</v>
      </c>
      <c r="G42" s="1199" t="s">
        <v>1081</v>
      </c>
      <c r="H42" s="1199" t="s">
        <v>1081</v>
      </c>
      <c r="I42" s="1199" t="s">
        <v>1081</v>
      </c>
      <c r="J42" s="1199" t="s">
        <v>1081</v>
      </c>
      <c r="K42" s="1199" t="s">
        <v>1081</v>
      </c>
      <c r="L42" s="1199">
        <v>4.3</v>
      </c>
      <c r="M42" s="1199" t="s">
        <v>1081</v>
      </c>
      <c r="N42" s="1199" t="s">
        <v>1081</v>
      </c>
      <c r="O42" s="1199" t="s">
        <v>1081</v>
      </c>
      <c r="P42" s="1199">
        <v>976.5</v>
      </c>
      <c r="Q42" s="1199" t="s">
        <v>1081</v>
      </c>
      <c r="R42" s="1199" t="s">
        <v>1081</v>
      </c>
      <c r="S42" s="1199">
        <v>306</v>
      </c>
      <c r="T42" s="1200" t="s">
        <v>1081</v>
      </c>
    </row>
    <row r="43" spans="2:20" ht="15">
      <c r="B43" s="1179" t="s">
        <v>994</v>
      </c>
      <c r="C43" s="1201">
        <v>96866</v>
      </c>
      <c r="D43" s="1199" t="s">
        <v>1081</v>
      </c>
      <c r="E43" s="1199" t="s">
        <v>1081</v>
      </c>
      <c r="F43" s="1201">
        <v>94826.5</v>
      </c>
      <c r="G43" s="1199" t="s">
        <v>1081</v>
      </c>
      <c r="H43" s="1199">
        <v>1005.4</v>
      </c>
      <c r="I43" s="1199">
        <v>55503.8</v>
      </c>
      <c r="J43" s="1199">
        <v>8151.2</v>
      </c>
      <c r="K43" s="1199" t="s">
        <v>1081</v>
      </c>
      <c r="L43" s="1199">
        <v>30106.6</v>
      </c>
      <c r="M43" s="1199">
        <v>59.5</v>
      </c>
      <c r="N43" s="1199" t="s">
        <v>1081</v>
      </c>
      <c r="O43" s="1199" t="s">
        <v>1081</v>
      </c>
      <c r="P43" s="1201">
        <v>171.8</v>
      </c>
      <c r="Q43" s="1201">
        <v>8.4</v>
      </c>
      <c r="R43" s="1199" t="s">
        <v>1081</v>
      </c>
      <c r="S43" s="1201">
        <v>1734.8</v>
      </c>
      <c r="T43" s="1202">
        <v>124.5</v>
      </c>
    </row>
    <row r="44" spans="2:20">
      <c r="B44" s="1175" t="s">
        <v>1747</v>
      </c>
      <c r="C44" s="1199">
        <v>85428.3</v>
      </c>
      <c r="D44" s="1199" t="s">
        <v>1081</v>
      </c>
      <c r="E44" s="1199" t="s">
        <v>1081</v>
      </c>
      <c r="F44" s="1199">
        <v>85276</v>
      </c>
      <c r="G44" s="1199" t="s">
        <v>1081</v>
      </c>
      <c r="H44" s="1199">
        <v>1000.7</v>
      </c>
      <c r="I44" s="1199">
        <v>55503.8</v>
      </c>
      <c r="J44" s="1199" t="s">
        <v>1081</v>
      </c>
      <c r="K44" s="1199" t="s">
        <v>1081</v>
      </c>
      <c r="L44" s="1199">
        <v>28771.5</v>
      </c>
      <c r="M44" s="1199" t="s">
        <v>1081</v>
      </c>
      <c r="N44" s="1199" t="s">
        <v>1081</v>
      </c>
      <c r="O44" s="1199" t="s">
        <v>1081</v>
      </c>
      <c r="P44" s="1199">
        <v>152.30000000000001</v>
      </c>
      <c r="Q44" s="1199" t="s">
        <v>1081</v>
      </c>
      <c r="R44" s="1199" t="s">
        <v>1081</v>
      </c>
      <c r="S44" s="1199" t="s">
        <v>1081</v>
      </c>
      <c r="T44" s="1200" t="s">
        <v>1081</v>
      </c>
    </row>
    <row r="45" spans="2:20" ht="15">
      <c r="B45" s="1176" t="s">
        <v>992</v>
      </c>
      <c r="C45" s="1199">
        <v>1831.7</v>
      </c>
      <c r="D45" s="1199" t="s">
        <v>1081</v>
      </c>
      <c r="E45" s="1199" t="s">
        <v>1081</v>
      </c>
      <c r="F45" s="1199">
        <v>277.2</v>
      </c>
      <c r="G45" s="1199" t="s">
        <v>1081</v>
      </c>
      <c r="H45" s="1199" t="s">
        <v>1081</v>
      </c>
      <c r="I45" s="1199" t="s">
        <v>1081</v>
      </c>
      <c r="J45" s="1199" t="s">
        <v>1081</v>
      </c>
      <c r="K45" s="1199" t="s">
        <v>1081</v>
      </c>
      <c r="L45" s="1199">
        <v>264.5</v>
      </c>
      <c r="M45" s="1199">
        <v>12.7</v>
      </c>
      <c r="N45" s="1199" t="s">
        <v>1081</v>
      </c>
      <c r="O45" s="1199" t="s">
        <v>1081</v>
      </c>
      <c r="P45" s="1199" t="s">
        <v>1081</v>
      </c>
      <c r="Q45" s="1199">
        <v>8.4</v>
      </c>
      <c r="R45" s="1199" t="s">
        <v>1081</v>
      </c>
      <c r="S45" s="1199">
        <v>1421.6</v>
      </c>
      <c r="T45" s="1200">
        <v>124.5</v>
      </c>
    </row>
    <row r="46" spans="2:20">
      <c r="B46" s="1175" t="s">
        <v>986</v>
      </c>
      <c r="C46" s="1199">
        <v>8159.7</v>
      </c>
      <c r="D46" s="1199" t="s">
        <v>1081</v>
      </c>
      <c r="E46" s="1199" t="s">
        <v>1081</v>
      </c>
      <c r="F46" s="1199">
        <v>8159.7</v>
      </c>
      <c r="G46" s="1199" t="s">
        <v>1081</v>
      </c>
      <c r="H46" s="1199" t="s">
        <v>1081</v>
      </c>
      <c r="I46" s="1199" t="s">
        <v>1081</v>
      </c>
      <c r="J46" s="1199">
        <v>8151.2</v>
      </c>
      <c r="K46" s="1199" t="s">
        <v>1081</v>
      </c>
      <c r="L46" s="1199">
        <v>8.5</v>
      </c>
      <c r="M46" s="1199" t="s">
        <v>1081</v>
      </c>
      <c r="N46" s="1199" t="s">
        <v>1081</v>
      </c>
      <c r="O46" s="1199" t="s">
        <v>1081</v>
      </c>
      <c r="P46" s="1199" t="s">
        <v>1081</v>
      </c>
      <c r="Q46" s="1199" t="s">
        <v>1081</v>
      </c>
      <c r="R46" s="1199" t="s">
        <v>1081</v>
      </c>
      <c r="S46" s="1199" t="s">
        <v>1081</v>
      </c>
      <c r="T46" s="1200" t="s">
        <v>1081</v>
      </c>
    </row>
    <row r="47" spans="2:20">
      <c r="B47" s="1175" t="s">
        <v>1750</v>
      </c>
      <c r="C47" s="1199">
        <v>1108.9000000000001</v>
      </c>
      <c r="D47" s="1199" t="s">
        <v>1081</v>
      </c>
      <c r="E47" s="1199" t="s">
        <v>1081</v>
      </c>
      <c r="F47" s="1199">
        <v>1108.9000000000001</v>
      </c>
      <c r="G47" s="1199" t="s">
        <v>1081</v>
      </c>
      <c r="H47" s="1199" t="s">
        <v>1081</v>
      </c>
      <c r="I47" s="1199" t="s">
        <v>1081</v>
      </c>
      <c r="J47" s="1199" t="s">
        <v>1081</v>
      </c>
      <c r="K47" s="1199" t="s">
        <v>1081</v>
      </c>
      <c r="L47" s="1199">
        <v>1062.0999999999999</v>
      </c>
      <c r="M47" s="1199">
        <v>46.8</v>
      </c>
      <c r="N47" s="1199" t="s">
        <v>1081</v>
      </c>
      <c r="O47" s="1199" t="s">
        <v>1081</v>
      </c>
      <c r="P47" s="1199" t="s">
        <v>1081</v>
      </c>
      <c r="Q47" s="1199" t="s">
        <v>1081</v>
      </c>
      <c r="R47" s="1199" t="s">
        <v>1081</v>
      </c>
      <c r="S47" s="1199" t="s">
        <v>1081</v>
      </c>
      <c r="T47" s="1200" t="s">
        <v>1081</v>
      </c>
    </row>
    <row r="48" spans="2:20">
      <c r="B48" s="1203" t="s">
        <v>1777</v>
      </c>
      <c r="C48" s="1199">
        <v>337.4</v>
      </c>
      <c r="D48" s="1199" t="s">
        <v>1081</v>
      </c>
      <c r="E48" s="1199" t="s">
        <v>1081</v>
      </c>
      <c r="F48" s="1199">
        <v>4.7</v>
      </c>
      <c r="G48" s="1199" t="s">
        <v>1081</v>
      </c>
      <c r="H48" s="1199">
        <v>4.7</v>
      </c>
      <c r="I48" s="1199" t="s">
        <v>1081</v>
      </c>
      <c r="J48" s="1199" t="s">
        <v>1081</v>
      </c>
      <c r="K48" s="1199" t="s">
        <v>1081</v>
      </c>
      <c r="L48" s="1199" t="s">
        <v>1081</v>
      </c>
      <c r="M48" s="1199" t="s">
        <v>1081</v>
      </c>
      <c r="N48" s="1199" t="s">
        <v>1081</v>
      </c>
      <c r="O48" s="1199" t="s">
        <v>1081</v>
      </c>
      <c r="P48" s="1199">
        <v>19.5</v>
      </c>
      <c r="Q48" s="1199" t="s">
        <v>1081</v>
      </c>
      <c r="R48" s="1199" t="s">
        <v>1081</v>
      </c>
      <c r="S48" s="1199">
        <v>313.2</v>
      </c>
      <c r="T48" s="1200" t="s">
        <v>1081</v>
      </c>
    </row>
    <row r="49" spans="2:20" ht="15">
      <c r="B49" s="1163" t="s">
        <v>1752</v>
      </c>
      <c r="C49" s="1199" t="s">
        <v>1081</v>
      </c>
      <c r="D49" s="1199" t="s">
        <v>1081</v>
      </c>
      <c r="E49" s="1199" t="s">
        <v>1081</v>
      </c>
      <c r="F49" s="1199" t="s">
        <v>1081</v>
      </c>
      <c r="G49" s="1199" t="s">
        <v>1081</v>
      </c>
      <c r="H49" s="1199" t="s">
        <v>1081</v>
      </c>
      <c r="I49" s="1199" t="s">
        <v>1081</v>
      </c>
      <c r="J49" s="1199" t="s">
        <v>1081</v>
      </c>
      <c r="K49" s="1199" t="s">
        <v>1081</v>
      </c>
      <c r="L49" s="1199" t="s">
        <v>1081</v>
      </c>
      <c r="M49" s="1199" t="s">
        <v>1081</v>
      </c>
      <c r="N49" s="1199" t="s">
        <v>1081</v>
      </c>
      <c r="O49" s="1199" t="s">
        <v>1081</v>
      </c>
      <c r="P49" s="1199" t="s">
        <v>1081</v>
      </c>
      <c r="Q49" s="1199" t="s">
        <v>1081</v>
      </c>
      <c r="R49" s="1199" t="s">
        <v>1081</v>
      </c>
      <c r="S49" s="1199" t="s">
        <v>1081</v>
      </c>
      <c r="T49" s="1200" t="s">
        <v>1081</v>
      </c>
    </row>
    <row r="50" spans="2:20" ht="15">
      <c r="B50" s="1179" t="s">
        <v>1753</v>
      </c>
      <c r="C50" s="1201">
        <v>191954.5</v>
      </c>
      <c r="D50" s="1199" t="s">
        <v>1081</v>
      </c>
      <c r="E50" s="1199" t="s">
        <v>1081</v>
      </c>
      <c r="F50" s="1201">
        <v>15028.6</v>
      </c>
      <c r="G50" s="1199" t="s">
        <v>1081</v>
      </c>
      <c r="H50" s="1199">
        <v>967.4</v>
      </c>
      <c r="I50" s="1199">
        <v>462.2</v>
      </c>
      <c r="J50" s="1199" t="s">
        <v>1081</v>
      </c>
      <c r="K50" s="1199">
        <v>64.599999999999994</v>
      </c>
      <c r="L50" s="1199">
        <v>13466.5</v>
      </c>
      <c r="M50" s="1199">
        <v>67.900000000000006</v>
      </c>
      <c r="N50" s="1199" t="s">
        <v>1081</v>
      </c>
      <c r="O50" s="1199" t="s">
        <v>1081</v>
      </c>
      <c r="P50" s="1201">
        <v>118203.3</v>
      </c>
      <c r="Q50" s="1201">
        <v>3254</v>
      </c>
      <c r="R50" s="1201">
        <v>5155.8999999999996</v>
      </c>
      <c r="S50" s="1201">
        <v>50307.1</v>
      </c>
      <c r="T50" s="1202">
        <v>5.6</v>
      </c>
    </row>
    <row r="51" spans="2:20" ht="15">
      <c r="B51" s="1176" t="s">
        <v>1755</v>
      </c>
      <c r="C51" s="1199">
        <v>18803.599999999999</v>
      </c>
      <c r="D51" s="1199" t="s">
        <v>1081</v>
      </c>
      <c r="E51" s="1199" t="s">
        <v>1081</v>
      </c>
      <c r="F51" s="1199">
        <v>13297.5</v>
      </c>
      <c r="G51" s="1199" t="s">
        <v>1081</v>
      </c>
      <c r="H51" s="1199">
        <v>4.7</v>
      </c>
      <c r="I51" s="1199">
        <v>444.9</v>
      </c>
      <c r="J51" s="1199" t="s">
        <v>1081</v>
      </c>
      <c r="K51" s="1199" t="s">
        <v>1081</v>
      </c>
      <c r="L51" s="1199">
        <v>12835.2</v>
      </c>
      <c r="M51" s="1199">
        <v>12.7</v>
      </c>
      <c r="N51" s="1199" t="s">
        <v>1081</v>
      </c>
      <c r="O51" s="1199" t="s">
        <v>1081</v>
      </c>
      <c r="P51" s="1199">
        <v>2167.8000000000002</v>
      </c>
      <c r="Q51" s="1199">
        <v>84.3</v>
      </c>
      <c r="R51" s="1199" t="s">
        <v>1081</v>
      </c>
      <c r="S51" s="1199">
        <v>3251.2</v>
      </c>
      <c r="T51" s="1200">
        <v>2.8</v>
      </c>
    </row>
    <row r="52" spans="2:20">
      <c r="B52" s="1175" t="s">
        <v>1757</v>
      </c>
      <c r="C52" s="1199">
        <v>29320.1</v>
      </c>
      <c r="D52" s="1199" t="s">
        <v>1081</v>
      </c>
      <c r="E52" s="1199" t="s">
        <v>1081</v>
      </c>
      <c r="F52" s="1199">
        <v>432.6</v>
      </c>
      <c r="G52" s="1199" t="s">
        <v>1081</v>
      </c>
      <c r="H52" s="1199">
        <v>99.6</v>
      </c>
      <c r="I52" s="1199" t="s">
        <v>1081</v>
      </c>
      <c r="J52" s="1199" t="s">
        <v>1081</v>
      </c>
      <c r="K52" s="1199">
        <v>51.7</v>
      </c>
      <c r="L52" s="1199">
        <v>226.1</v>
      </c>
      <c r="M52" s="1199">
        <v>55.2</v>
      </c>
      <c r="N52" s="1199" t="s">
        <v>1081</v>
      </c>
      <c r="O52" s="1199" t="s">
        <v>1081</v>
      </c>
      <c r="P52" s="1199">
        <v>8593.2000000000007</v>
      </c>
      <c r="Q52" s="1199">
        <v>921</v>
      </c>
      <c r="R52" s="1199">
        <v>891</v>
      </c>
      <c r="S52" s="1199">
        <v>18479.5</v>
      </c>
      <c r="T52" s="1200">
        <v>2.8</v>
      </c>
    </row>
    <row r="53" spans="2:20">
      <c r="B53" s="1175" t="s">
        <v>1759</v>
      </c>
      <c r="C53" s="1199">
        <v>143830.79999999999</v>
      </c>
      <c r="D53" s="1199" t="s">
        <v>1081</v>
      </c>
      <c r="E53" s="1199" t="s">
        <v>1081</v>
      </c>
      <c r="F53" s="1199">
        <v>1298.5</v>
      </c>
      <c r="G53" s="1199" t="s">
        <v>1081</v>
      </c>
      <c r="H53" s="1199">
        <v>863.1</v>
      </c>
      <c r="I53" s="1199">
        <v>17.3</v>
      </c>
      <c r="J53" s="1199" t="s">
        <v>1081</v>
      </c>
      <c r="K53" s="1199">
        <v>12.9</v>
      </c>
      <c r="L53" s="1199">
        <v>405.2</v>
      </c>
      <c r="M53" s="1199" t="s">
        <v>1081</v>
      </c>
      <c r="N53" s="1199" t="s">
        <v>1081</v>
      </c>
      <c r="O53" s="1199" t="s">
        <v>1081</v>
      </c>
      <c r="P53" s="1199">
        <v>107442.3</v>
      </c>
      <c r="Q53" s="1199">
        <v>2248.6999999999998</v>
      </c>
      <c r="R53" s="1199">
        <v>4264.8999999999996</v>
      </c>
      <c r="S53" s="1199">
        <v>28576.400000000001</v>
      </c>
      <c r="T53" s="1200" t="s">
        <v>1081</v>
      </c>
    </row>
    <row r="54" spans="2:20">
      <c r="B54" s="1175" t="s">
        <v>1761</v>
      </c>
      <c r="C54" s="1199" t="s">
        <v>1081</v>
      </c>
      <c r="D54" s="1199" t="s">
        <v>1081</v>
      </c>
      <c r="E54" s="1199" t="s">
        <v>1081</v>
      </c>
      <c r="F54" s="1199" t="s">
        <v>1081</v>
      </c>
      <c r="G54" s="1199" t="s">
        <v>1081</v>
      </c>
      <c r="H54" s="1199" t="s">
        <v>1081</v>
      </c>
      <c r="I54" s="1199" t="s">
        <v>1081</v>
      </c>
      <c r="J54" s="1199" t="s">
        <v>1081</v>
      </c>
      <c r="K54" s="1199" t="s">
        <v>1081</v>
      </c>
      <c r="L54" s="1199" t="s">
        <v>1081</v>
      </c>
      <c r="M54" s="1199" t="s">
        <v>1081</v>
      </c>
      <c r="N54" s="1199" t="s">
        <v>1081</v>
      </c>
      <c r="O54" s="1199" t="s">
        <v>1081</v>
      </c>
      <c r="P54" s="1199" t="s">
        <v>1081</v>
      </c>
      <c r="Q54" s="1199" t="s">
        <v>1081</v>
      </c>
      <c r="R54" s="1199" t="s">
        <v>1081</v>
      </c>
      <c r="S54" s="1199" t="s">
        <v>1081</v>
      </c>
      <c r="T54" s="1200" t="s">
        <v>1081</v>
      </c>
    </row>
    <row r="55" spans="2:20" ht="16" thickBot="1">
      <c r="B55" s="1172" t="s">
        <v>1763</v>
      </c>
      <c r="C55" s="1204">
        <v>36357.300000000003</v>
      </c>
      <c r="D55" s="1205" t="s">
        <v>1081</v>
      </c>
      <c r="E55" s="1205" t="s">
        <v>1081</v>
      </c>
      <c r="F55" s="1204">
        <v>34325.800000000003</v>
      </c>
      <c r="G55" s="1205" t="s">
        <v>1081</v>
      </c>
      <c r="H55" s="1205">
        <v>5112.3999999999996</v>
      </c>
      <c r="I55" s="1205" t="s">
        <v>1081</v>
      </c>
      <c r="J55" s="1205">
        <v>276.3</v>
      </c>
      <c r="K55" s="1205">
        <v>426.3</v>
      </c>
      <c r="L55" s="1205">
        <v>76.8</v>
      </c>
      <c r="M55" s="1205">
        <v>85</v>
      </c>
      <c r="N55" s="1205">
        <v>6727.8</v>
      </c>
      <c r="O55" s="1205">
        <v>21621.200000000001</v>
      </c>
      <c r="P55" s="1204">
        <v>1398.3</v>
      </c>
      <c r="Q55" s="1205" t="s">
        <v>1081</v>
      </c>
      <c r="R55" s="1205" t="s">
        <v>1081</v>
      </c>
      <c r="S55" s="1205" t="s">
        <v>1081</v>
      </c>
      <c r="T55" s="1206">
        <v>633.20000000000005</v>
      </c>
    </row>
  </sheetData>
  <mergeCells count="12">
    <mergeCell ref="R4:R5"/>
    <mergeCell ref="S4:S5"/>
    <mergeCell ref="T4:T5"/>
    <mergeCell ref="B2:T2"/>
    <mergeCell ref="B4:B5"/>
    <mergeCell ref="C4:C5"/>
    <mergeCell ref="D4:D5"/>
    <mergeCell ref="E4:E5"/>
    <mergeCell ref="F4:F5"/>
    <mergeCell ref="G4:O4"/>
    <mergeCell ref="P4:P5"/>
    <mergeCell ref="Q4:Q5"/>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55"/>
  <sheetViews>
    <sheetView showGridLines="0" topLeftCell="A13" zoomScaleNormal="100" workbookViewId="0">
      <selection activeCell="P26" sqref="P26"/>
    </sheetView>
  </sheetViews>
  <sheetFormatPr baseColWidth="10" defaultColWidth="9.1640625" defaultRowHeight="14"/>
  <cols>
    <col min="1" max="1" width="8.5" style="1140" bestFit="1" customWidth="1"/>
    <col min="2" max="2" width="31.5" style="1140" bestFit="1" customWidth="1"/>
    <col min="3" max="20" width="11.5" style="1140" customWidth="1"/>
    <col min="21" max="26" width="9.1640625" style="1140"/>
    <col min="27" max="27" width="9.5" style="1140" bestFit="1" customWidth="1"/>
    <col min="28" max="256" width="9.1640625" style="1140"/>
    <col min="257" max="257" width="8.5" style="1140" bestFit="1" customWidth="1"/>
    <col min="258" max="258" width="31.5" style="1140" bestFit="1" customWidth="1"/>
    <col min="259" max="276" width="11.5" style="1140" customWidth="1"/>
    <col min="277" max="282" width="9.1640625" style="1140"/>
    <col min="283" max="283" width="9.5" style="1140" bestFit="1" customWidth="1"/>
    <col min="284" max="512" width="9.1640625" style="1140"/>
    <col min="513" max="513" width="8.5" style="1140" bestFit="1" customWidth="1"/>
    <col min="514" max="514" width="31.5" style="1140" bestFit="1" customWidth="1"/>
    <col min="515" max="532" width="11.5" style="1140" customWidth="1"/>
    <col min="533" max="538" width="9.1640625" style="1140"/>
    <col min="539" max="539" width="9.5" style="1140" bestFit="1" customWidth="1"/>
    <col min="540" max="768" width="9.1640625" style="1140"/>
    <col min="769" max="769" width="8.5" style="1140" bestFit="1" customWidth="1"/>
    <col min="770" max="770" width="31.5" style="1140" bestFit="1" customWidth="1"/>
    <col min="771" max="788" width="11.5" style="1140" customWidth="1"/>
    <col min="789" max="794" width="9.1640625" style="1140"/>
    <col min="795" max="795" width="9.5" style="1140" bestFit="1" customWidth="1"/>
    <col min="796" max="1024" width="9.1640625" style="1140"/>
    <col min="1025" max="1025" width="8.5" style="1140" bestFit="1" customWidth="1"/>
    <col min="1026" max="1026" width="31.5" style="1140" bestFit="1" customWidth="1"/>
    <col min="1027" max="1044" width="11.5" style="1140" customWidth="1"/>
    <col min="1045" max="1050" width="9.1640625" style="1140"/>
    <col min="1051" max="1051" width="9.5" style="1140" bestFit="1" customWidth="1"/>
    <col min="1052" max="1280" width="9.1640625" style="1140"/>
    <col min="1281" max="1281" width="8.5" style="1140" bestFit="1" customWidth="1"/>
    <col min="1282" max="1282" width="31.5" style="1140" bestFit="1" customWidth="1"/>
    <col min="1283" max="1300" width="11.5" style="1140" customWidth="1"/>
    <col min="1301" max="1306" width="9.1640625" style="1140"/>
    <col min="1307" max="1307" width="9.5" style="1140" bestFit="1" customWidth="1"/>
    <col min="1308" max="1536" width="9.1640625" style="1140"/>
    <col min="1537" max="1537" width="8.5" style="1140" bestFit="1" customWidth="1"/>
    <col min="1538" max="1538" width="31.5" style="1140" bestFit="1" customWidth="1"/>
    <col min="1539" max="1556" width="11.5" style="1140" customWidth="1"/>
    <col min="1557" max="1562" width="9.1640625" style="1140"/>
    <col min="1563" max="1563" width="9.5" style="1140" bestFit="1" customWidth="1"/>
    <col min="1564" max="1792" width="9.1640625" style="1140"/>
    <col min="1793" max="1793" width="8.5" style="1140" bestFit="1" customWidth="1"/>
    <col min="1794" max="1794" width="31.5" style="1140" bestFit="1" customWidth="1"/>
    <col min="1795" max="1812" width="11.5" style="1140" customWidth="1"/>
    <col min="1813" max="1818" width="9.1640625" style="1140"/>
    <col min="1819" max="1819" width="9.5" style="1140" bestFit="1" customWidth="1"/>
    <col min="1820" max="2048" width="9.1640625" style="1140"/>
    <col min="2049" max="2049" width="8.5" style="1140" bestFit="1" customWidth="1"/>
    <col min="2050" max="2050" width="31.5" style="1140" bestFit="1" customWidth="1"/>
    <col min="2051" max="2068" width="11.5" style="1140" customWidth="1"/>
    <col min="2069" max="2074" width="9.1640625" style="1140"/>
    <col min="2075" max="2075" width="9.5" style="1140" bestFit="1" customWidth="1"/>
    <col min="2076" max="2304" width="9.1640625" style="1140"/>
    <col min="2305" max="2305" width="8.5" style="1140" bestFit="1" customWidth="1"/>
    <col min="2306" max="2306" width="31.5" style="1140" bestFit="1" customWidth="1"/>
    <col min="2307" max="2324" width="11.5" style="1140" customWidth="1"/>
    <col min="2325" max="2330" width="9.1640625" style="1140"/>
    <col min="2331" max="2331" width="9.5" style="1140" bestFit="1" customWidth="1"/>
    <col min="2332" max="2560" width="9.1640625" style="1140"/>
    <col min="2561" max="2561" width="8.5" style="1140" bestFit="1" customWidth="1"/>
    <col min="2562" max="2562" width="31.5" style="1140" bestFit="1" customWidth="1"/>
    <col min="2563" max="2580" width="11.5" style="1140" customWidth="1"/>
    <col min="2581" max="2586" width="9.1640625" style="1140"/>
    <col min="2587" max="2587" width="9.5" style="1140" bestFit="1" customWidth="1"/>
    <col min="2588" max="2816" width="9.1640625" style="1140"/>
    <col min="2817" max="2817" width="8.5" style="1140" bestFit="1" customWidth="1"/>
    <col min="2818" max="2818" width="31.5" style="1140" bestFit="1" customWidth="1"/>
    <col min="2819" max="2836" width="11.5" style="1140" customWidth="1"/>
    <col min="2837" max="2842" width="9.1640625" style="1140"/>
    <col min="2843" max="2843" width="9.5" style="1140" bestFit="1" customWidth="1"/>
    <col min="2844" max="3072" width="9.1640625" style="1140"/>
    <col min="3073" max="3073" width="8.5" style="1140" bestFit="1" customWidth="1"/>
    <col min="3074" max="3074" width="31.5" style="1140" bestFit="1" customWidth="1"/>
    <col min="3075" max="3092" width="11.5" style="1140" customWidth="1"/>
    <col min="3093" max="3098" width="9.1640625" style="1140"/>
    <col min="3099" max="3099" width="9.5" style="1140" bestFit="1" customWidth="1"/>
    <col min="3100" max="3328" width="9.1640625" style="1140"/>
    <col min="3329" max="3329" width="8.5" style="1140" bestFit="1" customWidth="1"/>
    <col min="3330" max="3330" width="31.5" style="1140" bestFit="1" customWidth="1"/>
    <col min="3331" max="3348" width="11.5" style="1140" customWidth="1"/>
    <col min="3349" max="3354" width="9.1640625" style="1140"/>
    <col min="3355" max="3355" width="9.5" style="1140" bestFit="1" customWidth="1"/>
    <col min="3356" max="3584" width="9.1640625" style="1140"/>
    <col min="3585" max="3585" width="8.5" style="1140" bestFit="1" customWidth="1"/>
    <col min="3586" max="3586" width="31.5" style="1140" bestFit="1" customWidth="1"/>
    <col min="3587" max="3604" width="11.5" style="1140" customWidth="1"/>
    <col min="3605" max="3610" width="9.1640625" style="1140"/>
    <col min="3611" max="3611" width="9.5" style="1140" bestFit="1" customWidth="1"/>
    <col min="3612" max="3840" width="9.1640625" style="1140"/>
    <col min="3841" max="3841" width="8.5" style="1140" bestFit="1" customWidth="1"/>
    <col min="3842" max="3842" width="31.5" style="1140" bestFit="1" customWidth="1"/>
    <col min="3843" max="3860" width="11.5" style="1140" customWidth="1"/>
    <col min="3861" max="3866" width="9.1640625" style="1140"/>
    <col min="3867" max="3867" width="9.5" style="1140" bestFit="1" customWidth="1"/>
    <col min="3868" max="4096" width="9.1640625" style="1140"/>
    <col min="4097" max="4097" width="8.5" style="1140" bestFit="1" customWidth="1"/>
    <col min="4098" max="4098" width="31.5" style="1140" bestFit="1" customWidth="1"/>
    <col min="4099" max="4116" width="11.5" style="1140" customWidth="1"/>
    <col min="4117" max="4122" width="9.1640625" style="1140"/>
    <col min="4123" max="4123" width="9.5" style="1140" bestFit="1" customWidth="1"/>
    <col min="4124" max="4352" width="9.1640625" style="1140"/>
    <col min="4353" max="4353" width="8.5" style="1140" bestFit="1" customWidth="1"/>
    <col min="4354" max="4354" width="31.5" style="1140" bestFit="1" customWidth="1"/>
    <col min="4355" max="4372" width="11.5" style="1140" customWidth="1"/>
    <col min="4373" max="4378" width="9.1640625" style="1140"/>
    <col min="4379" max="4379" width="9.5" style="1140" bestFit="1" customWidth="1"/>
    <col min="4380" max="4608" width="9.1640625" style="1140"/>
    <col min="4609" max="4609" width="8.5" style="1140" bestFit="1" customWidth="1"/>
    <col min="4610" max="4610" width="31.5" style="1140" bestFit="1" customWidth="1"/>
    <col min="4611" max="4628" width="11.5" style="1140" customWidth="1"/>
    <col min="4629" max="4634" width="9.1640625" style="1140"/>
    <col min="4635" max="4635" width="9.5" style="1140" bestFit="1" customWidth="1"/>
    <col min="4636" max="4864" width="9.1640625" style="1140"/>
    <col min="4865" max="4865" width="8.5" style="1140" bestFit="1" customWidth="1"/>
    <col min="4866" max="4866" width="31.5" style="1140" bestFit="1" customWidth="1"/>
    <col min="4867" max="4884" width="11.5" style="1140" customWidth="1"/>
    <col min="4885" max="4890" width="9.1640625" style="1140"/>
    <col min="4891" max="4891" width="9.5" style="1140" bestFit="1" customWidth="1"/>
    <col min="4892" max="5120" width="9.1640625" style="1140"/>
    <col min="5121" max="5121" width="8.5" style="1140" bestFit="1" customWidth="1"/>
    <col min="5122" max="5122" width="31.5" style="1140" bestFit="1" customWidth="1"/>
    <col min="5123" max="5140" width="11.5" style="1140" customWidth="1"/>
    <col min="5141" max="5146" width="9.1640625" style="1140"/>
    <col min="5147" max="5147" width="9.5" style="1140" bestFit="1" customWidth="1"/>
    <col min="5148" max="5376" width="9.1640625" style="1140"/>
    <col min="5377" max="5377" width="8.5" style="1140" bestFit="1" customWidth="1"/>
    <col min="5378" max="5378" width="31.5" style="1140" bestFit="1" customWidth="1"/>
    <col min="5379" max="5396" width="11.5" style="1140" customWidth="1"/>
    <col min="5397" max="5402" width="9.1640625" style="1140"/>
    <col min="5403" max="5403" width="9.5" style="1140" bestFit="1" customWidth="1"/>
    <col min="5404" max="5632" width="9.1640625" style="1140"/>
    <col min="5633" max="5633" width="8.5" style="1140" bestFit="1" customWidth="1"/>
    <col min="5634" max="5634" width="31.5" style="1140" bestFit="1" customWidth="1"/>
    <col min="5635" max="5652" width="11.5" style="1140" customWidth="1"/>
    <col min="5653" max="5658" width="9.1640625" style="1140"/>
    <col min="5659" max="5659" width="9.5" style="1140" bestFit="1" customWidth="1"/>
    <col min="5660" max="5888" width="9.1640625" style="1140"/>
    <col min="5889" max="5889" width="8.5" style="1140" bestFit="1" customWidth="1"/>
    <col min="5890" max="5890" width="31.5" style="1140" bestFit="1" customWidth="1"/>
    <col min="5891" max="5908" width="11.5" style="1140" customWidth="1"/>
    <col min="5909" max="5914" width="9.1640625" style="1140"/>
    <col min="5915" max="5915" width="9.5" style="1140" bestFit="1" customWidth="1"/>
    <col min="5916" max="6144" width="9.1640625" style="1140"/>
    <col min="6145" max="6145" width="8.5" style="1140" bestFit="1" customWidth="1"/>
    <col min="6146" max="6146" width="31.5" style="1140" bestFit="1" customWidth="1"/>
    <col min="6147" max="6164" width="11.5" style="1140" customWidth="1"/>
    <col min="6165" max="6170" width="9.1640625" style="1140"/>
    <col min="6171" max="6171" width="9.5" style="1140" bestFit="1" customWidth="1"/>
    <col min="6172" max="6400" width="9.1640625" style="1140"/>
    <col min="6401" max="6401" width="8.5" style="1140" bestFit="1" customWidth="1"/>
    <col min="6402" max="6402" width="31.5" style="1140" bestFit="1" customWidth="1"/>
    <col min="6403" max="6420" width="11.5" style="1140" customWidth="1"/>
    <col min="6421" max="6426" width="9.1640625" style="1140"/>
    <col min="6427" max="6427" width="9.5" style="1140" bestFit="1" customWidth="1"/>
    <col min="6428" max="6656" width="9.1640625" style="1140"/>
    <col min="6657" max="6657" width="8.5" style="1140" bestFit="1" customWidth="1"/>
    <col min="6658" max="6658" width="31.5" style="1140" bestFit="1" customWidth="1"/>
    <col min="6659" max="6676" width="11.5" style="1140" customWidth="1"/>
    <col min="6677" max="6682" width="9.1640625" style="1140"/>
    <col min="6683" max="6683" width="9.5" style="1140" bestFit="1" customWidth="1"/>
    <col min="6684" max="6912" width="9.1640625" style="1140"/>
    <col min="6913" max="6913" width="8.5" style="1140" bestFit="1" customWidth="1"/>
    <col min="6914" max="6914" width="31.5" style="1140" bestFit="1" customWidth="1"/>
    <col min="6915" max="6932" width="11.5" style="1140" customWidth="1"/>
    <col min="6933" max="6938" width="9.1640625" style="1140"/>
    <col min="6939" max="6939" width="9.5" style="1140" bestFit="1" customWidth="1"/>
    <col min="6940" max="7168" width="9.1640625" style="1140"/>
    <col min="7169" max="7169" width="8.5" style="1140" bestFit="1" customWidth="1"/>
    <col min="7170" max="7170" width="31.5" style="1140" bestFit="1" customWidth="1"/>
    <col min="7171" max="7188" width="11.5" style="1140" customWidth="1"/>
    <col min="7189" max="7194" width="9.1640625" style="1140"/>
    <col min="7195" max="7195" width="9.5" style="1140" bestFit="1" customWidth="1"/>
    <col min="7196" max="7424" width="9.1640625" style="1140"/>
    <col min="7425" max="7425" width="8.5" style="1140" bestFit="1" customWidth="1"/>
    <col min="7426" max="7426" width="31.5" style="1140" bestFit="1" customWidth="1"/>
    <col min="7427" max="7444" width="11.5" style="1140" customWidth="1"/>
    <col min="7445" max="7450" width="9.1640625" style="1140"/>
    <col min="7451" max="7451" width="9.5" style="1140" bestFit="1" customWidth="1"/>
    <col min="7452" max="7680" width="9.1640625" style="1140"/>
    <col min="7681" max="7681" width="8.5" style="1140" bestFit="1" customWidth="1"/>
    <col min="7682" max="7682" width="31.5" style="1140" bestFit="1" customWidth="1"/>
    <col min="7683" max="7700" width="11.5" style="1140" customWidth="1"/>
    <col min="7701" max="7706" width="9.1640625" style="1140"/>
    <col min="7707" max="7707" width="9.5" style="1140" bestFit="1" customWidth="1"/>
    <col min="7708" max="7936" width="9.1640625" style="1140"/>
    <col min="7937" max="7937" width="8.5" style="1140" bestFit="1" customWidth="1"/>
    <col min="7938" max="7938" width="31.5" style="1140" bestFit="1" customWidth="1"/>
    <col min="7939" max="7956" width="11.5" style="1140" customWidth="1"/>
    <col min="7957" max="7962" width="9.1640625" style="1140"/>
    <col min="7963" max="7963" width="9.5" style="1140" bestFit="1" customWidth="1"/>
    <col min="7964" max="8192" width="9.1640625" style="1140"/>
    <col min="8193" max="8193" width="8.5" style="1140" bestFit="1" customWidth="1"/>
    <col min="8194" max="8194" width="31.5" style="1140" bestFit="1" customWidth="1"/>
    <col min="8195" max="8212" width="11.5" style="1140" customWidth="1"/>
    <col min="8213" max="8218" width="9.1640625" style="1140"/>
    <col min="8219" max="8219" width="9.5" style="1140" bestFit="1" customWidth="1"/>
    <col min="8220" max="8448" width="9.1640625" style="1140"/>
    <col min="8449" max="8449" width="8.5" style="1140" bestFit="1" customWidth="1"/>
    <col min="8450" max="8450" width="31.5" style="1140" bestFit="1" customWidth="1"/>
    <col min="8451" max="8468" width="11.5" style="1140" customWidth="1"/>
    <col min="8469" max="8474" width="9.1640625" style="1140"/>
    <col min="8475" max="8475" width="9.5" style="1140" bestFit="1" customWidth="1"/>
    <col min="8476" max="8704" width="9.1640625" style="1140"/>
    <col min="8705" max="8705" width="8.5" style="1140" bestFit="1" customWidth="1"/>
    <col min="8706" max="8706" width="31.5" style="1140" bestFit="1" customWidth="1"/>
    <col min="8707" max="8724" width="11.5" style="1140" customWidth="1"/>
    <col min="8725" max="8730" width="9.1640625" style="1140"/>
    <col min="8731" max="8731" width="9.5" style="1140" bestFit="1" customWidth="1"/>
    <col min="8732" max="8960" width="9.1640625" style="1140"/>
    <col min="8961" max="8961" width="8.5" style="1140" bestFit="1" customWidth="1"/>
    <col min="8962" max="8962" width="31.5" style="1140" bestFit="1" customWidth="1"/>
    <col min="8963" max="8980" width="11.5" style="1140" customWidth="1"/>
    <col min="8981" max="8986" width="9.1640625" style="1140"/>
    <col min="8987" max="8987" width="9.5" style="1140" bestFit="1" customWidth="1"/>
    <col min="8988" max="9216" width="9.1640625" style="1140"/>
    <col min="9217" max="9217" width="8.5" style="1140" bestFit="1" customWidth="1"/>
    <col min="9218" max="9218" width="31.5" style="1140" bestFit="1" customWidth="1"/>
    <col min="9219" max="9236" width="11.5" style="1140" customWidth="1"/>
    <col min="9237" max="9242" width="9.1640625" style="1140"/>
    <col min="9243" max="9243" width="9.5" style="1140" bestFit="1" customWidth="1"/>
    <col min="9244" max="9472" width="9.1640625" style="1140"/>
    <col min="9473" max="9473" width="8.5" style="1140" bestFit="1" customWidth="1"/>
    <col min="9474" max="9474" width="31.5" style="1140" bestFit="1" customWidth="1"/>
    <col min="9475" max="9492" width="11.5" style="1140" customWidth="1"/>
    <col min="9493" max="9498" width="9.1640625" style="1140"/>
    <col min="9499" max="9499" width="9.5" style="1140" bestFit="1" customWidth="1"/>
    <col min="9500" max="9728" width="9.1640625" style="1140"/>
    <col min="9729" max="9729" width="8.5" style="1140" bestFit="1" customWidth="1"/>
    <col min="9730" max="9730" width="31.5" style="1140" bestFit="1" customWidth="1"/>
    <col min="9731" max="9748" width="11.5" style="1140" customWidth="1"/>
    <col min="9749" max="9754" width="9.1640625" style="1140"/>
    <col min="9755" max="9755" width="9.5" style="1140" bestFit="1" customWidth="1"/>
    <col min="9756" max="9984" width="9.1640625" style="1140"/>
    <col min="9985" max="9985" width="8.5" style="1140" bestFit="1" customWidth="1"/>
    <col min="9986" max="9986" width="31.5" style="1140" bestFit="1" customWidth="1"/>
    <col min="9987" max="10004" width="11.5" style="1140" customWidth="1"/>
    <col min="10005" max="10010" width="9.1640625" style="1140"/>
    <col min="10011" max="10011" width="9.5" style="1140" bestFit="1" customWidth="1"/>
    <col min="10012" max="10240" width="9.1640625" style="1140"/>
    <col min="10241" max="10241" width="8.5" style="1140" bestFit="1" customWidth="1"/>
    <col min="10242" max="10242" width="31.5" style="1140" bestFit="1" customWidth="1"/>
    <col min="10243" max="10260" width="11.5" style="1140" customWidth="1"/>
    <col min="10261" max="10266" width="9.1640625" style="1140"/>
    <col min="10267" max="10267" width="9.5" style="1140" bestFit="1" customWidth="1"/>
    <col min="10268" max="10496" width="9.1640625" style="1140"/>
    <col min="10497" max="10497" width="8.5" style="1140" bestFit="1" customWidth="1"/>
    <col min="10498" max="10498" width="31.5" style="1140" bestFit="1" customWidth="1"/>
    <col min="10499" max="10516" width="11.5" style="1140" customWidth="1"/>
    <col min="10517" max="10522" width="9.1640625" style="1140"/>
    <col min="10523" max="10523" width="9.5" style="1140" bestFit="1" customWidth="1"/>
    <col min="10524" max="10752" width="9.1640625" style="1140"/>
    <col min="10753" max="10753" width="8.5" style="1140" bestFit="1" customWidth="1"/>
    <col min="10754" max="10754" width="31.5" style="1140" bestFit="1" customWidth="1"/>
    <col min="10755" max="10772" width="11.5" style="1140" customWidth="1"/>
    <col min="10773" max="10778" width="9.1640625" style="1140"/>
    <col min="10779" max="10779" width="9.5" style="1140" bestFit="1" customWidth="1"/>
    <col min="10780" max="11008" width="9.1640625" style="1140"/>
    <col min="11009" max="11009" width="8.5" style="1140" bestFit="1" customWidth="1"/>
    <col min="11010" max="11010" width="31.5" style="1140" bestFit="1" customWidth="1"/>
    <col min="11011" max="11028" width="11.5" style="1140" customWidth="1"/>
    <col min="11029" max="11034" width="9.1640625" style="1140"/>
    <col min="11035" max="11035" width="9.5" style="1140" bestFit="1" customWidth="1"/>
    <col min="11036" max="11264" width="9.1640625" style="1140"/>
    <col min="11265" max="11265" width="8.5" style="1140" bestFit="1" customWidth="1"/>
    <col min="11266" max="11266" width="31.5" style="1140" bestFit="1" customWidth="1"/>
    <col min="11267" max="11284" width="11.5" style="1140" customWidth="1"/>
    <col min="11285" max="11290" width="9.1640625" style="1140"/>
    <col min="11291" max="11291" width="9.5" style="1140" bestFit="1" customWidth="1"/>
    <col min="11292" max="11520" width="9.1640625" style="1140"/>
    <col min="11521" max="11521" width="8.5" style="1140" bestFit="1" customWidth="1"/>
    <col min="11522" max="11522" width="31.5" style="1140" bestFit="1" customWidth="1"/>
    <col min="11523" max="11540" width="11.5" style="1140" customWidth="1"/>
    <col min="11541" max="11546" width="9.1640625" style="1140"/>
    <col min="11547" max="11547" width="9.5" style="1140" bestFit="1" customWidth="1"/>
    <col min="11548" max="11776" width="9.1640625" style="1140"/>
    <col min="11777" max="11777" width="8.5" style="1140" bestFit="1" customWidth="1"/>
    <col min="11778" max="11778" width="31.5" style="1140" bestFit="1" customWidth="1"/>
    <col min="11779" max="11796" width="11.5" style="1140" customWidth="1"/>
    <col min="11797" max="11802" width="9.1640625" style="1140"/>
    <col min="11803" max="11803" width="9.5" style="1140" bestFit="1" customWidth="1"/>
    <col min="11804" max="12032" width="9.1640625" style="1140"/>
    <col min="12033" max="12033" width="8.5" style="1140" bestFit="1" customWidth="1"/>
    <col min="12034" max="12034" width="31.5" style="1140" bestFit="1" customWidth="1"/>
    <col min="12035" max="12052" width="11.5" style="1140" customWidth="1"/>
    <col min="12053" max="12058" width="9.1640625" style="1140"/>
    <col min="12059" max="12059" width="9.5" style="1140" bestFit="1" customWidth="1"/>
    <col min="12060" max="12288" width="9.1640625" style="1140"/>
    <col min="12289" max="12289" width="8.5" style="1140" bestFit="1" customWidth="1"/>
    <col min="12290" max="12290" width="31.5" style="1140" bestFit="1" customWidth="1"/>
    <col min="12291" max="12308" width="11.5" style="1140" customWidth="1"/>
    <col min="12309" max="12314" width="9.1640625" style="1140"/>
    <col min="12315" max="12315" width="9.5" style="1140" bestFit="1" customWidth="1"/>
    <col min="12316" max="12544" width="9.1640625" style="1140"/>
    <col min="12545" max="12545" width="8.5" style="1140" bestFit="1" customWidth="1"/>
    <col min="12546" max="12546" width="31.5" style="1140" bestFit="1" customWidth="1"/>
    <col min="12547" max="12564" width="11.5" style="1140" customWidth="1"/>
    <col min="12565" max="12570" width="9.1640625" style="1140"/>
    <col min="12571" max="12571" width="9.5" style="1140" bestFit="1" customWidth="1"/>
    <col min="12572" max="12800" width="9.1640625" style="1140"/>
    <col min="12801" max="12801" width="8.5" style="1140" bestFit="1" customWidth="1"/>
    <col min="12802" max="12802" width="31.5" style="1140" bestFit="1" customWidth="1"/>
    <col min="12803" max="12820" width="11.5" style="1140" customWidth="1"/>
    <col min="12821" max="12826" width="9.1640625" style="1140"/>
    <col min="12827" max="12827" width="9.5" style="1140" bestFit="1" customWidth="1"/>
    <col min="12828" max="13056" width="9.1640625" style="1140"/>
    <col min="13057" max="13057" width="8.5" style="1140" bestFit="1" customWidth="1"/>
    <col min="13058" max="13058" width="31.5" style="1140" bestFit="1" customWidth="1"/>
    <col min="13059" max="13076" width="11.5" style="1140" customWidth="1"/>
    <col min="13077" max="13082" width="9.1640625" style="1140"/>
    <col min="13083" max="13083" width="9.5" style="1140" bestFit="1" customWidth="1"/>
    <col min="13084" max="13312" width="9.1640625" style="1140"/>
    <col min="13313" max="13313" width="8.5" style="1140" bestFit="1" customWidth="1"/>
    <col min="13314" max="13314" width="31.5" style="1140" bestFit="1" customWidth="1"/>
    <col min="13315" max="13332" width="11.5" style="1140" customWidth="1"/>
    <col min="13333" max="13338" width="9.1640625" style="1140"/>
    <col min="13339" max="13339" width="9.5" style="1140" bestFit="1" customWidth="1"/>
    <col min="13340" max="13568" width="9.1640625" style="1140"/>
    <col min="13569" max="13569" width="8.5" style="1140" bestFit="1" customWidth="1"/>
    <col min="13570" max="13570" width="31.5" style="1140" bestFit="1" customWidth="1"/>
    <col min="13571" max="13588" width="11.5" style="1140" customWidth="1"/>
    <col min="13589" max="13594" width="9.1640625" style="1140"/>
    <col min="13595" max="13595" width="9.5" style="1140" bestFit="1" customWidth="1"/>
    <col min="13596" max="13824" width="9.1640625" style="1140"/>
    <col min="13825" max="13825" width="8.5" style="1140" bestFit="1" customWidth="1"/>
    <col min="13826" max="13826" width="31.5" style="1140" bestFit="1" customWidth="1"/>
    <col min="13827" max="13844" width="11.5" style="1140" customWidth="1"/>
    <col min="13845" max="13850" width="9.1640625" style="1140"/>
    <col min="13851" max="13851" width="9.5" style="1140" bestFit="1" customWidth="1"/>
    <col min="13852" max="14080" width="9.1640625" style="1140"/>
    <col min="14081" max="14081" width="8.5" style="1140" bestFit="1" customWidth="1"/>
    <col min="14082" max="14082" width="31.5" style="1140" bestFit="1" customWidth="1"/>
    <col min="14083" max="14100" width="11.5" style="1140" customWidth="1"/>
    <col min="14101" max="14106" width="9.1640625" style="1140"/>
    <col min="14107" max="14107" width="9.5" style="1140" bestFit="1" customWidth="1"/>
    <col min="14108" max="14336" width="9.1640625" style="1140"/>
    <col min="14337" max="14337" width="8.5" style="1140" bestFit="1" customWidth="1"/>
    <col min="14338" max="14338" width="31.5" style="1140" bestFit="1" customWidth="1"/>
    <col min="14339" max="14356" width="11.5" style="1140" customWidth="1"/>
    <col min="14357" max="14362" width="9.1640625" style="1140"/>
    <col min="14363" max="14363" width="9.5" style="1140" bestFit="1" customWidth="1"/>
    <col min="14364" max="14592" width="9.1640625" style="1140"/>
    <col min="14593" max="14593" width="8.5" style="1140" bestFit="1" customWidth="1"/>
    <col min="14594" max="14594" width="31.5" style="1140" bestFit="1" customWidth="1"/>
    <col min="14595" max="14612" width="11.5" style="1140" customWidth="1"/>
    <col min="14613" max="14618" width="9.1640625" style="1140"/>
    <col min="14619" max="14619" width="9.5" style="1140" bestFit="1" customWidth="1"/>
    <col min="14620" max="14848" width="9.1640625" style="1140"/>
    <col min="14849" max="14849" width="8.5" style="1140" bestFit="1" customWidth="1"/>
    <col min="14850" max="14850" width="31.5" style="1140" bestFit="1" customWidth="1"/>
    <col min="14851" max="14868" width="11.5" style="1140" customWidth="1"/>
    <col min="14869" max="14874" width="9.1640625" style="1140"/>
    <col min="14875" max="14875" width="9.5" style="1140" bestFit="1" customWidth="1"/>
    <col min="14876" max="15104" width="9.1640625" style="1140"/>
    <col min="15105" max="15105" width="8.5" style="1140" bestFit="1" customWidth="1"/>
    <col min="15106" max="15106" width="31.5" style="1140" bestFit="1" customWidth="1"/>
    <col min="15107" max="15124" width="11.5" style="1140" customWidth="1"/>
    <col min="15125" max="15130" width="9.1640625" style="1140"/>
    <col min="15131" max="15131" width="9.5" style="1140" bestFit="1" customWidth="1"/>
    <col min="15132" max="15360" width="9.1640625" style="1140"/>
    <col min="15361" max="15361" width="8.5" style="1140" bestFit="1" customWidth="1"/>
    <col min="15362" max="15362" width="31.5" style="1140" bestFit="1" customWidth="1"/>
    <col min="15363" max="15380" width="11.5" style="1140" customWidth="1"/>
    <col min="15381" max="15386" width="9.1640625" style="1140"/>
    <col min="15387" max="15387" width="9.5" style="1140" bestFit="1" customWidth="1"/>
    <col min="15388" max="15616" width="9.1640625" style="1140"/>
    <col min="15617" max="15617" width="8.5" style="1140" bestFit="1" customWidth="1"/>
    <col min="15618" max="15618" width="31.5" style="1140" bestFit="1" customWidth="1"/>
    <col min="15619" max="15636" width="11.5" style="1140" customWidth="1"/>
    <col min="15637" max="15642" width="9.1640625" style="1140"/>
    <col min="15643" max="15643" width="9.5" style="1140" bestFit="1" customWidth="1"/>
    <col min="15644" max="15872" width="9.1640625" style="1140"/>
    <col min="15873" max="15873" width="8.5" style="1140" bestFit="1" customWidth="1"/>
    <col min="15874" max="15874" width="31.5" style="1140" bestFit="1" customWidth="1"/>
    <col min="15875" max="15892" width="11.5" style="1140" customWidth="1"/>
    <col min="15893" max="15898" width="9.1640625" style="1140"/>
    <col min="15899" max="15899" width="9.5" style="1140" bestFit="1" customWidth="1"/>
    <col min="15900" max="16128" width="9.1640625" style="1140"/>
    <col min="16129" max="16129" width="8.5" style="1140" bestFit="1" customWidth="1"/>
    <col min="16130" max="16130" width="31.5" style="1140" bestFit="1" customWidth="1"/>
    <col min="16131" max="16148" width="11.5" style="1140" customWidth="1"/>
    <col min="16149" max="16154" width="9.1640625" style="1140"/>
    <col min="16155" max="16155" width="9.5" style="1140" bestFit="1" customWidth="1"/>
    <col min="16156" max="16384" width="9.1640625" style="1140"/>
  </cols>
  <sheetData>
    <row r="1" spans="1:21">
      <c r="D1" s="1141">
        <f>SUM(D17:D24)</f>
        <v>-266941.5</v>
      </c>
      <c r="F1" s="1141">
        <f>SUM(F17:F24)</f>
        <v>256780.2</v>
      </c>
      <c r="P1" s="1141" t="e">
        <f>P6+P7+P8+P17+P18+P19+P20-P27+P12</f>
        <v>#VALUE!</v>
      </c>
      <c r="Q1" s="1141">
        <f>SUM(Q17:Q24)</f>
        <v>-9248.9</v>
      </c>
      <c r="R1" s="1141">
        <f>SUM(R17:R24)</f>
        <v>14016</v>
      </c>
      <c r="S1" s="1141">
        <f>SUM(S17:S24)</f>
        <v>93862.5</v>
      </c>
    </row>
    <row r="2" spans="1:21">
      <c r="B2" s="1337" t="s">
        <v>1860</v>
      </c>
      <c r="C2" s="1337"/>
      <c r="D2" s="1337"/>
      <c r="E2" s="1337"/>
      <c r="F2" s="1337"/>
      <c r="G2" s="1337"/>
      <c r="H2" s="1337"/>
      <c r="I2" s="1337"/>
      <c r="J2" s="1337"/>
      <c r="K2" s="1337"/>
      <c r="L2" s="1337"/>
      <c r="M2" s="1337"/>
      <c r="N2" s="1337"/>
      <c r="O2" s="1337"/>
      <c r="P2" s="1337"/>
      <c r="Q2" s="1337"/>
      <c r="R2" s="1337"/>
      <c r="S2" s="1337"/>
      <c r="T2" s="1337"/>
    </row>
    <row r="3" spans="1:21" ht="15" thickBot="1">
      <c r="B3" s="1208" t="s">
        <v>1685</v>
      </c>
      <c r="C3" s="1208"/>
      <c r="D3" s="1207" t="s">
        <v>93</v>
      </c>
      <c r="E3" s="1207"/>
      <c r="F3" s="1207"/>
      <c r="G3" s="1207"/>
      <c r="H3" s="1207"/>
      <c r="I3" s="1207" t="s">
        <v>76</v>
      </c>
      <c r="J3" s="1207" t="s">
        <v>764</v>
      </c>
      <c r="K3" s="1207"/>
      <c r="L3" s="1207" t="s">
        <v>45</v>
      </c>
      <c r="M3" s="1207" t="s">
        <v>759</v>
      </c>
      <c r="N3" s="1207"/>
      <c r="O3" s="1207"/>
      <c r="P3" s="1207" t="s">
        <v>41</v>
      </c>
      <c r="Q3" s="1207"/>
      <c r="R3" s="1207"/>
      <c r="S3" s="1207" t="s">
        <v>215</v>
      </c>
      <c r="T3" s="1208"/>
    </row>
    <row r="4" spans="1:21" s="1142" customFormat="1" ht="18.75" customHeight="1">
      <c r="B4" s="1360"/>
      <c r="C4" s="1346" t="s">
        <v>1686</v>
      </c>
      <c r="D4" s="1346" t="s">
        <v>1687</v>
      </c>
      <c r="E4" s="1346" t="s">
        <v>1688</v>
      </c>
      <c r="F4" s="1346" t="s">
        <v>1689</v>
      </c>
      <c r="G4" s="1362" t="s">
        <v>1690</v>
      </c>
      <c r="H4" s="1363"/>
      <c r="I4" s="1363"/>
      <c r="J4" s="1363"/>
      <c r="K4" s="1363"/>
      <c r="L4" s="1363"/>
      <c r="M4" s="1363"/>
      <c r="N4" s="1363"/>
      <c r="O4" s="1364"/>
      <c r="P4" s="1346" t="s">
        <v>1691</v>
      </c>
      <c r="Q4" s="1346" t="s">
        <v>1692</v>
      </c>
      <c r="R4" s="1346" t="s">
        <v>1693</v>
      </c>
      <c r="S4" s="1346" t="s">
        <v>1694</v>
      </c>
      <c r="T4" s="1358" t="s">
        <v>1695</v>
      </c>
    </row>
    <row r="5" spans="1:21" s="1145" customFormat="1" ht="50.25" customHeight="1" thickBot="1">
      <c r="B5" s="1361"/>
      <c r="C5" s="1347"/>
      <c r="D5" s="1347"/>
      <c r="E5" s="1347"/>
      <c r="F5" s="1347"/>
      <c r="G5" s="1143" t="s">
        <v>1696</v>
      </c>
      <c r="H5" s="1143" t="s">
        <v>1697</v>
      </c>
      <c r="I5" s="1143" t="s">
        <v>1698</v>
      </c>
      <c r="J5" s="1143" t="s">
        <v>1699</v>
      </c>
      <c r="K5" s="1143" t="s">
        <v>1700</v>
      </c>
      <c r="L5" s="1143" t="s">
        <v>1701</v>
      </c>
      <c r="M5" s="1144" t="s">
        <v>1702</v>
      </c>
      <c r="N5" s="1143" t="s">
        <v>1703</v>
      </c>
      <c r="O5" s="1143" t="s">
        <v>1704</v>
      </c>
      <c r="P5" s="1347"/>
      <c r="Q5" s="1347"/>
      <c r="R5" s="1347"/>
      <c r="S5" s="1347"/>
      <c r="T5" s="1359"/>
    </row>
    <row r="6" spans="1:21" ht="15">
      <c r="A6" s="1140" t="s">
        <v>171</v>
      </c>
      <c r="B6" s="1146" t="s">
        <v>927</v>
      </c>
      <c r="C6" s="1229">
        <v>2584672.0999999996</v>
      </c>
      <c r="D6" s="1229">
        <v>1616076.7</v>
      </c>
      <c r="E6" s="1229" t="s">
        <v>1081</v>
      </c>
      <c r="F6" s="1229" t="s">
        <v>1081</v>
      </c>
      <c r="G6" s="1229" t="s">
        <v>1081</v>
      </c>
      <c r="H6" s="1229" t="s">
        <v>1081</v>
      </c>
      <c r="I6" s="1229" t="s">
        <v>1081</v>
      </c>
      <c r="J6" s="1229" t="s">
        <v>1081</v>
      </c>
      <c r="K6" s="1229" t="s">
        <v>1081</v>
      </c>
      <c r="L6" s="1229" t="s">
        <v>1081</v>
      </c>
      <c r="M6" s="1229" t="s">
        <v>1081</v>
      </c>
      <c r="N6" s="1229" t="s">
        <v>1081</v>
      </c>
      <c r="O6" s="1229" t="s">
        <v>1081</v>
      </c>
      <c r="P6" s="1229">
        <v>957528.6</v>
      </c>
      <c r="Q6" s="1229">
        <v>11066.799999999997</v>
      </c>
      <c r="R6" s="1229" t="s">
        <v>1081</v>
      </c>
      <c r="S6" s="1229" t="s">
        <v>1081</v>
      </c>
      <c r="T6" s="1230" t="s">
        <v>1081</v>
      </c>
    </row>
    <row r="7" spans="1:21">
      <c r="A7" s="1140" t="s">
        <v>61</v>
      </c>
      <c r="B7" s="1147" t="s">
        <v>1705</v>
      </c>
      <c r="C7" s="1231">
        <v>12678.1</v>
      </c>
      <c r="D7" s="1231" t="s">
        <v>1081</v>
      </c>
      <c r="E7" s="1231" t="s">
        <v>1081</v>
      </c>
      <c r="F7" s="1231">
        <v>11999.1</v>
      </c>
      <c r="G7" s="1231" t="s">
        <v>1081</v>
      </c>
      <c r="H7" s="1231">
        <v>52.1</v>
      </c>
      <c r="I7" s="1231">
        <v>7343.5</v>
      </c>
      <c r="J7" s="1231">
        <v>2884</v>
      </c>
      <c r="K7" s="1231">
        <v>189.4</v>
      </c>
      <c r="L7" s="1231">
        <v>21.3</v>
      </c>
      <c r="M7" s="1231" t="s">
        <v>1081</v>
      </c>
      <c r="N7" s="1231">
        <v>4.0999999999999996</v>
      </c>
      <c r="O7" s="1231">
        <v>1504.7</v>
      </c>
      <c r="P7" s="1231" t="s">
        <v>1081</v>
      </c>
      <c r="Q7" s="1231" t="s">
        <v>1081</v>
      </c>
      <c r="R7" s="1231" t="s">
        <v>1081</v>
      </c>
      <c r="S7" s="1231">
        <v>492.8</v>
      </c>
      <c r="T7" s="1232">
        <v>186.2</v>
      </c>
    </row>
    <row r="8" spans="1:21">
      <c r="A8" s="1140" t="s">
        <v>298</v>
      </c>
      <c r="B8" s="1147" t="s">
        <v>912</v>
      </c>
      <c r="C8" s="1231">
        <v>-1861834.3</v>
      </c>
      <c r="D8" s="1231">
        <v>-1346170.4</v>
      </c>
      <c r="E8" s="1231" t="s">
        <v>1081</v>
      </c>
      <c r="F8" s="1231">
        <v>-48099.7</v>
      </c>
      <c r="G8" s="1231" t="s">
        <v>1081</v>
      </c>
      <c r="H8" s="1231">
        <v>-2499.3000000000002</v>
      </c>
      <c r="I8" s="1231" t="s">
        <v>1081</v>
      </c>
      <c r="J8" s="1231">
        <v>-5163.6000000000004</v>
      </c>
      <c r="K8" s="1231" t="s">
        <v>1081</v>
      </c>
      <c r="L8" s="1231">
        <v>-32461.200000000001</v>
      </c>
      <c r="M8" s="1231">
        <v>-8.5</v>
      </c>
      <c r="N8" s="1231">
        <v>-495.5</v>
      </c>
      <c r="O8" s="1231">
        <v>-7471.6</v>
      </c>
      <c r="P8" s="1231">
        <v>-462197</v>
      </c>
      <c r="Q8" s="1231" t="s">
        <v>1081</v>
      </c>
      <c r="R8" s="1231" t="s">
        <v>1081</v>
      </c>
      <c r="S8" s="1231">
        <v>-5367.2</v>
      </c>
      <c r="T8" s="1232" t="s">
        <v>1081</v>
      </c>
    </row>
    <row r="9" spans="1:21" ht="15">
      <c r="B9" s="1148" t="s">
        <v>1706</v>
      </c>
      <c r="C9" s="1231">
        <v>-14818.8</v>
      </c>
      <c r="D9" s="1231" t="s">
        <v>1081</v>
      </c>
      <c r="E9" s="1231" t="s">
        <v>1081</v>
      </c>
      <c r="F9" s="1231">
        <v>-14818.8</v>
      </c>
      <c r="G9" s="1231" t="s">
        <v>1081</v>
      </c>
      <c r="H9" s="1231" t="s">
        <v>1081</v>
      </c>
      <c r="I9" s="1231" t="s">
        <v>1081</v>
      </c>
      <c r="J9" s="1231">
        <v>-13513.5</v>
      </c>
      <c r="K9" s="1231" t="s">
        <v>1081</v>
      </c>
      <c r="L9" s="1231">
        <v>-1305.3</v>
      </c>
      <c r="M9" s="1231" t="s">
        <v>1081</v>
      </c>
      <c r="N9" s="1231" t="s">
        <v>1081</v>
      </c>
      <c r="O9" s="1231" t="s">
        <v>1081</v>
      </c>
      <c r="P9" s="1231" t="s">
        <v>1081</v>
      </c>
      <c r="Q9" s="1231" t="s">
        <v>1081</v>
      </c>
      <c r="R9" s="1231" t="s">
        <v>1081</v>
      </c>
      <c r="S9" s="1231" t="s">
        <v>1081</v>
      </c>
      <c r="T9" s="1232" t="s">
        <v>1081</v>
      </c>
    </row>
    <row r="10" spans="1:21">
      <c r="B10" s="1149" t="s">
        <v>1707</v>
      </c>
      <c r="C10" s="1231">
        <v>-1305.3</v>
      </c>
      <c r="D10" s="1231" t="s">
        <v>1081</v>
      </c>
      <c r="E10" s="1231" t="s">
        <v>1081</v>
      </c>
      <c r="F10" s="1231">
        <v>-1305.3</v>
      </c>
      <c r="G10" s="1231" t="s">
        <v>1081</v>
      </c>
      <c r="H10" s="1231" t="s">
        <v>1081</v>
      </c>
      <c r="I10" s="1231" t="s">
        <v>1081</v>
      </c>
      <c r="J10" s="1231" t="s">
        <v>1081</v>
      </c>
      <c r="K10" s="1231" t="s">
        <v>1081</v>
      </c>
      <c r="L10" s="1231">
        <v>-1305.3</v>
      </c>
      <c r="M10" s="1231" t="s">
        <v>1081</v>
      </c>
      <c r="N10" s="1231" t="s">
        <v>1081</v>
      </c>
      <c r="O10" s="1231" t="s">
        <v>1081</v>
      </c>
      <c r="P10" s="1231" t="s">
        <v>1081</v>
      </c>
      <c r="Q10" s="1231" t="s">
        <v>1081</v>
      </c>
      <c r="R10" s="1231" t="s">
        <v>1081</v>
      </c>
      <c r="S10" s="1231" t="s">
        <v>1081</v>
      </c>
      <c r="T10" s="1232" t="s">
        <v>1081</v>
      </c>
    </row>
    <row r="11" spans="1:21">
      <c r="B11" s="1149" t="s">
        <v>1708</v>
      </c>
      <c r="C11" s="1231">
        <v>-13513.5</v>
      </c>
      <c r="D11" s="1231" t="s">
        <v>1081</v>
      </c>
      <c r="E11" s="1231" t="s">
        <v>1081</v>
      </c>
      <c r="F11" s="1231">
        <v>-13513.5</v>
      </c>
      <c r="G11" s="1231" t="s">
        <v>1081</v>
      </c>
      <c r="H11" s="1231" t="s">
        <v>1081</v>
      </c>
      <c r="I11" s="1231" t="s">
        <v>1081</v>
      </c>
      <c r="J11" s="1231">
        <v>-13513.5</v>
      </c>
      <c r="K11" s="1231" t="s">
        <v>1081</v>
      </c>
      <c r="L11" s="1231" t="s">
        <v>1081</v>
      </c>
      <c r="M11" s="1231" t="s">
        <v>1081</v>
      </c>
      <c r="N11" s="1231" t="s">
        <v>1081</v>
      </c>
      <c r="O11" s="1231" t="s">
        <v>1081</v>
      </c>
      <c r="P11" s="1231" t="s">
        <v>1081</v>
      </c>
      <c r="Q11" s="1231" t="s">
        <v>1081</v>
      </c>
      <c r="R11" s="1231" t="s">
        <v>1081</v>
      </c>
      <c r="S11" s="1231" t="s">
        <v>1081</v>
      </c>
      <c r="T11" s="1232" t="s">
        <v>1081</v>
      </c>
    </row>
    <row r="12" spans="1:21">
      <c r="B12" s="1150" t="s">
        <v>1709</v>
      </c>
      <c r="C12" s="1231">
        <v>-7141.9000000000005</v>
      </c>
      <c r="D12" s="1231">
        <v>-758.4</v>
      </c>
      <c r="E12" s="1231" t="s">
        <v>1081</v>
      </c>
      <c r="F12" s="1231">
        <v>-1403.8000000000002</v>
      </c>
      <c r="G12" s="1231" t="s">
        <v>1081</v>
      </c>
      <c r="H12" s="1231">
        <v>464.7</v>
      </c>
      <c r="I12" s="1231">
        <v>1114.5</v>
      </c>
      <c r="J12" s="1231">
        <v>-25.9</v>
      </c>
      <c r="K12" s="1231" t="s">
        <v>1081</v>
      </c>
      <c r="L12" s="1231">
        <v>170.6</v>
      </c>
      <c r="M12" s="1231">
        <v>-2081.5</v>
      </c>
      <c r="N12" s="1231">
        <v>-200.6</v>
      </c>
      <c r="O12" s="1231">
        <v>-845.6</v>
      </c>
      <c r="P12" s="1231">
        <v>-4948.8999999999996</v>
      </c>
      <c r="Q12" s="1231">
        <v>-33.6</v>
      </c>
      <c r="R12" s="1231" t="s">
        <v>1081</v>
      </c>
      <c r="S12" s="1231" t="s">
        <v>1081</v>
      </c>
      <c r="T12" s="1232">
        <v>2.8</v>
      </c>
    </row>
    <row r="13" spans="1:21">
      <c r="B13" s="1151" t="s">
        <v>1710</v>
      </c>
      <c r="C13" s="1233">
        <v>713555.2</v>
      </c>
      <c r="D13" s="1233">
        <v>269147.90000000002</v>
      </c>
      <c r="E13" s="1231" t="s">
        <v>1081</v>
      </c>
      <c r="F13" s="1233">
        <v>-52323.199999999997</v>
      </c>
      <c r="G13" s="1231" t="s">
        <v>1081</v>
      </c>
      <c r="H13" s="1231">
        <v>-1982.5</v>
      </c>
      <c r="I13" s="1231">
        <v>8458</v>
      </c>
      <c r="J13" s="1231">
        <v>-15819</v>
      </c>
      <c r="K13" s="1231">
        <v>189.4</v>
      </c>
      <c r="L13" s="1231">
        <v>-33574.6</v>
      </c>
      <c r="M13" s="1231">
        <v>-2090</v>
      </c>
      <c r="N13" s="1231">
        <v>-692</v>
      </c>
      <c r="O13" s="1231">
        <v>-6812.5</v>
      </c>
      <c r="P13" s="1233">
        <v>490382.7</v>
      </c>
      <c r="Q13" s="1233">
        <v>11033.199999999999</v>
      </c>
      <c r="R13" s="1231" t="s">
        <v>1081</v>
      </c>
      <c r="S13" s="1233">
        <v>-4874.3999999999996</v>
      </c>
      <c r="T13" s="1234">
        <v>189</v>
      </c>
      <c r="U13" s="1141"/>
    </row>
    <row r="14" spans="1:21">
      <c r="B14" s="1152" t="s">
        <v>1711</v>
      </c>
      <c r="C14" s="1233">
        <v>2461.4</v>
      </c>
      <c r="D14" s="1233" t="s">
        <v>1081</v>
      </c>
      <c r="E14" s="1231" t="s">
        <v>1081</v>
      </c>
      <c r="F14" s="1233">
        <v>955.00000000000011</v>
      </c>
      <c r="G14" s="1231" t="s">
        <v>1081</v>
      </c>
      <c r="H14" s="1231" t="s">
        <v>1081</v>
      </c>
      <c r="I14" s="1231">
        <v>375.8</v>
      </c>
      <c r="J14" s="1231" t="s">
        <v>1081</v>
      </c>
      <c r="K14" s="1231" t="s">
        <v>1081</v>
      </c>
      <c r="L14" s="1231">
        <v>563.1</v>
      </c>
      <c r="M14" s="1231" t="s">
        <v>1081</v>
      </c>
      <c r="N14" s="1231" t="s">
        <v>1081</v>
      </c>
      <c r="O14" s="1231">
        <v>16.100000000000001</v>
      </c>
      <c r="P14" s="1233">
        <v>1402.3</v>
      </c>
      <c r="Q14" s="1231" t="s">
        <v>1081</v>
      </c>
      <c r="R14" s="1231" t="s">
        <v>1081</v>
      </c>
      <c r="S14" s="1233">
        <v>104.1</v>
      </c>
      <c r="T14" s="1232" t="s">
        <v>1081</v>
      </c>
      <c r="U14" s="1141"/>
    </row>
    <row r="15" spans="1:21">
      <c r="B15" s="1152" t="s">
        <v>1712</v>
      </c>
      <c r="C15" s="1231" t="s">
        <v>1081</v>
      </c>
      <c r="D15" s="1231" t="s">
        <v>1081</v>
      </c>
      <c r="E15" s="1231" t="s">
        <v>1081</v>
      </c>
      <c r="F15" s="1231" t="s">
        <v>1081</v>
      </c>
      <c r="G15" s="1231" t="s">
        <v>1081</v>
      </c>
      <c r="H15" s="1231" t="s">
        <v>1081</v>
      </c>
      <c r="I15" s="1231" t="s">
        <v>1081</v>
      </c>
      <c r="J15" s="1231" t="s">
        <v>1081</v>
      </c>
      <c r="K15" s="1231" t="s">
        <v>1081</v>
      </c>
      <c r="L15" s="1231" t="s">
        <v>1081</v>
      </c>
      <c r="M15" s="1231" t="s">
        <v>1081</v>
      </c>
      <c r="N15" s="1231" t="s">
        <v>1081</v>
      </c>
      <c r="O15" s="1231" t="s">
        <v>1081</v>
      </c>
      <c r="P15" s="1231" t="s">
        <v>1081</v>
      </c>
      <c r="Q15" s="1231" t="s">
        <v>1081</v>
      </c>
      <c r="R15" s="1231" t="s">
        <v>1081</v>
      </c>
      <c r="S15" s="1231" t="s">
        <v>1081</v>
      </c>
      <c r="T15" s="1232" t="s">
        <v>1081</v>
      </c>
    </row>
    <row r="16" spans="1:21">
      <c r="B16" s="1152" t="s">
        <v>1713</v>
      </c>
      <c r="C16" s="1233">
        <v>-152555.29999999999</v>
      </c>
      <c r="D16" s="1233">
        <v>-266941.5</v>
      </c>
      <c r="E16" s="1231" t="s">
        <v>1081</v>
      </c>
      <c r="F16" s="1233">
        <v>256780.2</v>
      </c>
      <c r="G16" s="1231">
        <v>10275.5</v>
      </c>
      <c r="H16" s="1231">
        <v>9959.2000000000007</v>
      </c>
      <c r="I16" s="1231">
        <v>50169</v>
      </c>
      <c r="J16" s="1231">
        <v>28779.8</v>
      </c>
      <c r="K16" s="1231" t="s">
        <v>1081</v>
      </c>
      <c r="L16" s="1231">
        <v>95067.5</v>
      </c>
      <c r="M16" s="1231">
        <v>5365.2</v>
      </c>
      <c r="N16" s="1231">
        <v>10650.6</v>
      </c>
      <c r="O16" s="1231">
        <v>46513.4</v>
      </c>
      <c r="P16" s="1233">
        <v>-241023.6</v>
      </c>
      <c r="Q16" s="1233">
        <v>-9248.8999999999978</v>
      </c>
      <c r="R16" s="1233">
        <v>14016</v>
      </c>
      <c r="S16" s="1233">
        <v>93862.5</v>
      </c>
      <c r="T16" s="1232" t="s">
        <v>1081</v>
      </c>
      <c r="U16" s="1141"/>
    </row>
    <row r="17" spans="1:28">
      <c r="B17" s="1149" t="s">
        <v>1714</v>
      </c>
      <c r="C17" s="1231">
        <v>-85949.999999999985</v>
      </c>
      <c r="D17" s="1231" t="s">
        <v>1081</v>
      </c>
      <c r="E17" s="1231" t="s">
        <v>1081</v>
      </c>
      <c r="F17" s="1231">
        <v>-597.20000000000005</v>
      </c>
      <c r="G17" s="1231" t="s">
        <v>1081</v>
      </c>
      <c r="H17" s="1231" t="s">
        <v>1081</v>
      </c>
      <c r="I17" s="1231" t="s">
        <v>1081</v>
      </c>
      <c r="J17" s="1231" t="s">
        <v>1081</v>
      </c>
      <c r="K17" s="1231" t="s">
        <v>1081</v>
      </c>
      <c r="L17" s="1231">
        <v>-597.20000000000005</v>
      </c>
      <c r="M17" s="1231" t="s">
        <v>1081</v>
      </c>
      <c r="N17" s="1231" t="s">
        <v>1081</v>
      </c>
      <c r="O17" s="1231" t="s">
        <v>1081</v>
      </c>
      <c r="P17" s="1231">
        <v>-142783.79999999999</v>
      </c>
      <c r="Q17" s="1231">
        <v>-9246.7999999999993</v>
      </c>
      <c r="R17" s="1231" t="s">
        <v>1081</v>
      </c>
      <c r="S17" s="1231">
        <v>66677.8</v>
      </c>
      <c r="T17" s="1232" t="s">
        <v>1081</v>
      </c>
      <c r="U17" s="1140">
        <f>S17/SUM(P17:Q17)</f>
        <v>-0.43858144347256417</v>
      </c>
      <c r="V17" s="1153">
        <f>(S17+Q17)/SUM(G17:P17)*-1</f>
        <v>0.40054818978804724</v>
      </c>
      <c r="X17" s="1154">
        <f>SUM(R17:S17)/SUM(G17:Q17)*-1</f>
        <v>0.43686536790807445</v>
      </c>
    </row>
    <row r="18" spans="1:28">
      <c r="B18" s="1149" t="s">
        <v>1715</v>
      </c>
      <c r="C18" s="1231">
        <v>-54926.900000000009</v>
      </c>
      <c r="D18" s="1231" t="s">
        <v>1081</v>
      </c>
      <c r="E18" s="1231" t="s">
        <v>1081</v>
      </c>
      <c r="F18" s="1231">
        <v>-8.5</v>
      </c>
      <c r="G18" s="1231" t="s">
        <v>1081</v>
      </c>
      <c r="H18" s="1231" t="s">
        <v>1081</v>
      </c>
      <c r="I18" s="1231" t="s">
        <v>1081</v>
      </c>
      <c r="J18" s="1231" t="s">
        <v>1081</v>
      </c>
      <c r="K18" s="1231" t="s">
        <v>1081</v>
      </c>
      <c r="L18" s="1231">
        <v>-8.5</v>
      </c>
      <c r="M18" s="1231" t="s">
        <v>1081</v>
      </c>
      <c r="N18" s="1231" t="s">
        <v>1081</v>
      </c>
      <c r="O18" s="1231" t="s">
        <v>1081</v>
      </c>
      <c r="P18" s="1231">
        <v>-89888.8</v>
      </c>
      <c r="Q18" s="1231" t="s">
        <v>1081</v>
      </c>
      <c r="R18" s="1231">
        <v>7785.7</v>
      </c>
      <c r="S18" s="1231">
        <v>27184.7</v>
      </c>
      <c r="T18" s="1232" t="s">
        <v>1081</v>
      </c>
      <c r="U18" s="1140">
        <f>R18/S18</f>
        <v>0.28640007062796352</v>
      </c>
      <c r="V18" s="1154">
        <f>SUM(R18:S18)/SUM(G18:Q18)*-1</f>
        <v>0.38900389666875423</v>
      </c>
    </row>
    <row r="19" spans="1:28">
      <c r="B19" s="1149" t="s">
        <v>1716</v>
      </c>
      <c r="C19" s="1231">
        <v>-1922.8999999999996</v>
      </c>
      <c r="D19" s="1231" t="s">
        <v>1081</v>
      </c>
      <c r="E19" s="1231" t="s">
        <v>1081</v>
      </c>
      <c r="F19" s="1231">
        <v>-17</v>
      </c>
      <c r="G19" s="1231" t="s">
        <v>1081</v>
      </c>
      <c r="H19" s="1231" t="s">
        <v>1081</v>
      </c>
      <c r="I19" s="1231" t="s">
        <v>1081</v>
      </c>
      <c r="J19" s="1231" t="s">
        <v>1081</v>
      </c>
      <c r="K19" s="1231" t="s">
        <v>1081</v>
      </c>
      <c r="L19" s="1231">
        <v>-8.5</v>
      </c>
      <c r="M19" s="1231">
        <v>-8.5</v>
      </c>
      <c r="N19" s="1231" t="s">
        <v>1081</v>
      </c>
      <c r="O19" s="1231" t="s">
        <v>1081</v>
      </c>
      <c r="P19" s="1231">
        <v>-8136.2</v>
      </c>
      <c r="Q19" s="1231" t="s">
        <v>1081</v>
      </c>
      <c r="R19" s="1231">
        <v>6230.3</v>
      </c>
      <c r="S19" s="1231" t="s">
        <v>1081</v>
      </c>
      <c r="T19" s="1232" t="s">
        <v>1081</v>
      </c>
      <c r="V19" s="1154">
        <f>SUM(R19:S19)/SUM(G19:Q19)*-1</f>
        <v>0.76415395182259727</v>
      </c>
    </row>
    <row r="20" spans="1:28">
      <c r="B20" s="1149" t="s">
        <v>1060</v>
      </c>
      <c r="C20" s="1231">
        <v>1174.4000000000001</v>
      </c>
      <c r="D20" s="1231" t="s">
        <v>1081</v>
      </c>
      <c r="E20" s="1231" t="s">
        <v>1081</v>
      </c>
      <c r="F20" s="1231">
        <v>1389.2</v>
      </c>
      <c r="G20" s="1231" t="s">
        <v>1081</v>
      </c>
      <c r="H20" s="1231">
        <v>569.1</v>
      </c>
      <c r="I20" s="1231" t="s">
        <v>1081</v>
      </c>
      <c r="J20" s="1231" t="s">
        <v>1081</v>
      </c>
      <c r="K20" s="1231" t="s">
        <v>1081</v>
      </c>
      <c r="L20" s="1231" t="s">
        <v>1081</v>
      </c>
      <c r="M20" s="1231" t="s">
        <v>1081</v>
      </c>
      <c r="N20" s="1231" t="s">
        <v>1081</v>
      </c>
      <c r="O20" s="1231">
        <v>820.1</v>
      </c>
      <c r="P20" s="1231">
        <v>-214.8</v>
      </c>
      <c r="Q20" s="1231" t="s">
        <v>1081</v>
      </c>
      <c r="R20" s="1231" t="s">
        <v>1081</v>
      </c>
      <c r="S20" s="1231" t="s">
        <v>1081</v>
      </c>
      <c r="T20" s="1232" t="s">
        <v>1081</v>
      </c>
    </row>
    <row r="21" spans="1:28">
      <c r="B21" s="1149" t="s">
        <v>1717</v>
      </c>
      <c r="C21" s="1231" t="s">
        <v>1081</v>
      </c>
      <c r="D21" s="1231" t="s">
        <v>1081</v>
      </c>
      <c r="E21" s="1231" t="s">
        <v>1081</v>
      </c>
      <c r="F21" s="1231" t="s">
        <v>1081</v>
      </c>
      <c r="G21" s="1231" t="s">
        <v>1081</v>
      </c>
      <c r="H21" s="1231" t="s">
        <v>1081</v>
      </c>
      <c r="I21" s="1231" t="s">
        <v>1081</v>
      </c>
      <c r="J21" s="1231" t="s">
        <v>1081</v>
      </c>
      <c r="K21" s="1231" t="s">
        <v>1081</v>
      </c>
      <c r="L21" s="1231" t="s">
        <v>1081</v>
      </c>
      <c r="M21" s="1231" t="s">
        <v>1081</v>
      </c>
      <c r="N21" s="1231" t="s">
        <v>1081</v>
      </c>
      <c r="O21" s="1231" t="s">
        <v>1081</v>
      </c>
      <c r="P21" s="1231" t="s">
        <v>1081</v>
      </c>
      <c r="Q21" s="1231" t="s">
        <v>1081</v>
      </c>
      <c r="R21" s="1231" t="s">
        <v>1081</v>
      </c>
      <c r="S21" s="1231" t="s">
        <v>1081</v>
      </c>
      <c r="T21" s="1232" t="s">
        <v>1081</v>
      </c>
    </row>
    <row r="22" spans="1:28" ht="15">
      <c r="A22" s="1154"/>
      <c r="B22" s="1155" t="s">
        <v>1642</v>
      </c>
      <c r="C22" s="1231">
        <v>-10927.8</v>
      </c>
      <c r="D22" s="1231">
        <v>-266941.5</v>
      </c>
      <c r="E22" s="1231" t="s">
        <v>1081</v>
      </c>
      <c r="F22" s="1231">
        <v>256013.7</v>
      </c>
      <c r="G22" s="1231">
        <v>10275.5</v>
      </c>
      <c r="H22" s="1231">
        <v>9390.1</v>
      </c>
      <c r="I22" s="1231">
        <v>50169</v>
      </c>
      <c r="J22" s="1231">
        <v>28779.8</v>
      </c>
      <c r="K22" s="1231" t="s">
        <v>1081</v>
      </c>
      <c r="L22" s="1231">
        <v>95681.7</v>
      </c>
      <c r="M22" s="1231">
        <v>5373.7</v>
      </c>
      <c r="N22" s="1231">
        <v>10650.6</v>
      </c>
      <c r="O22" s="1231">
        <v>45693.3</v>
      </c>
      <c r="P22" s="1231" t="s">
        <v>1081</v>
      </c>
      <c r="Q22" s="1231" t="s">
        <v>1081</v>
      </c>
      <c r="R22" s="1231" t="s">
        <v>1081</v>
      </c>
      <c r="S22" s="1231" t="s">
        <v>1081</v>
      </c>
      <c r="T22" s="1232" t="s">
        <v>1081</v>
      </c>
      <c r="V22" s="1140">
        <v>29</v>
      </c>
      <c r="W22" s="1140">
        <f>V22/$V$26</f>
        <v>5.8467741935483868E-2</v>
      </c>
    </row>
    <row r="23" spans="1:28" ht="15">
      <c r="B23" s="1155" t="s">
        <v>1718</v>
      </c>
      <c r="C23" s="1231" t="s">
        <v>1081</v>
      </c>
      <c r="D23" s="1231" t="s">
        <v>1081</v>
      </c>
      <c r="E23" s="1231" t="s">
        <v>1081</v>
      </c>
      <c r="F23" s="1231" t="s">
        <v>1081</v>
      </c>
      <c r="G23" s="1231" t="s">
        <v>1081</v>
      </c>
      <c r="H23" s="1231" t="s">
        <v>1081</v>
      </c>
      <c r="I23" s="1231" t="s">
        <v>1081</v>
      </c>
      <c r="J23" s="1231" t="s">
        <v>1081</v>
      </c>
      <c r="K23" s="1231" t="s">
        <v>1081</v>
      </c>
      <c r="L23" s="1231" t="s">
        <v>1081</v>
      </c>
      <c r="M23" s="1231" t="s">
        <v>1081</v>
      </c>
      <c r="N23" s="1231" t="s">
        <v>1081</v>
      </c>
      <c r="O23" s="1231" t="s">
        <v>1081</v>
      </c>
      <c r="P23" s="1231" t="s">
        <v>1081</v>
      </c>
      <c r="Q23" s="1231" t="s">
        <v>1081</v>
      </c>
      <c r="R23" s="1231" t="s">
        <v>1081</v>
      </c>
      <c r="S23" s="1231" t="s">
        <v>1081</v>
      </c>
      <c r="T23" s="1232" t="s">
        <v>1081</v>
      </c>
      <c r="V23" s="1140">
        <v>54</v>
      </c>
      <c r="W23" s="1140">
        <f>V23/$V$26</f>
        <v>0.10887096774193548</v>
      </c>
    </row>
    <row r="24" spans="1:28">
      <c r="B24" s="1149" t="s">
        <v>1719</v>
      </c>
      <c r="C24" s="1231">
        <v>-2.0999999999999996</v>
      </c>
      <c r="D24" s="1231" t="s">
        <v>1081</v>
      </c>
      <c r="E24" s="1231" t="s">
        <v>1081</v>
      </c>
      <c r="F24" s="1231" t="s">
        <v>1081</v>
      </c>
      <c r="G24" s="1231" t="s">
        <v>1081</v>
      </c>
      <c r="H24" s="1231" t="s">
        <v>1081</v>
      </c>
      <c r="I24" s="1231" t="s">
        <v>1081</v>
      </c>
      <c r="J24" s="1231" t="s">
        <v>1081</v>
      </c>
      <c r="K24" s="1231" t="s">
        <v>1081</v>
      </c>
      <c r="L24" s="1231" t="s">
        <v>1081</v>
      </c>
      <c r="M24" s="1231" t="s">
        <v>1081</v>
      </c>
      <c r="N24" s="1231" t="s">
        <v>1081</v>
      </c>
      <c r="O24" s="1231" t="s">
        <v>1081</v>
      </c>
      <c r="P24" s="1231" t="s">
        <v>1081</v>
      </c>
      <c r="Q24" s="1231">
        <v>-2.0999999999999996</v>
      </c>
      <c r="R24" s="1231" t="s">
        <v>1081</v>
      </c>
      <c r="S24" s="1231" t="s">
        <v>1081</v>
      </c>
      <c r="T24" s="1232" t="s">
        <v>1081</v>
      </c>
      <c r="V24" s="1140">
        <v>98</v>
      </c>
      <c r="W24" s="1140">
        <f>V24/$V$26</f>
        <v>0.19758064516129031</v>
      </c>
    </row>
    <row r="25" spans="1:28" ht="15">
      <c r="B25" s="1156" t="s">
        <v>1720</v>
      </c>
      <c r="C25" s="1233">
        <v>47230.5</v>
      </c>
      <c r="D25" s="1233">
        <v>452.5</v>
      </c>
      <c r="E25" s="1231" t="s">
        <v>1081</v>
      </c>
      <c r="F25" s="1233">
        <v>13615.7</v>
      </c>
      <c r="G25" s="1231">
        <v>7968</v>
      </c>
      <c r="H25" s="1231" t="s">
        <v>1081</v>
      </c>
      <c r="I25" s="1231" t="s">
        <v>1081</v>
      </c>
      <c r="J25" s="1231" t="s">
        <v>1081</v>
      </c>
      <c r="K25" s="1231" t="s">
        <v>1081</v>
      </c>
      <c r="L25" s="1231" t="s">
        <v>1081</v>
      </c>
      <c r="M25" s="1231" t="s">
        <v>1081</v>
      </c>
      <c r="N25" s="1231" t="s">
        <v>1081</v>
      </c>
      <c r="O25" s="1231">
        <v>5647.7</v>
      </c>
      <c r="P25" s="1233">
        <v>19479.2</v>
      </c>
      <c r="Q25" s="1231" t="s">
        <v>1081</v>
      </c>
      <c r="R25" s="1233">
        <v>9.6</v>
      </c>
      <c r="S25" s="1233">
        <v>13673.5</v>
      </c>
      <c r="T25" s="1232" t="s">
        <v>1081</v>
      </c>
      <c r="U25" s="1141"/>
      <c r="V25" s="1140">
        <v>315</v>
      </c>
      <c r="W25" s="1140">
        <f>V25/$V$26</f>
        <v>0.63508064516129037</v>
      </c>
    </row>
    <row r="26" spans="1:28" ht="15">
      <c r="B26" s="1156" t="s">
        <v>1721</v>
      </c>
      <c r="C26" s="1233">
        <v>38719.5</v>
      </c>
      <c r="D26" s="1233">
        <v>1753.9</v>
      </c>
      <c r="E26" s="1231" t="s">
        <v>1081</v>
      </c>
      <c r="F26" s="1231" t="s">
        <v>1081</v>
      </c>
      <c r="G26" s="1231" t="s">
        <v>1081</v>
      </c>
      <c r="H26" s="1231" t="s">
        <v>1081</v>
      </c>
      <c r="I26" s="1231" t="s">
        <v>1081</v>
      </c>
      <c r="J26" s="1231" t="s">
        <v>1081</v>
      </c>
      <c r="K26" s="1231" t="s">
        <v>1081</v>
      </c>
      <c r="L26" s="1231" t="s">
        <v>1081</v>
      </c>
      <c r="M26" s="1231" t="s">
        <v>1081</v>
      </c>
      <c r="N26" s="1231" t="s">
        <v>1081</v>
      </c>
      <c r="O26" s="1231" t="s">
        <v>1081</v>
      </c>
      <c r="P26" s="1233">
        <v>28154.5</v>
      </c>
      <c r="Q26" s="1231" t="s">
        <v>1081</v>
      </c>
      <c r="R26" s="1233">
        <v>798.9</v>
      </c>
      <c r="S26" s="1233">
        <v>8012.2</v>
      </c>
      <c r="T26" s="1232" t="s">
        <v>1081</v>
      </c>
      <c r="U26" s="1141"/>
      <c r="V26" s="1140">
        <f>SUM(V22:V25)</f>
        <v>496</v>
      </c>
      <c r="W26" s="1141"/>
    </row>
    <row r="27" spans="1:28" ht="15">
      <c r="B27" s="1156" t="s">
        <v>1722</v>
      </c>
      <c r="C27" s="1233">
        <v>472588.5</v>
      </c>
      <c r="D27" s="1231" t="s">
        <v>1081</v>
      </c>
      <c r="E27" s="1231" t="s">
        <v>1081</v>
      </c>
      <c r="F27" s="1233">
        <v>189886.30000000002</v>
      </c>
      <c r="G27" s="1231">
        <v>2307.5</v>
      </c>
      <c r="H27" s="1231">
        <v>7976.7</v>
      </c>
      <c r="I27" s="1231">
        <v>58251.199999999997</v>
      </c>
      <c r="J27" s="1231">
        <v>12960.8</v>
      </c>
      <c r="K27" s="1231">
        <v>189.4</v>
      </c>
      <c r="L27" s="1231">
        <v>60929.8</v>
      </c>
      <c r="M27" s="1231">
        <v>3275.2</v>
      </c>
      <c r="N27" s="1231">
        <v>9958.6</v>
      </c>
      <c r="O27" s="1231">
        <v>34037.1</v>
      </c>
      <c r="P27" s="1233">
        <v>200323.1</v>
      </c>
      <c r="Q27" s="1233">
        <v>1784.3000000000002</v>
      </c>
      <c r="R27" s="1233">
        <v>13207.5</v>
      </c>
      <c r="S27" s="1233">
        <v>67198.3</v>
      </c>
      <c r="T27" s="1234">
        <v>189</v>
      </c>
      <c r="U27" s="1141"/>
      <c r="Z27" s="1141">
        <f>P27-P16</f>
        <v>441346.7</v>
      </c>
      <c r="AA27" s="1140">
        <f>Z27*56</f>
        <v>24715415.199999999</v>
      </c>
    </row>
    <row r="28" spans="1:28" ht="15">
      <c r="B28" s="1156" t="s">
        <v>1723</v>
      </c>
      <c r="C28" s="1233">
        <v>417127.69999999995</v>
      </c>
      <c r="D28" s="1231" t="s">
        <v>1081</v>
      </c>
      <c r="E28" s="1231" t="s">
        <v>1081</v>
      </c>
      <c r="F28" s="1233">
        <v>135808.9</v>
      </c>
      <c r="G28" s="1231" t="s">
        <v>1081</v>
      </c>
      <c r="H28" s="1231">
        <v>1033.7</v>
      </c>
      <c r="I28" s="1231">
        <v>58251.199999999997</v>
      </c>
      <c r="J28" s="1231">
        <v>12960.8</v>
      </c>
      <c r="K28" s="1231">
        <v>25.8</v>
      </c>
      <c r="L28" s="1231">
        <v>60784.800000000003</v>
      </c>
      <c r="M28" s="1231">
        <v>2655</v>
      </c>
      <c r="N28" s="1231" t="s">
        <v>1081</v>
      </c>
      <c r="O28" s="1231">
        <v>97.6</v>
      </c>
      <c r="P28" s="1233">
        <v>199092.7</v>
      </c>
      <c r="Q28" s="1233">
        <v>1784.3000000000002</v>
      </c>
      <c r="R28" s="1233">
        <v>13207.5</v>
      </c>
      <c r="S28" s="1233">
        <v>67198.3</v>
      </c>
      <c r="T28" s="1234">
        <v>36</v>
      </c>
      <c r="U28" s="1141"/>
      <c r="W28" s="1141">
        <f>SUM(S25:S27)-S13</f>
        <v>93758.399999999994</v>
      </c>
      <c r="AA28" s="1140">
        <f>P16*-1*56/1000000</f>
        <v>13.497321599999999</v>
      </c>
      <c r="AB28" s="1140" t="s">
        <v>1724</v>
      </c>
    </row>
    <row r="29" spans="1:28">
      <c r="B29" s="1157" t="s">
        <v>1725</v>
      </c>
      <c r="C29" s="1233">
        <v>67965.7</v>
      </c>
      <c r="D29" s="1231" t="s">
        <v>1081</v>
      </c>
      <c r="E29" s="1231" t="s">
        <v>1081</v>
      </c>
      <c r="F29" s="1233">
        <v>5794.4000000000005</v>
      </c>
      <c r="G29" s="1231" t="s">
        <v>1081</v>
      </c>
      <c r="H29" s="1231">
        <v>23.5</v>
      </c>
      <c r="I29" s="1231" t="s">
        <v>1081</v>
      </c>
      <c r="J29" s="1231" t="s">
        <v>1081</v>
      </c>
      <c r="K29" s="1231" t="s">
        <v>1081</v>
      </c>
      <c r="L29" s="1231">
        <v>3630</v>
      </c>
      <c r="M29" s="1231">
        <v>2043.3</v>
      </c>
      <c r="N29" s="1231" t="s">
        <v>1081</v>
      </c>
      <c r="O29" s="1231">
        <v>97.6</v>
      </c>
      <c r="P29" s="1233">
        <v>38903.800000000003</v>
      </c>
      <c r="Q29" s="1233">
        <v>269</v>
      </c>
      <c r="R29" s="1233">
        <v>7166.1</v>
      </c>
      <c r="S29" s="1233">
        <v>15832.4</v>
      </c>
      <c r="T29" s="1232" t="s">
        <v>1081</v>
      </c>
      <c r="W29" s="1141"/>
      <c r="AA29" s="1140">
        <f>P27*56/1000000</f>
        <v>11.2180936</v>
      </c>
      <c r="AB29" s="1140" t="s">
        <v>1726</v>
      </c>
    </row>
    <row r="30" spans="1:28" ht="15">
      <c r="B30" s="1158" t="s">
        <v>1727</v>
      </c>
      <c r="C30" s="1231">
        <v>2365.1000000000004</v>
      </c>
      <c r="D30" s="1231" t="s">
        <v>1081</v>
      </c>
      <c r="E30" s="1231" t="s">
        <v>1081</v>
      </c>
      <c r="F30" s="1231" t="s">
        <v>1081</v>
      </c>
      <c r="G30" s="1231" t="s">
        <v>1081</v>
      </c>
      <c r="H30" s="1231" t="s">
        <v>1081</v>
      </c>
      <c r="I30" s="1231" t="s">
        <v>1081</v>
      </c>
      <c r="J30" s="1231" t="s">
        <v>1081</v>
      </c>
      <c r="K30" s="1231" t="s">
        <v>1081</v>
      </c>
      <c r="L30" s="1231" t="s">
        <v>1081</v>
      </c>
      <c r="M30" s="1231" t="s">
        <v>1081</v>
      </c>
      <c r="N30" s="1231" t="s">
        <v>1081</v>
      </c>
      <c r="O30" s="1231" t="s">
        <v>1081</v>
      </c>
      <c r="P30" s="1231">
        <v>1070.2</v>
      </c>
      <c r="Q30" s="1231" t="s">
        <v>1081</v>
      </c>
      <c r="R30" s="1231" t="s">
        <v>1081</v>
      </c>
      <c r="S30" s="1231">
        <v>1294.9000000000001</v>
      </c>
      <c r="T30" s="1232" t="s">
        <v>1081</v>
      </c>
      <c r="AA30" s="1140">
        <f>F27*65/1000000</f>
        <v>12.342609500000002</v>
      </c>
      <c r="AB30" s="1140" t="s">
        <v>1728</v>
      </c>
    </row>
    <row r="31" spans="1:28" ht="15">
      <c r="B31" s="1158" t="s">
        <v>1729</v>
      </c>
      <c r="C31" s="1231">
        <v>22995.5</v>
      </c>
      <c r="D31" s="1231" t="s">
        <v>1081</v>
      </c>
      <c r="E31" s="1231" t="s">
        <v>1081</v>
      </c>
      <c r="F31" s="1231">
        <v>85</v>
      </c>
      <c r="G31" s="1231" t="s">
        <v>1081</v>
      </c>
      <c r="H31" s="1231" t="s">
        <v>1081</v>
      </c>
      <c r="I31" s="1231" t="s">
        <v>1081</v>
      </c>
      <c r="J31" s="1231" t="s">
        <v>1081</v>
      </c>
      <c r="K31" s="1231" t="s">
        <v>1081</v>
      </c>
      <c r="L31" s="1231" t="s">
        <v>1081</v>
      </c>
      <c r="M31" s="1231" t="s">
        <v>1081</v>
      </c>
      <c r="N31" s="1231" t="s">
        <v>1081</v>
      </c>
      <c r="O31" s="1231">
        <v>85</v>
      </c>
      <c r="P31" s="1231">
        <v>13917.1</v>
      </c>
      <c r="Q31" s="1231" t="s">
        <v>1081</v>
      </c>
      <c r="R31" s="1231">
        <v>7166.1</v>
      </c>
      <c r="S31" s="1231">
        <v>1827.3</v>
      </c>
      <c r="T31" s="1232" t="s">
        <v>1081</v>
      </c>
    </row>
    <row r="32" spans="1:28" ht="15">
      <c r="B32" s="1158" t="s">
        <v>1730</v>
      </c>
      <c r="C32" s="1231">
        <v>3361.1</v>
      </c>
      <c r="D32" s="1231" t="s">
        <v>1081</v>
      </c>
      <c r="E32" s="1231" t="s">
        <v>1081</v>
      </c>
      <c r="F32" s="1231">
        <v>123.2</v>
      </c>
      <c r="G32" s="1231" t="s">
        <v>1081</v>
      </c>
      <c r="H32" s="1231" t="s">
        <v>1081</v>
      </c>
      <c r="I32" s="1231" t="s">
        <v>1081</v>
      </c>
      <c r="J32" s="1231" t="s">
        <v>1081</v>
      </c>
      <c r="K32" s="1231" t="s">
        <v>1081</v>
      </c>
      <c r="L32" s="1231" t="s">
        <v>1081</v>
      </c>
      <c r="M32" s="1231">
        <v>123.2</v>
      </c>
      <c r="N32" s="1231" t="s">
        <v>1081</v>
      </c>
      <c r="O32" s="1231" t="s">
        <v>1081</v>
      </c>
      <c r="P32" s="1231">
        <v>74.2</v>
      </c>
      <c r="Q32" s="1231" t="s">
        <v>1081</v>
      </c>
      <c r="R32" s="1231" t="s">
        <v>1081</v>
      </c>
      <c r="S32" s="1231">
        <v>3163.7</v>
      </c>
      <c r="T32" s="1232" t="s">
        <v>1081</v>
      </c>
      <c r="Z32" s="1140" t="s">
        <v>1731</v>
      </c>
      <c r="AA32" s="1140" t="s">
        <v>62</v>
      </c>
    </row>
    <row r="33" spans="2:28" ht="15">
      <c r="B33" s="1158" t="s">
        <v>1732</v>
      </c>
      <c r="C33" s="1231">
        <v>12373.6</v>
      </c>
      <c r="D33" s="1231" t="s">
        <v>1081</v>
      </c>
      <c r="E33" s="1231" t="s">
        <v>1081</v>
      </c>
      <c r="F33" s="1231">
        <v>148.6</v>
      </c>
      <c r="G33" s="1231" t="s">
        <v>1081</v>
      </c>
      <c r="H33" s="1231" t="s">
        <v>1081</v>
      </c>
      <c r="I33" s="1231" t="s">
        <v>1081</v>
      </c>
      <c r="J33" s="1231" t="s">
        <v>1081</v>
      </c>
      <c r="K33" s="1231" t="s">
        <v>1081</v>
      </c>
      <c r="L33" s="1231">
        <v>4.3</v>
      </c>
      <c r="M33" s="1231">
        <v>131.69999999999999</v>
      </c>
      <c r="N33" s="1231" t="s">
        <v>1081</v>
      </c>
      <c r="O33" s="1231">
        <v>12.6</v>
      </c>
      <c r="P33" s="1231">
        <v>10460.299999999999</v>
      </c>
      <c r="Q33" s="1231" t="s">
        <v>1081</v>
      </c>
      <c r="R33" s="1231" t="s">
        <v>1081</v>
      </c>
      <c r="S33" s="1231">
        <v>1764.7</v>
      </c>
      <c r="T33" s="1232" t="s">
        <v>1081</v>
      </c>
      <c r="Z33" s="1140">
        <f>AA33*56/1000</f>
        <v>11.920669600000002</v>
      </c>
      <c r="AA33" s="1141">
        <f>(-1*P16-P26)/1000</f>
        <v>212.8691</v>
      </c>
      <c r="AB33" s="1140" t="s">
        <v>1733</v>
      </c>
    </row>
    <row r="34" spans="2:28" ht="15">
      <c r="B34" s="1158" t="s">
        <v>1734</v>
      </c>
      <c r="C34" s="1231">
        <v>21.5</v>
      </c>
      <c r="D34" s="1231" t="s">
        <v>1081</v>
      </c>
      <c r="E34" s="1231" t="s">
        <v>1081</v>
      </c>
      <c r="F34" s="1231">
        <v>4.3</v>
      </c>
      <c r="G34" s="1231" t="s">
        <v>1081</v>
      </c>
      <c r="H34" s="1231" t="s">
        <v>1081</v>
      </c>
      <c r="I34" s="1231" t="s">
        <v>1081</v>
      </c>
      <c r="J34" s="1231" t="s">
        <v>1081</v>
      </c>
      <c r="K34" s="1231" t="s">
        <v>1081</v>
      </c>
      <c r="L34" s="1231">
        <v>4.3</v>
      </c>
      <c r="M34" s="1231" t="s">
        <v>1081</v>
      </c>
      <c r="N34" s="1231" t="s">
        <v>1081</v>
      </c>
      <c r="O34" s="1231" t="s">
        <v>1081</v>
      </c>
      <c r="P34" s="1231">
        <v>7.8</v>
      </c>
      <c r="Q34" s="1231" t="s">
        <v>1081</v>
      </c>
      <c r="R34" s="1231" t="s">
        <v>1081</v>
      </c>
      <c r="S34" s="1231">
        <v>9.4</v>
      </c>
      <c r="T34" s="1232" t="s">
        <v>1081</v>
      </c>
      <c r="Z34" s="1140">
        <f>AA34*65/1000</f>
        <v>0.71030700000000002</v>
      </c>
      <c r="AA34" s="1141">
        <f>C22/-1000</f>
        <v>10.9278</v>
      </c>
      <c r="AB34" s="1140" t="s">
        <v>1735</v>
      </c>
    </row>
    <row r="35" spans="2:28" ht="15">
      <c r="B35" s="1158" t="s">
        <v>1010</v>
      </c>
      <c r="C35" s="1231">
        <v>1481.5</v>
      </c>
      <c r="D35" s="1231" t="s">
        <v>1081</v>
      </c>
      <c r="E35" s="1231" t="s">
        <v>1081</v>
      </c>
      <c r="F35" s="1231">
        <v>26</v>
      </c>
      <c r="G35" s="1231" t="s">
        <v>1081</v>
      </c>
      <c r="H35" s="1231">
        <v>4.7</v>
      </c>
      <c r="I35" s="1231" t="s">
        <v>1081</v>
      </c>
      <c r="J35" s="1231" t="s">
        <v>1081</v>
      </c>
      <c r="K35" s="1231" t="s">
        <v>1081</v>
      </c>
      <c r="L35" s="1231">
        <v>4.3</v>
      </c>
      <c r="M35" s="1231">
        <v>17</v>
      </c>
      <c r="N35" s="1231" t="s">
        <v>1081</v>
      </c>
      <c r="O35" s="1231" t="s">
        <v>1081</v>
      </c>
      <c r="P35" s="1231">
        <v>703.1</v>
      </c>
      <c r="Q35" s="1231" t="s">
        <v>1081</v>
      </c>
      <c r="R35" s="1231" t="s">
        <v>1081</v>
      </c>
      <c r="S35" s="1231">
        <v>752.4</v>
      </c>
      <c r="T35" s="1232" t="s">
        <v>1081</v>
      </c>
      <c r="Z35" s="1140">
        <f>AA35*56/1000</f>
        <v>11.2180936</v>
      </c>
      <c r="AA35" s="1141">
        <f>P27/1000</f>
        <v>200.32310000000001</v>
      </c>
      <c r="AB35" s="1140" t="s">
        <v>1736</v>
      </c>
    </row>
    <row r="36" spans="2:28">
      <c r="B36" s="1159" t="s">
        <v>948</v>
      </c>
      <c r="C36" s="1231">
        <v>1162.8999999999999</v>
      </c>
      <c r="D36" s="1231" t="s">
        <v>1081</v>
      </c>
      <c r="E36" s="1231" t="s">
        <v>1081</v>
      </c>
      <c r="F36" s="1231">
        <v>328.79999999999995</v>
      </c>
      <c r="G36" s="1231" t="s">
        <v>1081</v>
      </c>
      <c r="H36" s="1231">
        <v>4.7</v>
      </c>
      <c r="I36" s="1231" t="s">
        <v>1081</v>
      </c>
      <c r="J36" s="1231" t="s">
        <v>1081</v>
      </c>
      <c r="K36" s="1231" t="s">
        <v>1081</v>
      </c>
      <c r="L36" s="1231">
        <v>319.89999999999998</v>
      </c>
      <c r="M36" s="1231">
        <v>4.2</v>
      </c>
      <c r="N36" s="1231" t="s">
        <v>1081</v>
      </c>
      <c r="O36" s="1231" t="s">
        <v>1081</v>
      </c>
      <c r="P36" s="1231">
        <v>441.4</v>
      </c>
      <c r="Q36" s="1231" t="s">
        <v>1081</v>
      </c>
      <c r="R36" s="1231" t="s">
        <v>1081</v>
      </c>
      <c r="S36" s="1231">
        <v>392.7</v>
      </c>
      <c r="T36" s="1232" t="s">
        <v>1081</v>
      </c>
      <c r="Z36" s="1140">
        <f>AA36*65/1000</f>
        <v>12.3426095</v>
      </c>
      <c r="AA36" s="1141">
        <f>F27/1000</f>
        <v>189.88630000000001</v>
      </c>
      <c r="AB36" s="1140" t="s">
        <v>1737</v>
      </c>
    </row>
    <row r="37" spans="2:28">
      <c r="B37" s="1159" t="s">
        <v>1738</v>
      </c>
      <c r="C37" s="1231">
        <v>12769.2</v>
      </c>
      <c r="D37" s="1231" t="s">
        <v>1081</v>
      </c>
      <c r="E37" s="1231" t="s">
        <v>1081</v>
      </c>
      <c r="F37" s="1231">
        <v>289.60000000000002</v>
      </c>
      <c r="G37" s="1231" t="s">
        <v>1081</v>
      </c>
      <c r="H37" s="1231">
        <v>4.7</v>
      </c>
      <c r="I37" s="1231" t="s">
        <v>1081</v>
      </c>
      <c r="J37" s="1231" t="s">
        <v>1081</v>
      </c>
      <c r="K37" s="1231" t="s">
        <v>1081</v>
      </c>
      <c r="L37" s="1231">
        <v>89.5</v>
      </c>
      <c r="M37" s="1231">
        <v>195.4</v>
      </c>
      <c r="N37" s="1231" t="s">
        <v>1081</v>
      </c>
      <c r="O37" s="1231" t="s">
        <v>1081</v>
      </c>
      <c r="P37" s="1231">
        <v>9593.1</v>
      </c>
      <c r="Q37" s="1231">
        <v>258.5</v>
      </c>
      <c r="R37" s="1231" t="s">
        <v>1081</v>
      </c>
      <c r="S37" s="1231">
        <v>2628</v>
      </c>
      <c r="T37" s="1232" t="s">
        <v>1081</v>
      </c>
      <c r="Z37" s="1160">
        <f>SUM(Z33:Z36)</f>
        <v>36.191679700000002</v>
      </c>
      <c r="AA37" s="1161">
        <f>SUM(AA33:AA36)</f>
        <v>614.00630000000001</v>
      </c>
      <c r="AB37" s="1160" t="s">
        <v>1739</v>
      </c>
    </row>
    <row r="38" spans="2:28">
      <c r="B38" s="1159" t="s">
        <v>1740</v>
      </c>
      <c r="C38" s="1231">
        <v>361.2</v>
      </c>
      <c r="D38" s="1231" t="s">
        <v>1081</v>
      </c>
      <c r="E38" s="1231" t="s">
        <v>1081</v>
      </c>
      <c r="F38" s="1231" t="s">
        <v>1081</v>
      </c>
      <c r="G38" s="1231" t="s">
        <v>1081</v>
      </c>
      <c r="H38" s="1231" t="s">
        <v>1081</v>
      </c>
      <c r="I38" s="1231" t="s">
        <v>1081</v>
      </c>
      <c r="J38" s="1231" t="s">
        <v>1081</v>
      </c>
      <c r="K38" s="1231" t="s">
        <v>1081</v>
      </c>
      <c r="L38" s="1231" t="s">
        <v>1081</v>
      </c>
      <c r="M38" s="1231" t="s">
        <v>1081</v>
      </c>
      <c r="N38" s="1231" t="s">
        <v>1081</v>
      </c>
      <c r="O38" s="1231" t="s">
        <v>1081</v>
      </c>
      <c r="P38" s="1231">
        <v>97.7</v>
      </c>
      <c r="Q38" s="1231" t="s">
        <v>1081</v>
      </c>
      <c r="R38" s="1231" t="s">
        <v>1081</v>
      </c>
      <c r="S38" s="1231">
        <v>263.5</v>
      </c>
      <c r="T38" s="1232" t="s">
        <v>1081</v>
      </c>
      <c r="Z38" s="1140">
        <f>AA38*56*24/1000</f>
        <v>37.839648000000004</v>
      </c>
      <c r="AA38" s="1141">
        <f>P26/1000</f>
        <v>28.154499999999999</v>
      </c>
      <c r="AB38" s="1140" t="s">
        <v>1741</v>
      </c>
    </row>
    <row r="39" spans="2:28" ht="15">
      <c r="B39" s="1158" t="s">
        <v>1742</v>
      </c>
      <c r="C39" s="1231">
        <v>159.4</v>
      </c>
      <c r="D39" s="1231" t="s">
        <v>1081</v>
      </c>
      <c r="E39" s="1231" t="s">
        <v>1081</v>
      </c>
      <c r="F39" s="1231" t="s">
        <v>1081</v>
      </c>
      <c r="G39" s="1231" t="s">
        <v>1081</v>
      </c>
      <c r="H39" s="1231" t="s">
        <v>1081</v>
      </c>
      <c r="I39" s="1231" t="s">
        <v>1081</v>
      </c>
      <c r="J39" s="1231" t="s">
        <v>1081</v>
      </c>
      <c r="K39" s="1231" t="s">
        <v>1081</v>
      </c>
      <c r="L39" s="1231" t="s">
        <v>1081</v>
      </c>
      <c r="M39" s="1231" t="s">
        <v>1081</v>
      </c>
      <c r="N39" s="1231" t="s">
        <v>1081</v>
      </c>
      <c r="O39" s="1231" t="s">
        <v>1081</v>
      </c>
      <c r="P39" s="1231">
        <v>3.9</v>
      </c>
      <c r="Q39" s="1231" t="s">
        <v>1081</v>
      </c>
      <c r="R39" s="1231" t="s">
        <v>1081</v>
      </c>
      <c r="S39" s="1231">
        <v>155.5</v>
      </c>
      <c r="T39" s="1232" t="s">
        <v>1081</v>
      </c>
      <c r="Z39" s="1161">
        <f>SUM(Z37:Z38)</f>
        <v>74.031327700000006</v>
      </c>
      <c r="AA39" s="1161">
        <f>SUM(AA37:AA38)</f>
        <v>642.16079999999999</v>
      </c>
      <c r="AB39" s="1160" t="s">
        <v>1743</v>
      </c>
    </row>
    <row r="40" spans="2:28">
      <c r="B40" s="1159" t="s">
        <v>1744</v>
      </c>
      <c r="C40" s="1231">
        <v>1170.0999999999999</v>
      </c>
      <c r="D40" s="1231" t="s">
        <v>1081</v>
      </c>
      <c r="E40" s="1231" t="s">
        <v>1081</v>
      </c>
      <c r="F40" s="1231">
        <v>30.3</v>
      </c>
      <c r="G40" s="1231" t="s">
        <v>1081</v>
      </c>
      <c r="H40" s="1231">
        <v>4.7</v>
      </c>
      <c r="I40" s="1231" t="s">
        <v>1081</v>
      </c>
      <c r="J40" s="1231" t="s">
        <v>1081</v>
      </c>
      <c r="K40" s="1231" t="s">
        <v>1081</v>
      </c>
      <c r="L40" s="1231">
        <v>25.6</v>
      </c>
      <c r="M40" s="1231" t="s">
        <v>1081</v>
      </c>
      <c r="N40" s="1231" t="s">
        <v>1081</v>
      </c>
      <c r="O40" s="1231" t="s">
        <v>1081</v>
      </c>
      <c r="P40" s="1231">
        <v>519.5</v>
      </c>
      <c r="Q40" s="1231" t="s">
        <v>1081</v>
      </c>
      <c r="R40" s="1231" t="s">
        <v>1081</v>
      </c>
      <c r="S40" s="1231">
        <v>620.29999999999995</v>
      </c>
      <c r="T40" s="1232" t="s">
        <v>1081</v>
      </c>
    </row>
    <row r="41" spans="2:28">
      <c r="B41" s="1159" t="s">
        <v>1000</v>
      </c>
      <c r="C41" s="1231">
        <v>8683.7999999999993</v>
      </c>
      <c r="D41" s="1231" t="s">
        <v>1081</v>
      </c>
      <c r="E41" s="1231" t="s">
        <v>1081</v>
      </c>
      <c r="F41" s="1231">
        <v>4707.5</v>
      </c>
      <c r="G41" s="1231" t="s">
        <v>1081</v>
      </c>
      <c r="H41" s="1231">
        <v>4.7</v>
      </c>
      <c r="I41" s="1231" t="s">
        <v>1081</v>
      </c>
      <c r="J41" s="1231" t="s">
        <v>1081</v>
      </c>
      <c r="K41" s="1231" t="s">
        <v>1081</v>
      </c>
      <c r="L41" s="1231">
        <v>3135.2</v>
      </c>
      <c r="M41" s="1231">
        <v>1567.6</v>
      </c>
      <c r="N41" s="1231" t="s">
        <v>1081</v>
      </c>
      <c r="O41" s="1231" t="s">
        <v>1081</v>
      </c>
      <c r="P41" s="1231">
        <v>1562.4</v>
      </c>
      <c r="Q41" s="1231">
        <v>10.5</v>
      </c>
      <c r="R41" s="1231" t="s">
        <v>1081</v>
      </c>
      <c r="S41" s="1231">
        <v>2403.4</v>
      </c>
      <c r="T41" s="1232" t="s">
        <v>1081</v>
      </c>
    </row>
    <row r="42" spans="2:28" ht="15">
      <c r="B42" s="1158" t="s">
        <v>1745</v>
      </c>
      <c r="C42" s="1231">
        <v>1060.8000000000002</v>
      </c>
      <c r="D42" s="1231" t="s">
        <v>1081</v>
      </c>
      <c r="E42" s="1231" t="s">
        <v>1081</v>
      </c>
      <c r="F42" s="1231">
        <v>51.1</v>
      </c>
      <c r="G42" s="1231" t="s">
        <v>1081</v>
      </c>
      <c r="H42" s="1231" t="s">
        <v>1081</v>
      </c>
      <c r="I42" s="1231" t="s">
        <v>1081</v>
      </c>
      <c r="J42" s="1231" t="s">
        <v>1081</v>
      </c>
      <c r="K42" s="1231" t="s">
        <v>1081</v>
      </c>
      <c r="L42" s="1231">
        <v>46.9</v>
      </c>
      <c r="M42" s="1231">
        <v>4.2</v>
      </c>
      <c r="N42" s="1231" t="s">
        <v>1081</v>
      </c>
      <c r="O42" s="1231" t="s">
        <v>1081</v>
      </c>
      <c r="P42" s="1231">
        <v>453.1</v>
      </c>
      <c r="Q42" s="1231" t="s">
        <v>1081</v>
      </c>
      <c r="R42" s="1231" t="s">
        <v>1081</v>
      </c>
      <c r="S42" s="1231">
        <v>556.6</v>
      </c>
      <c r="T42" s="1232" t="s">
        <v>1081</v>
      </c>
      <c r="AA42" s="1140" t="s">
        <v>1746</v>
      </c>
    </row>
    <row r="43" spans="2:28" ht="15">
      <c r="B43" s="1162" t="s">
        <v>994</v>
      </c>
      <c r="C43" s="1233">
        <v>116855.90000000001</v>
      </c>
      <c r="D43" s="1231" t="s">
        <v>1081</v>
      </c>
      <c r="E43" s="1231" t="s">
        <v>1081</v>
      </c>
      <c r="F43" s="1233">
        <v>115375.30000000002</v>
      </c>
      <c r="G43" s="1231" t="s">
        <v>1081</v>
      </c>
      <c r="H43" s="1231">
        <v>848.9</v>
      </c>
      <c r="I43" s="1231">
        <v>58030.9</v>
      </c>
      <c r="J43" s="1231">
        <v>12960.8</v>
      </c>
      <c r="K43" s="1231">
        <v>4.3</v>
      </c>
      <c r="L43" s="1231">
        <v>43513.4</v>
      </c>
      <c r="M43" s="1231">
        <v>17</v>
      </c>
      <c r="N43" s="1231" t="s">
        <v>1081</v>
      </c>
      <c r="O43" s="1231" t="s">
        <v>1081</v>
      </c>
      <c r="P43" s="1233">
        <v>23.4</v>
      </c>
      <c r="Q43" s="1233">
        <v>2.1</v>
      </c>
      <c r="R43" s="1231" t="s">
        <v>1081</v>
      </c>
      <c r="S43" s="1233">
        <v>1427.4</v>
      </c>
      <c r="T43" s="1234">
        <v>27.7</v>
      </c>
      <c r="AA43" s="1140">
        <v>14.3</v>
      </c>
      <c r="AB43" s="1140" t="s">
        <v>1671</v>
      </c>
    </row>
    <row r="44" spans="2:28">
      <c r="B44" s="1159" t="s">
        <v>1747</v>
      </c>
      <c r="C44" s="1231">
        <v>100725.3</v>
      </c>
      <c r="D44" s="1231" t="s">
        <v>1081</v>
      </c>
      <c r="E44" s="1231" t="s">
        <v>1081</v>
      </c>
      <c r="F44" s="1231">
        <v>100725.3</v>
      </c>
      <c r="G44" s="1231" t="s">
        <v>1081</v>
      </c>
      <c r="H44" s="1231">
        <v>848.9</v>
      </c>
      <c r="I44" s="1231">
        <v>58030.9</v>
      </c>
      <c r="J44" s="1231" t="s">
        <v>1081</v>
      </c>
      <c r="K44" s="1231" t="s">
        <v>1081</v>
      </c>
      <c r="L44" s="1231">
        <v>41845.5</v>
      </c>
      <c r="M44" s="1231" t="s">
        <v>1081</v>
      </c>
      <c r="N44" s="1231" t="s">
        <v>1081</v>
      </c>
      <c r="O44" s="1231" t="s">
        <v>1081</v>
      </c>
      <c r="P44" s="1231" t="s">
        <v>1081</v>
      </c>
      <c r="Q44" s="1231" t="s">
        <v>1081</v>
      </c>
      <c r="R44" s="1231" t="s">
        <v>1081</v>
      </c>
      <c r="S44" s="1231" t="s">
        <v>1081</v>
      </c>
      <c r="T44" s="1232" t="s">
        <v>1081</v>
      </c>
      <c r="AA44" s="1140">
        <v>6.94</v>
      </c>
      <c r="AB44" s="1140" t="s">
        <v>1748</v>
      </c>
    </row>
    <row r="45" spans="2:28" ht="15">
      <c r="B45" s="1158" t="s">
        <v>992</v>
      </c>
      <c r="C45" s="1231">
        <v>1543</v>
      </c>
      <c r="D45" s="1231" t="s">
        <v>1081</v>
      </c>
      <c r="E45" s="1231" t="s">
        <v>1081</v>
      </c>
      <c r="F45" s="1231">
        <v>349.7</v>
      </c>
      <c r="G45" s="1231" t="s">
        <v>1081</v>
      </c>
      <c r="H45" s="1231" t="s">
        <v>1081</v>
      </c>
      <c r="I45" s="1231" t="s">
        <v>1081</v>
      </c>
      <c r="J45" s="1231" t="s">
        <v>1081</v>
      </c>
      <c r="K45" s="1231" t="s">
        <v>1081</v>
      </c>
      <c r="L45" s="1231">
        <v>345.5</v>
      </c>
      <c r="M45" s="1231">
        <v>4.2</v>
      </c>
      <c r="N45" s="1231" t="s">
        <v>1081</v>
      </c>
      <c r="O45" s="1231" t="s">
        <v>1081</v>
      </c>
      <c r="P45" s="1231" t="s">
        <v>1081</v>
      </c>
      <c r="Q45" s="1231">
        <v>2.1</v>
      </c>
      <c r="R45" s="1231" t="s">
        <v>1081</v>
      </c>
      <c r="S45" s="1231">
        <v>1163.5</v>
      </c>
      <c r="T45" s="1232">
        <v>27.7</v>
      </c>
      <c r="AA45" s="1140">
        <v>6.7</v>
      </c>
      <c r="AB45" s="1140" t="s">
        <v>1749</v>
      </c>
    </row>
    <row r="46" spans="2:28">
      <c r="B46" s="1159" t="s">
        <v>986</v>
      </c>
      <c r="C46" s="1231">
        <v>12977.999999999998</v>
      </c>
      <c r="D46" s="1231" t="s">
        <v>1081</v>
      </c>
      <c r="E46" s="1231" t="s">
        <v>1081</v>
      </c>
      <c r="F46" s="1231">
        <v>12977.999999999998</v>
      </c>
      <c r="G46" s="1231" t="s">
        <v>1081</v>
      </c>
      <c r="H46" s="1231" t="s">
        <v>1081</v>
      </c>
      <c r="I46" s="1231" t="s">
        <v>1081</v>
      </c>
      <c r="J46" s="1231">
        <v>12960.8</v>
      </c>
      <c r="K46" s="1231">
        <v>4.3</v>
      </c>
      <c r="L46" s="1231">
        <v>12.9</v>
      </c>
      <c r="M46" s="1231" t="s">
        <v>1081</v>
      </c>
      <c r="N46" s="1231" t="s">
        <v>1081</v>
      </c>
      <c r="O46" s="1231" t="s">
        <v>1081</v>
      </c>
      <c r="P46" s="1231" t="s">
        <v>1081</v>
      </c>
      <c r="Q46" s="1231" t="s">
        <v>1081</v>
      </c>
      <c r="R46" s="1231" t="s">
        <v>1081</v>
      </c>
      <c r="S46" s="1231" t="s">
        <v>1081</v>
      </c>
      <c r="T46" s="1232" t="s">
        <v>1081</v>
      </c>
      <c r="AA46" s="1140">
        <v>6.5</v>
      </c>
      <c r="AB46" s="1140" t="s">
        <v>994</v>
      </c>
    </row>
    <row r="47" spans="2:28">
      <c r="B47" s="1159" t="s">
        <v>1750</v>
      </c>
      <c r="C47" s="1231">
        <v>1309.5</v>
      </c>
      <c r="D47" s="1231" t="s">
        <v>1081</v>
      </c>
      <c r="E47" s="1231" t="s">
        <v>1081</v>
      </c>
      <c r="F47" s="1231">
        <v>1309.5</v>
      </c>
      <c r="G47" s="1231" t="s">
        <v>1081</v>
      </c>
      <c r="H47" s="1231" t="s">
        <v>1081</v>
      </c>
      <c r="I47" s="1231" t="s">
        <v>1081</v>
      </c>
      <c r="J47" s="1231" t="s">
        <v>1081</v>
      </c>
      <c r="K47" s="1231" t="s">
        <v>1081</v>
      </c>
      <c r="L47" s="1231">
        <v>1309.5</v>
      </c>
      <c r="M47" s="1231" t="s">
        <v>1081</v>
      </c>
      <c r="N47" s="1231" t="s">
        <v>1081</v>
      </c>
      <c r="O47" s="1231" t="s">
        <v>1081</v>
      </c>
      <c r="P47" s="1231" t="s">
        <v>1081</v>
      </c>
      <c r="Q47" s="1231" t="s">
        <v>1081</v>
      </c>
      <c r="R47" s="1231" t="s">
        <v>1081</v>
      </c>
      <c r="S47" s="1231" t="s">
        <v>1081</v>
      </c>
      <c r="T47" s="1232" t="s">
        <v>1081</v>
      </c>
      <c r="AA47" s="1140">
        <v>3.92</v>
      </c>
      <c r="AB47" s="1140" t="s">
        <v>56</v>
      </c>
    </row>
    <row r="48" spans="2:28">
      <c r="B48" s="1159" t="s">
        <v>982</v>
      </c>
      <c r="C48" s="1231">
        <v>287.29999999999995</v>
      </c>
      <c r="D48" s="1231" t="s">
        <v>1081</v>
      </c>
      <c r="E48" s="1231" t="s">
        <v>1081</v>
      </c>
      <c r="F48" s="1231" t="s">
        <v>1081</v>
      </c>
      <c r="G48" s="1231" t="s">
        <v>1081</v>
      </c>
      <c r="H48" s="1231" t="s">
        <v>1081</v>
      </c>
      <c r="I48" s="1231" t="s">
        <v>1081</v>
      </c>
      <c r="J48" s="1231" t="s">
        <v>1081</v>
      </c>
      <c r="K48" s="1231" t="s">
        <v>1081</v>
      </c>
      <c r="L48" s="1231" t="s">
        <v>1081</v>
      </c>
      <c r="M48" s="1231" t="s">
        <v>1081</v>
      </c>
      <c r="N48" s="1231" t="s">
        <v>1081</v>
      </c>
      <c r="O48" s="1231" t="s">
        <v>1081</v>
      </c>
      <c r="P48" s="1231">
        <v>23.4</v>
      </c>
      <c r="Q48" s="1231" t="s">
        <v>1081</v>
      </c>
      <c r="R48" s="1231" t="s">
        <v>1081</v>
      </c>
      <c r="S48" s="1231">
        <v>263.89999999999998</v>
      </c>
      <c r="T48" s="1232" t="s">
        <v>1081</v>
      </c>
      <c r="AA48" s="1140">
        <v>2.8</v>
      </c>
      <c r="AB48" s="1140" t="s">
        <v>1751</v>
      </c>
    </row>
    <row r="49" spans="2:28" ht="15">
      <c r="B49" s="1163" t="s">
        <v>1752</v>
      </c>
      <c r="C49" s="1231">
        <v>12.8</v>
      </c>
      <c r="D49" s="1231" t="s">
        <v>1081</v>
      </c>
      <c r="E49" s="1231" t="s">
        <v>1081</v>
      </c>
      <c r="F49" s="1231">
        <v>12.8</v>
      </c>
      <c r="G49" s="1231" t="s">
        <v>1081</v>
      </c>
      <c r="H49" s="1231" t="s">
        <v>1081</v>
      </c>
      <c r="I49" s="1231" t="s">
        <v>1081</v>
      </c>
      <c r="J49" s="1231" t="s">
        <v>1081</v>
      </c>
      <c r="K49" s="1231" t="s">
        <v>1081</v>
      </c>
      <c r="L49" s="1231" t="s">
        <v>1081</v>
      </c>
      <c r="M49" s="1231">
        <v>12.8</v>
      </c>
      <c r="N49" s="1231" t="s">
        <v>1081</v>
      </c>
      <c r="O49" s="1231" t="s">
        <v>1081</v>
      </c>
      <c r="P49" s="1231" t="s">
        <v>1081</v>
      </c>
      <c r="Q49" s="1231" t="s">
        <v>1081</v>
      </c>
      <c r="R49" s="1231" t="s">
        <v>1081</v>
      </c>
      <c r="S49" s="1231" t="s">
        <v>1081</v>
      </c>
      <c r="T49" s="1232" t="s">
        <v>1081</v>
      </c>
      <c r="AA49" s="1140">
        <v>1.7</v>
      </c>
      <c r="AB49" s="1140" t="s">
        <v>1022</v>
      </c>
    </row>
    <row r="50" spans="2:28" ht="15">
      <c r="B50" s="1162" t="s">
        <v>1753</v>
      </c>
      <c r="C50" s="1233">
        <v>232306.1</v>
      </c>
      <c r="D50" s="1231" t="s">
        <v>1081</v>
      </c>
      <c r="E50" s="1231" t="s">
        <v>1081</v>
      </c>
      <c r="F50" s="1233">
        <v>14639.2</v>
      </c>
      <c r="G50" s="1231" t="s">
        <v>1081</v>
      </c>
      <c r="H50" s="1231">
        <v>161.30000000000001</v>
      </c>
      <c r="I50" s="1231">
        <v>220.3</v>
      </c>
      <c r="J50" s="1231" t="s">
        <v>1081</v>
      </c>
      <c r="K50" s="1231">
        <v>21.5</v>
      </c>
      <c r="L50" s="1231">
        <v>13641.4</v>
      </c>
      <c r="M50" s="1231">
        <v>594.70000000000005</v>
      </c>
      <c r="N50" s="1231" t="s">
        <v>1081</v>
      </c>
      <c r="O50" s="1231" t="s">
        <v>1081</v>
      </c>
      <c r="P50" s="1233">
        <v>160165.5</v>
      </c>
      <c r="Q50" s="1233">
        <v>1513.2</v>
      </c>
      <c r="R50" s="1233">
        <v>6041.4</v>
      </c>
      <c r="S50" s="1233">
        <v>49938.5</v>
      </c>
      <c r="T50" s="1234">
        <v>8.3000000000000007</v>
      </c>
      <c r="AA50" s="1140">
        <v>1.36</v>
      </c>
      <c r="AB50" s="1140" t="s">
        <v>1754</v>
      </c>
    </row>
    <row r="51" spans="2:28" ht="15">
      <c r="B51" s="1158" t="s">
        <v>1755</v>
      </c>
      <c r="C51" s="1231">
        <v>21730.699999999997</v>
      </c>
      <c r="D51" s="1231" t="s">
        <v>1081</v>
      </c>
      <c r="E51" s="1231" t="s">
        <v>1081</v>
      </c>
      <c r="F51" s="1231">
        <v>13511.1</v>
      </c>
      <c r="G51" s="1231" t="s">
        <v>1081</v>
      </c>
      <c r="H51" s="1231">
        <v>9.5</v>
      </c>
      <c r="I51" s="1231">
        <v>190.1</v>
      </c>
      <c r="J51" s="1231" t="s">
        <v>1081</v>
      </c>
      <c r="K51" s="1231" t="s">
        <v>1081</v>
      </c>
      <c r="L51" s="1231">
        <v>12971.7</v>
      </c>
      <c r="M51" s="1231">
        <v>339.8</v>
      </c>
      <c r="N51" s="1231" t="s">
        <v>1081</v>
      </c>
      <c r="O51" s="1231" t="s">
        <v>1081</v>
      </c>
      <c r="P51" s="1231">
        <v>4085.7</v>
      </c>
      <c r="Q51" s="1231">
        <v>12.6</v>
      </c>
      <c r="R51" s="1231" t="s">
        <v>1081</v>
      </c>
      <c r="S51" s="1231">
        <v>4121.3</v>
      </c>
      <c r="T51" s="1232" t="s">
        <v>1081</v>
      </c>
      <c r="AA51" s="1140">
        <v>0.7</v>
      </c>
      <c r="AB51" s="1140" t="s">
        <v>1756</v>
      </c>
    </row>
    <row r="52" spans="2:28">
      <c r="B52" s="1159" t="s">
        <v>1757</v>
      </c>
      <c r="C52" s="1231">
        <v>51900.800000000003</v>
      </c>
      <c r="D52" s="1231" t="s">
        <v>1081</v>
      </c>
      <c r="E52" s="1231" t="s">
        <v>1081</v>
      </c>
      <c r="F52" s="1231">
        <v>636.6</v>
      </c>
      <c r="G52" s="1231" t="s">
        <v>1081</v>
      </c>
      <c r="H52" s="1231">
        <v>19</v>
      </c>
      <c r="I52" s="1231" t="s">
        <v>1081</v>
      </c>
      <c r="J52" s="1231" t="s">
        <v>1081</v>
      </c>
      <c r="K52" s="1231">
        <v>17.2</v>
      </c>
      <c r="L52" s="1231">
        <v>345.5</v>
      </c>
      <c r="M52" s="1231">
        <v>254.9</v>
      </c>
      <c r="N52" s="1231" t="s">
        <v>1081</v>
      </c>
      <c r="O52" s="1231" t="s">
        <v>1081</v>
      </c>
      <c r="P52" s="1231">
        <v>26521.7</v>
      </c>
      <c r="Q52" s="1231">
        <v>1042.5</v>
      </c>
      <c r="R52" s="1231">
        <v>979.3</v>
      </c>
      <c r="S52" s="1231">
        <v>22712.400000000001</v>
      </c>
      <c r="T52" s="1232">
        <v>8.3000000000000007</v>
      </c>
      <c r="AA52" s="1140">
        <v>-8.4700000000000006</v>
      </c>
      <c r="AB52" s="1140" t="s">
        <v>1758</v>
      </c>
    </row>
    <row r="53" spans="2:28">
      <c r="B53" s="1159" t="s">
        <v>1759</v>
      </c>
      <c r="C53" s="1231">
        <v>158674.6</v>
      </c>
      <c r="D53" s="1231" t="s">
        <v>1081</v>
      </c>
      <c r="E53" s="1231" t="s">
        <v>1081</v>
      </c>
      <c r="F53" s="1231">
        <v>491.5</v>
      </c>
      <c r="G53" s="1231" t="s">
        <v>1081</v>
      </c>
      <c r="H53" s="1231">
        <v>132.80000000000001</v>
      </c>
      <c r="I53" s="1231">
        <v>30.2</v>
      </c>
      <c r="J53" s="1231" t="s">
        <v>1081</v>
      </c>
      <c r="K53" s="1231">
        <v>4.3</v>
      </c>
      <c r="L53" s="1231">
        <v>324.2</v>
      </c>
      <c r="M53" s="1231" t="s">
        <v>1081</v>
      </c>
      <c r="N53" s="1231" t="s">
        <v>1081</v>
      </c>
      <c r="O53" s="1231" t="s">
        <v>1081</v>
      </c>
      <c r="P53" s="1231">
        <v>129558.1</v>
      </c>
      <c r="Q53" s="1231">
        <v>458.1</v>
      </c>
      <c r="R53" s="1231">
        <v>5062.1000000000004</v>
      </c>
      <c r="S53" s="1231">
        <v>23104.799999999999</v>
      </c>
      <c r="T53" s="1232" t="s">
        <v>1081</v>
      </c>
      <c r="AA53" s="1140">
        <f>SUM(AA43:AA52)</f>
        <v>36.450000000000003</v>
      </c>
      <c r="AB53" s="1140" t="s">
        <v>1760</v>
      </c>
    </row>
    <row r="54" spans="2:28">
      <c r="B54" s="1159" t="s">
        <v>1761</v>
      </c>
      <c r="C54" s="1231" t="s">
        <v>1081</v>
      </c>
      <c r="D54" s="1231" t="s">
        <v>1081</v>
      </c>
      <c r="E54" s="1231" t="s">
        <v>1081</v>
      </c>
      <c r="F54" s="1231" t="s">
        <v>1081</v>
      </c>
      <c r="G54" s="1231" t="s">
        <v>1081</v>
      </c>
      <c r="H54" s="1231" t="s">
        <v>1081</v>
      </c>
      <c r="I54" s="1231" t="s">
        <v>1081</v>
      </c>
      <c r="J54" s="1231" t="s">
        <v>1081</v>
      </c>
      <c r="K54" s="1231" t="s">
        <v>1081</v>
      </c>
      <c r="L54" s="1231" t="s">
        <v>1081</v>
      </c>
      <c r="M54" s="1231" t="s">
        <v>1081</v>
      </c>
      <c r="N54" s="1231" t="s">
        <v>1081</v>
      </c>
      <c r="O54" s="1231" t="s">
        <v>1081</v>
      </c>
      <c r="P54" s="1231" t="s">
        <v>1081</v>
      </c>
      <c r="Q54" s="1231" t="s">
        <v>1081</v>
      </c>
      <c r="R54" s="1231" t="s">
        <v>1081</v>
      </c>
      <c r="S54" s="1231" t="s">
        <v>1081</v>
      </c>
      <c r="T54" s="1232" t="s">
        <v>1081</v>
      </c>
      <c r="AA54" s="1140">
        <f>AA43+AA45+AA46+AA48+AA49+AA50+AA51</f>
        <v>34.06</v>
      </c>
      <c r="AB54" s="1140" t="s">
        <v>1762</v>
      </c>
    </row>
    <row r="55" spans="2:28" ht="16" thickBot="1">
      <c r="B55" s="1164" t="s">
        <v>1763</v>
      </c>
      <c r="C55" s="1235">
        <v>55460.800000000003</v>
      </c>
      <c r="D55" s="1236" t="s">
        <v>1081</v>
      </c>
      <c r="E55" s="1236" t="s">
        <v>1081</v>
      </c>
      <c r="F55" s="1235">
        <v>54077.4</v>
      </c>
      <c r="G55" s="1236">
        <v>2307.5</v>
      </c>
      <c r="H55" s="1236">
        <v>6943</v>
      </c>
      <c r="I55" s="1236" t="s">
        <v>1081</v>
      </c>
      <c r="J55" s="1236" t="s">
        <v>1081</v>
      </c>
      <c r="K55" s="1236">
        <v>163.6</v>
      </c>
      <c r="L55" s="1236">
        <v>145</v>
      </c>
      <c r="M55" s="1236">
        <v>620.20000000000005</v>
      </c>
      <c r="N55" s="1236">
        <v>9958.6</v>
      </c>
      <c r="O55" s="1236">
        <v>33939.5</v>
      </c>
      <c r="P55" s="1235">
        <v>1230.4000000000001</v>
      </c>
      <c r="Q55" s="1236" t="s">
        <v>1081</v>
      </c>
      <c r="R55" s="1236" t="s">
        <v>1081</v>
      </c>
      <c r="S55" s="1236" t="s">
        <v>1081</v>
      </c>
      <c r="T55" s="1237">
        <v>153</v>
      </c>
    </row>
  </sheetData>
  <mergeCells count="12">
    <mergeCell ref="R4:R5"/>
    <mergeCell ref="S4:S5"/>
    <mergeCell ref="T4:T5"/>
    <mergeCell ref="B2:T2"/>
    <mergeCell ref="B4:B5"/>
    <mergeCell ref="C4:C5"/>
    <mergeCell ref="D4:D5"/>
    <mergeCell ref="E4:E5"/>
    <mergeCell ref="F4:F5"/>
    <mergeCell ref="G4:O4"/>
    <mergeCell ref="P4:P5"/>
    <mergeCell ref="Q4:Q5"/>
  </mergeCell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94"/>
  <sheetViews>
    <sheetView workbookViewId="0">
      <selection activeCell="H25" sqref="H25"/>
    </sheetView>
  </sheetViews>
  <sheetFormatPr baseColWidth="10" defaultColWidth="11.5" defaultRowHeight="13"/>
  <cols>
    <col min="1" max="16384" width="11.5" style="602"/>
  </cols>
  <sheetData>
    <row r="1" spans="1:2" ht="14">
      <c r="A1" s="1122" t="s">
        <v>1628</v>
      </c>
      <c r="B1" s="1123" t="s">
        <v>1629</v>
      </c>
    </row>
    <row r="2" spans="1:2" ht="14">
      <c r="A2" s="1124"/>
      <c r="B2" s="1125" t="s">
        <v>1630</v>
      </c>
    </row>
    <row r="53" spans="4:6">
      <c r="E53" s="602" t="s">
        <v>1631</v>
      </c>
      <c r="F53" s="602" t="s">
        <v>62</v>
      </c>
    </row>
    <row r="54" spans="4:6">
      <c r="D54" s="482">
        <v>2010</v>
      </c>
      <c r="E54" s="602">
        <v>231.1</v>
      </c>
      <c r="F54" s="602">
        <f t="shared" ref="F54:F58" si="0">E54*40.1</f>
        <v>9267.11</v>
      </c>
    </row>
    <row r="55" spans="4:6">
      <c r="D55" s="482">
        <v>2011</v>
      </c>
      <c r="E55" s="602">
        <v>219.6</v>
      </c>
      <c r="F55" s="602">
        <f t="shared" si="0"/>
        <v>8805.9600000000009</v>
      </c>
    </row>
    <row r="56" spans="4:6">
      <c r="D56" s="482">
        <v>2012</v>
      </c>
      <c r="E56" s="602">
        <v>226.3</v>
      </c>
      <c r="F56" s="602">
        <f t="shared" si="0"/>
        <v>9074.630000000001</v>
      </c>
    </row>
    <row r="57" spans="4:6">
      <c r="D57" s="482">
        <v>2013</v>
      </c>
      <c r="E57" s="602">
        <v>215.4</v>
      </c>
      <c r="F57" s="602">
        <f t="shared" si="0"/>
        <v>8637.5400000000009</v>
      </c>
    </row>
    <row r="58" spans="4:6">
      <c r="D58" s="482">
        <v>2014</v>
      </c>
      <c r="E58" s="602">
        <v>217.8</v>
      </c>
      <c r="F58" s="602">
        <f t="shared" si="0"/>
        <v>8733.7800000000007</v>
      </c>
    </row>
    <row r="59" spans="4:6">
      <c r="D59" s="482">
        <v>2015</v>
      </c>
      <c r="E59" s="602">
        <v>229.9</v>
      </c>
      <c r="F59" s="602">
        <f t="shared" ref="F59:F62" si="1">E59*40.1</f>
        <v>9218.99</v>
      </c>
    </row>
    <row r="60" spans="4:6">
      <c r="D60" s="482">
        <v>2016</v>
      </c>
      <c r="E60" s="602">
        <v>232.9</v>
      </c>
      <c r="F60" s="602">
        <f t="shared" si="1"/>
        <v>9339.2900000000009</v>
      </c>
    </row>
    <row r="61" spans="4:6">
      <c r="D61" s="482">
        <v>2017</v>
      </c>
      <c r="E61" s="602">
        <v>239</v>
      </c>
      <c r="F61" s="602">
        <f t="shared" si="1"/>
        <v>9583.9</v>
      </c>
    </row>
    <row r="62" spans="4:6">
      <c r="D62" s="482">
        <v>2018</v>
      </c>
      <c r="E62" s="602">
        <v>229.5</v>
      </c>
      <c r="F62" s="602">
        <f t="shared" si="1"/>
        <v>9202.9500000000007</v>
      </c>
    </row>
    <row r="63" spans="4:6">
      <c r="D63" s="482">
        <v>2019</v>
      </c>
      <c r="E63" s="602">
        <v>215.6</v>
      </c>
      <c r="F63" s="602">
        <f>E63*40.1</f>
        <v>8645.56</v>
      </c>
    </row>
    <row r="64" spans="4:6">
      <c r="D64" s="482">
        <v>2020</v>
      </c>
      <c r="E64" s="602">
        <v>233.4</v>
      </c>
      <c r="F64" s="602">
        <f t="shared" ref="F64:F94" si="2">E64*40.1</f>
        <v>9359.34</v>
      </c>
    </row>
    <row r="65" spans="4:6">
      <c r="D65" s="482">
        <v>2021</v>
      </c>
      <c r="E65" s="602">
        <v>242.2</v>
      </c>
      <c r="F65" s="602">
        <f t="shared" si="2"/>
        <v>9712.2199999999993</v>
      </c>
    </row>
    <row r="66" spans="4:6">
      <c r="D66" s="482">
        <v>2022</v>
      </c>
      <c r="E66" s="602">
        <v>250.2</v>
      </c>
      <c r="F66" s="602">
        <f t="shared" si="2"/>
        <v>10033.02</v>
      </c>
    </row>
    <row r="67" spans="4:6">
      <c r="D67" s="482">
        <v>2023</v>
      </c>
      <c r="E67" s="602">
        <v>254.1</v>
      </c>
      <c r="F67" s="602">
        <f t="shared" si="2"/>
        <v>10189.41</v>
      </c>
    </row>
    <row r="68" spans="4:6">
      <c r="D68" s="482">
        <v>2024</v>
      </c>
      <c r="E68" s="602">
        <v>256.10000000000002</v>
      </c>
      <c r="F68" s="602">
        <f t="shared" si="2"/>
        <v>10269.61</v>
      </c>
    </row>
    <row r="69" spans="4:6">
      <c r="D69" s="482">
        <v>2025</v>
      </c>
      <c r="E69" s="602">
        <v>254.9</v>
      </c>
      <c r="F69" s="602">
        <f t="shared" si="2"/>
        <v>10221.49</v>
      </c>
    </row>
    <row r="70" spans="4:6">
      <c r="D70" s="482">
        <v>2026</v>
      </c>
      <c r="E70" s="602">
        <v>251.9</v>
      </c>
      <c r="F70" s="602">
        <f t="shared" si="2"/>
        <v>10101.19</v>
      </c>
    </row>
    <row r="71" spans="4:6">
      <c r="D71" s="482">
        <v>2027</v>
      </c>
      <c r="E71" s="602">
        <v>244.5</v>
      </c>
      <c r="F71" s="602">
        <f t="shared" si="2"/>
        <v>9804.4500000000007</v>
      </c>
    </row>
    <row r="72" spans="4:6">
      <c r="D72" s="482">
        <v>2028</v>
      </c>
      <c r="E72" s="602">
        <v>234</v>
      </c>
      <c r="F72" s="602">
        <f t="shared" si="2"/>
        <v>9383.4</v>
      </c>
    </row>
    <row r="73" spans="4:6">
      <c r="D73" s="482">
        <v>2029</v>
      </c>
      <c r="E73" s="602">
        <v>220.5</v>
      </c>
      <c r="F73" s="602">
        <f t="shared" si="2"/>
        <v>8842.0500000000011</v>
      </c>
    </row>
    <row r="74" spans="4:6">
      <c r="D74" s="482">
        <v>2030</v>
      </c>
      <c r="E74" s="602">
        <v>206.8</v>
      </c>
      <c r="F74" s="602">
        <f t="shared" si="2"/>
        <v>8292.68</v>
      </c>
    </row>
    <row r="75" spans="4:6">
      <c r="D75" s="482">
        <v>2031</v>
      </c>
      <c r="E75" s="602">
        <v>194.7</v>
      </c>
      <c r="F75" s="602">
        <f t="shared" si="2"/>
        <v>7807.47</v>
      </c>
    </row>
    <row r="76" spans="4:6">
      <c r="D76" s="482">
        <v>2032</v>
      </c>
      <c r="E76" s="602">
        <v>183.9</v>
      </c>
      <c r="F76" s="602">
        <f t="shared" si="2"/>
        <v>7374.39</v>
      </c>
    </row>
    <row r="77" spans="4:6">
      <c r="D77" s="482">
        <v>2033</v>
      </c>
      <c r="E77" s="602">
        <v>173.9</v>
      </c>
      <c r="F77" s="602">
        <f t="shared" si="2"/>
        <v>6973.39</v>
      </c>
    </row>
    <row r="78" spans="4:6">
      <c r="D78" s="482">
        <v>2034</v>
      </c>
      <c r="E78" s="602">
        <v>165.1</v>
      </c>
      <c r="F78" s="602">
        <f t="shared" si="2"/>
        <v>6620.51</v>
      </c>
    </row>
    <row r="79" spans="4:6">
      <c r="D79" s="482">
        <v>2035</v>
      </c>
      <c r="E79" s="602">
        <v>156.80000000000001</v>
      </c>
      <c r="F79" s="602">
        <f t="shared" si="2"/>
        <v>6287.68</v>
      </c>
    </row>
    <row r="80" spans="4:6">
      <c r="D80" s="482">
        <v>2036</v>
      </c>
      <c r="E80" s="602">
        <v>150</v>
      </c>
      <c r="F80" s="602">
        <f t="shared" si="2"/>
        <v>6015</v>
      </c>
    </row>
    <row r="81" spans="4:6">
      <c r="D81" s="482">
        <v>2037</v>
      </c>
      <c r="E81" s="602">
        <v>143.30000000000001</v>
      </c>
      <c r="F81" s="602">
        <f t="shared" si="2"/>
        <v>5746.3300000000008</v>
      </c>
    </row>
    <row r="82" spans="4:6">
      <c r="D82" s="482">
        <v>2038</v>
      </c>
      <c r="E82" s="602">
        <v>136.4</v>
      </c>
      <c r="F82" s="602">
        <f t="shared" si="2"/>
        <v>5469.64</v>
      </c>
    </row>
    <row r="83" spans="4:6">
      <c r="D83" s="482">
        <v>2039</v>
      </c>
      <c r="E83" s="602">
        <v>130.19999999999999</v>
      </c>
      <c r="F83" s="602">
        <f t="shared" si="2"/>
        <v>5221.0199999999995</v>
      </c>
    </row>
    <row r="84" spans="4:6">
      <c r="D84" s="482">
        <v>2040</v>
      </c>
      <c r="E84" s="602">
        <v>124.1</v>
      </c>
      <c r="F84" s="602">
        <f t="shared" si="2"/>
        <v>4976.41</v>
      </c>
    </row>
    <row r="85" spans="4:6">
      <c r="D85" s="482">
        <v>2041</v>
      </c>
      <c r="E85" s="602">
        <v>118.4</v>
      </c>
      <c r="F85" s="602">
        <f t="shared" si="2"/>
        <v>4747.84</v>
      </c>
    </row>
    <row r="86" spans="4:6">
      <c r="D86" s="482">
        <v>2042</v>
      </c>
      <c r="E86" s="602">
        <v>112.9</v>
      </c>
      <c r="F86" s="602">
        <f t="shared" si="2"/>
        <v>4527.29</v>
      </c>
    </row>
    <row r="87" spans="4:6">
      <c r="D87" s="482">
        <v>2043</v>
      </c>
      <c r="E87" s="602">
        <v>107.8</v>
      </c>
      <c r="F87" s="602">
        <f t="shared" si="2"/>
        <v>4322.78</v>
      </c>
    </row>
    <row r="88" spans="4:6">
      <c r="D88" s="482">
        <v>2044</v>
      </c>
      <c r="E88" s="602">
        <v>103</v>
      </c>
      <c r="F88" s="602">
        <f t="shared" si="2"/>
        <v>4130.3</v>
      </c>
    </row>
    <row r="89" spans="4:6">
      <c r="D89" s="482">
        <v>2045</v>
      </c>
      <c r="E89" s="602">
        <v>98.4</v>
      </c>
      <c r="F89" s="602">
        <f t="shared" si="2"/>
        <v>3945.84</v>
      </c>
    </row>
    <row r="90" spans="4:6">
      <c r="D90" s="482">
        <v>2046</v>
      </c>
      <c r="E90" s="602">
        <v>94.6</v>
      </c>
      <c r="F90" s="602">
        <f t="shared" si="2"/>
        <v>3793.46</v>
      </c>
    </row>
    <row r="91" spans="4:6">
      <c r="D91" s="482">
        <v>2047</v>
      </c>
      <c r="E91" s="602">
        <v>91.3</v>
      </c>
      <c r="F91" s="602">
        <f t="shared" si="2"/>
        <v>3661.13</v>
      </c>
    </row>
    <row r="92" spans="4:6">
      <c r="D92" s="482">
        <v>2048</v>
      </c>
      <c r="E92" s="602">
        <v>87.8</v>
      </c>
      <c r="F92" s="602">
        <f t="shared" si="2"/>
        <v>3520.78</v>
      </c>
    </row>
    <row r="93" spans="4:6">
      <c r="D93" s="482">
        <v>2049</v>
      </c>
      <c r="E93" s="602">
        <v>84.8</v>
      </c>
      <c r="F93" s="602">
        <f t="shared" si="2"/>
        <v>3400.48</v>
      </c>
    </row>
    <row r="94" spans="4:6">
      <c r="D94" s="482">
        <v>2050</v>
      </c>
      <c r="E94" s="602">
        <v>82.5</v>
      </c>
      <c r="F94" s="602">
        <f t="shared" si="2"/>
        <v>3308.25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tabColor theme="9"/>
  </sheetPr>
  <dimension ref="B1:C18"/>
  <sheetViews>
    <sheetView topLeftCell="A4" workbookViewId="0">
      <selection activeCell="C19" sqref="C19"/>
    </sheetView>
  </sheetViews>
  <sheetFormatPr baseColWidth="10" defaultColWidth="9.1640625" defaultRowHeight="15"/>
  <cols>
    <col min="1" max="1" width="9.1640625" style="474"/>
    <col min="2" max="2" width="28.5" style="474" customWidth="1"/>
    <col min="3" max="3" width="138.5" style="474" customWidth="1"/>
    <col min="4" max="16384" width="9.1640625" style="474"/>
  </cols>
  <sheetData>
    <row r="1" spans="2:3" ht="19">
      <c r="B1" s="473" t="s">
        <v>660</v>
      </c>
    </row>
    <row r="3" spans="2:3">
      <c r="B3" s="475" t="s">
        <v>661</v>
      </c>
      <c r="C3" s="479" t="s">
        <v>670</v>
      </c>
    </row>
    <row r="4" spans="2:3">
      <c r="B4" s="475" t="s">
        <v>662</v>
      </c>
      <c r="C4" s="474" t="s">
        <v>663</v>
      </c>
    </row>
    <row r="5" spans="2:3">
      <c r="B5" s="475"/>
    </row>
    <row r="6" spans="2:3">
      <c r="B6" s="475" t="s">
        <v>664</v>
      </c>
      <c r="C6" s="479" t="s">
        <v>669</v>
      </c>
    </row>
    <row r="7" spans="2:3">
      <c r="B7" s="475"/>
    </row>
    <row r="8" spans="2:3">
      <c r="B8" s="476" t="s">
        <v>665</v>
      </c>
    </row>
    <row r="9" spans="2:3">
      <c r="B9" s="475"/>
    </row>
    <row r="10" spans="2:3">
      <c r="B10" s="477" t="s">
        <v>666</v>
      </c>
      <c r="C10" s="479" t="s">
        <v>671</v>
      </c>
    </row>
    <row r="11" spans="2:3">
      <c r="B11" s="477" t="s">
        <v>667</v>
      </c>
      <c r="C11" s="474" t="s">
        <v>668</v>
      </c>
    </row>
    <row r="12" spans="2:3">
      <c r="B12" s="477" t="s">
        <v>275</v>
      </c>
      <c r="C12" s="479" t="s">
        <v>672</v>
      </c>
    </row>
    <row r="13" spans="2:3">
      <c r="B13" s="477" t="s">
        <v>574</v>
      </c>
      <c r="C13" s="479" t="s">
        <v>673</v>
      </c>
    </row>
    <row r="14" spans="2:3">
      <c r="B14" s="477" t="s">
        <v>287</v>
      </c>
      <c r="C14" s="479" t="s">
        <v>677</v>
      </c>
    </row>
    <row r="15" spans="2:3">
      <c r="B15" s="477" t="s">
        <v>216</v>
      </c>
      <c r="C15" s="479" t="s">
        <v>674</v>
      </c>
    </row>
    <row r="16" spans="2:3">
      <c r="B16" s="478" t="s">
        <v>496</v>
      </c>
      <c r="C16" s="479" t="s">
        <v>678</v>
      </c>
    </row>
    <row r="17" spans="2:3">
      <c r="B17" s="478" t="s">
        <v>675</v>
      </c>
      <c r="C17" s="479" t="s">
        <v>679</v>
      </c>
    </row>
    <row r="18" spans="2:3">
      <c r="B18" s="478" t="s">
        <v>676</v>
      </c>
      <c r="C18" s="479" t="s">
        <v>680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92"/>
  <sheetViews>
    <sheetView zoomScaleNormal="100" zoomScaleSheetLayoutView="100" workbookViewId="0">
      <pane xSplit="1" ySplit="1" topLeftCell="B2" activePane="bottomRight" state="frozen"/>
      <selection pane="topRight" activeCell="B1" sqref="B1"/>
      <selection pane="bottomLeft" activeCell="A2" sqref="A2"/>
      <selection pane="bottomRight" activeCell="X16" sqref="X12:X16"/>
    </sheetView>
  </sheetViews>
  <sheetFormatPr baseColWidth="10" defaultColWidth="9.1640625" defaultRowHeight="13"/>
  <cols>
    <col min="1" max="1" width="60.5" style="1214" bestFit="1" customWidth="1"/>
    <col min="2" max="25" width="13.5" style="1214" customWidth="1"/>
    <col min="26" max="26" width="16.33203125" style="1214" customWidth="1"/>
    <col min="27" max="16384" width="9.1640625" style="1214"/>
  </cols>
  <sheetData>
    <row r="1" spans="1:26" ht="26.25" customHeight="1">
      <c r="A1" s="1211" t="s">
        <v>1789</v>
      </c>
      <c r="B1" s="1212" t="s">
        <v>1790</v>
      </c>
      <c r="C1" s="1212" t="s">
        <v>1791</v>
      </c>
      <c r="D1" s="1212" t="s">
        <v>1792</v>
      </c>
      <c r="E1" s="1212" t="s">
        <v>1793</v>
      </c>
      <c r="F1" s="1212" t="s">
        <v>1794</v>
      </c>
      <c r="G1" s="1212" t="s">
        <v>1795</v>
      </c>
      <c r="H1" s="1212" t="s">
        <v>1796</v>
      </c>
      <c r="I1" s="1212" t="s">
        <v>1797</v>
      </c>
      <c r="J1" s="1212" t="s">
        <v>1798</v>
      </c>
      <c r="K1" s="1212" t="s">
        <v>1799</v>
      </c>
      <c r="L1" s="1212" t="s">
        <v>1800</v>
      </c>
      <c r="M1" s="1212" t="s">
        <v>1801</v>
      </c>
      <c r="N1" s="1212" t="s">
        <v>1802</v>
      </c>
      <c r="O1" s="1212" t="s">
        <v>1803</v>
      </c>
      <c r="P1" s="1212" t="s">
        <v>1804</v>
      </c>
      <c r="Q1" s="1212" t="s">
        <v>1805</v>
      </c>
      <c r="R1" s="1212" t="s">
        <v>1806</v>
      </c>
      <c r="S1" s="1212" t="s">
        <v>1807</v>
      </c>
      <c r="T1" s="1212" t="s">
        <v>1808</v>
      </c>
      <c r="U1" s="1212" t="s">
        <v>1809</v>
      </c>
      <c r="V1" s="1212" t="s">
        <v>958</v>
      </c>
      <c r="W1" s="1212" t="s">
        <v>957</v>
      </c>
      <c r="X1" s="1212" t="s">
        <v>956</v>
      </c>
      <c r="Y1" s="1212" t="s">
        <v>955</v>
      </c>
      <c r="Z1" s="1213" t="str">
        <f ca="1">"Change from " &amp; B1 &amp; " to " &amp; INDIRECT(ADDRESS(1,COLUMN()-1))</f>
        <v>Change from 1990 to 2013</v>
      </c>
    </row>
    <row r="2" spans="1:26" ht="12.75" customHeight="1">
      <c r="A2" s="1215" t="s">
        <v>1810</v>
      </c>
      <c r="B2" s="1216"/>
      <c r="C2" s="1216"/>
      <c r="D2" s="1216"/>
      <c r="E2" s="1216"/>
      <c r="F2" s="1216"/>
      <c r="G2" s="1216"/>
      <c r="H2" s="1216"/>
      <c r="I2" s="1216"/>
      <c r="J2" s="1216"/>
      <c r="K2" s="1216"/>
      <c r="L2" s="1216"/>
      <c r="M2" s="1216"/>
      <c r="N2" s="1216"/>
      <c r="O2" s="1216"/>
      <c r="P2" s="1216"/>
      <c r="Q2" s="1216"/>
      <c r="R2" s="1216"/>
      <c r="S2" s="1216"/>
      <c r="T2" s="1216"/>
      <c r="U2" s="1216"/>
      <c r="V2" s="1216"/>
      <c r="W2" s="1216"/>
      <c r="X2" s="1216"/>
      <c r="Y2" s="1216"/>
      <c r="Z2" s="1216"/>
    </row>
    <row r="3" spans="1:26" ht="13.5" customHeight="1">
      <c r="A3" s="1217" t="s">
        <v>1811</v>
      </c>
      <c r="B3" s="1218">
        <v>55893.73</v>
      </c>
      <c r="C3" s="1218">
        <v>51901.46</v>
      </c>
      <c r="D3" s="1218">
        <v>44546.68</v>
      </c>
      <c r="E3" s="1218">
        <v>39136.42</v>
      </c>
      <c r="F3" s="1218">
        <v>34272.68</v>
      </c>
      <c r="G3" s="1218">
        <v>36561.35</v>
      </c>
      <c r="H3" s="1218">
        <v>29965.84</v>
      </c>
      <c r="I3" s="1218">
        <v>28935.02</v>
      </c>
      <c r="J3" s="1218">
        <v>28567.01</v>
      </c>
      <c r="K3" s="1218">
        <v>27869.25</v>
      </c>
      <c r="L3" s="1218">
        <v>29010.240000000002</v>
      </c>
      <c r="M3" s="1218">
        <v>28243.15</v>
      </c>
      <c r="N3" s="1218">
        <v>28031.43</v>
      </c>
      <c r="O3" s="1218">
        <v>30733.16</v>
      </c>
      <c r="P3" s="1218">
        <v>33010.79</v>
      </c>
      <c r="Q3" s="1218">
        <v>35472.53</v>
      </c>
      <c r="R3" s="1218">
        <v>34310.57</v>
      </c>
      <c r="S3" s="1218">
        <v>29284.63</v>
      </c>
      <c r="T3" s="1218">
        <v>32283.34</v>
      </c>
      <c r="U3" s="1218">
        <v>26893.1</v>
      </c>
      <c r="V3" s="1218">
        <v>26411.83</v>
      </c>
      <c r="W3" s="1218">
        <v>28083.87</v>
      </c>
      <c r="X3" s="1218">
        <v>29847.75</v>
      </c>
      <c r="Y3" s="1218">
        <v>39228.894202629999</v>
      </c>
      <c r="Z3" s="1219">
        <f t="shared" ref="Z3:Z8" si="0">IFERROR(IF(OR(SECTOR_CHANGE_TOTAL=0,SECTOR_CHANGE_TOTAL=-1),CHAR(150),SECTOR_CHANGE_TOTAL),CHAR(150))</f>
        <v>-0.29815215047143934</v>
      </c>
    </row>
    <row r="4" spans="1:26" ht="13.5" customHeight="1">
      <c r="A4" s="1217" t="s">
        <v>1812</v>
      </c>
      <c r="B4" s="1218">
        <v>-3690</v>
      </c>
      <c r="C4" s="1218">
        <v>-3650</v>
      </c>
      <c r="D4" s="1218">
        <v>-3621</v>
      </c>
      <c r="E4" s="1218">
        <v>-3618</v>
      </c>
      <c r="F4" s="1218">
        <v>-3715</v>
      </c>
      <c r="G4" s="1218">
        <v>-3790</v>
      </c>
      <c r="H4" s="1218">
        <v>-3855</v>
      </c>
      <c r="I4" s="1218">
        <v>-4068</v>
      </c>
      <c r="J4" s="1218">
        <v>-4556</v>
      </c>
      <c r="K4" s="1218">
        <v>-4618</v>
      </c>
      <c r="L4" s="1218">
        <v>-4870</v>
      </c>
      <c r="M4" s="1218">
        <v>-4893</v>
      </c>
      <c r="N4" s="1218">
        <v>-5089</v>
      </c>
      <c r="O4" s="1218">
        <v>-5225</v>
      </c>
      <c r="P4" s="1218">
        <v>-5276</v>
      </c>
      <c r="Q4" s="1218">
        <v>-5349</v>
      </c>
      <c r="R4" s="1218">
        <v>-5353</v>
      </c>
      <c r="S4" s="1218">
        <v>-5438</v>
      </c>
      <c r="T4" s="1218">
        <v>-5383</v>
      </c>
      <c r="U4" s="1218">
        <v>-5360</v>
      </c>
      <c r="V4" s="1218">
        <v>-5410</v>
      </c>
      <c r="W4" s="1218">
        <v>-5435</v>
      </c>
      <c r="X4" s="1218">
        <v>-5442</v>
      </c>
      <c r="Y4" s="1218">
        <v>-6200.0671000000002</v>
      </c>
      <c r="Z4" s="1219">
        <f t="shared" si="0"/>
        <v>0.68023498644986458</v>
      </c>
    </row>
    <row r="5" spans="1:26" ht="13.5" customHeight="1">
      <c r="A5" s="1217" t="s">
        <v>1813</v>
      </c>
      <c r="B5" s="1218">
        <v>52203.73</v>
      </c>
      <c r="C5" s="1218">
        <v>48251.46</v>
      </c>
      <c r="D5" s="1218">
        <v>40925.68</v>
      </c>
      <c r="E5" s="1218">
        <v>35518.42</v>
      </c>
      <c r="F5" s="1218">
        <v>30557.68</v>
      </c>
      <c r="G5" s="1218">
        <v>32771.35</v>
      </c>
      <c r="H5" s="1218">
        <v>26110.84</v>
      </c>
      <c r="I5" s="1218">
        <v>24867.02</v>
      </c>
      <c r="J5" s="1218">
        <v>24011.01</v>
      </c>
      <c r="K5" s="1218">
        <v>23251.25</v>
      </c>
      <c r="L5" s="1218">
        <v>24140.240000000002</v>
      </c>
      <c r="M5" s="1218">
        <v>23350.15</v>
      </c>
      <c r="N5" s="1218">
        <v>22942.43</v>
      </c>
      <c r="O5" s="1218">
        <v>25508.16</v>
      </c>
      <c r="P5" s="1218">
        <v>27734.79</v>
      </c>
      <c r="Q5" s="1218">
        <v>30123.53</v>
      </c>
      <c r="R5" s="1218">
        <v>28957.57</v>
      </c>
      <c r="S5" s="1218">
        <v>23846.63</v>
      </c>
      <c r="T5" s="1218">
        <v>26900.34</v>
      </c>
      <c r="U5" s="1218">
        <v>21533.1</v>
      </c>
      <c r="V5" s="1218">
        <v>21001.83</v>
      </c>
      <c r="W5" s="1218">
        <v>22648.87</v>
      </c>
      <c r="X5" s="1218">
        <v>24405.75</v>
      </c>
      <c r="Y5" s="1218">
        <v>33028.827102629999</v>
      </c>
      <c r="Z5" s="1219">
        <f t="shared" si="0"/>
        <v>-0.36730905813377707</v>
      </c>
    </row>
    <row r="6" spans="1:26" ht="12.75" customHeight="1">
      <c r="A6" s="1217" t="s">
        <v>1814</v>
      </c>
      <c r="B6" s="1218">
        <v>73385.78</v>
      </c>
      <c r="C6" s="1218">
        <v>66568.960000000006</v>
      </c>
      <c r="D6" s="1218">
        <v>57604.85</v>
      </c>
      <c r="E6" s="1218">
        <v>50842.94</v>
      </c>
      <c r="F6" s="1218">
        <v>45065.06</v>
      </c>
      <c r="G6" s="1218">
        <v>47539.94</v>
      </c>
      <c r="H6" s="1218">
        <v>40316.85</v>
      </c>
      <c r="I6" s="1218">
        <v>39318.379999999997</v>
      </c>
      <c r="J6" s="1218">
        <v>38821.97</v>
      </c>
      <c r="K6" s="1218">
        <v>39090.76</v>
      </c>
      <c r="L6" s="1218">
        <v>40624.5</v>
      </c>
      <c r="M6" s="1218">
        <v>40828.82</v>
      </c>
      <c r="N6" s="1218">
        <v>40779.79</v>
      </c>
      <c r="O6" s="1218">
        <v>43684.26</v>
      </c>
      <c r="P6" s="1218">
        <v>46259.96</v>
      </c>
      <c r="Q6" s="1218">
        <v>49322.49</v>
      </c>
      <c r="R6" s="1218">
        <v>49235.65</v>
      </c>
      <c r="S6" s="1218">
        <v>46944.33</v>
      </c>
      <c r="T6" s="1218">
        <v>53779.54</v>
      </c>
      <c r="U6" s="1218">
        <v>48281.83</v>
      </c>
      <c r="V6" s="1218">
        <v>48048.28</v>
      </c>
      <c r="W6" s="1218">
        <v>49128.55</v>
      </c>
      <c r="X6" s="1218">
        <v>51803.95</v>
      </c>
      <c r="Y6" s="1218">
        <v>57994.772961729999</v>
      </c>
      <c r="Z6" s="1219">
        <f t="shared" si="0"/>
        <v>-0.2097273754979507</v>
      </c>
    </row>
    <row r="7" spans="1:26" ht="12.75" customHeight="1">
      <c r="A7" s="1217" t="s">
        <v>1815</v>
      </c>
      <c r="B7" s="1218">
        <v>-3690</v>
      </c>
      <c r="C7" s="1218">
        <v>-3650</v>
      </c>
      <c r="D7" s="1218">
        <v>-3621</v>
      </c>
      <c r="E7" s="1218">
        <v>-3618</v>
      </c>
      <c r="F7" s="1218">
        <v>-3715</v>
      </c>
      <c r="G7" s="1218">
        <v>-3790</v>
      </c>
      <c r="H7" s="1218">
        <v>-3855</v>
      </c>
      <c r="I7" s="1218">
        <v>-4068</v>
      </c>
      <c r="J7" s="1218">
        <v>-4556</v>
      </c>
      <c r="K7" s="1218">
        <v>-4618</v>
      </c>
      <c r="L7" s="1218">
        <v>-4870</v>
      </c>
      <c r="M7" s="1218">
        <v>-4893</v>
      </c>
      <c r="N7" s="1218">
        <v>-5089</v>
      </c>
      <c r="O7" s="1218">
        <v>-5225</v>
      </c>
      <c r="P7" s="1218">
        <v>-5276</v>
      </c>
      <c r="Q7" s="1218">
        <v>-5349</v>
      </c>
      <c r="R7" s="1218">
        <v>-5353</v>
      </c>
      <c r="S7" s="1218">
        <v>-5438</v>
      </c>
      <c r="T7" s="1218">
        <v>-5383</v>
      </c>
      <c r="U7" s="1218">
        <v>-5360</v>
      </c>
      <c r="V7" s="1218">
        <v>-5410</v>
      </c>
      <c r="W7" s="1218">
        <v>-5435</v>
      </c>
      <c r="X7" s="1218">
        <v>-5442</v>
      </c>
      <c r="Y7" s="1218">
        <v>-6198.115675</v>
      </c>
      <c r="Z7" s="1219">
        <f t="shared" si="0"/>
        <v>0.67970614498644988</v>
      </c>
    </row>
    <row r="8" spans="1:26" ht="12.75" customHeight="1">
      <c r="A8" s="1217" t="s">
        <v>1816</v>
      </c>
      <c r="B8" s="1218">
        <v>69695.78</v>
      </c>
      <c r="C8" s="1218">
        <v>62918.96</v>
      </c>
      <c r="D8" s="1218">
        <v>53983.85</v>
      </c>
      <c r="E8" s="1218">
        <v>47224.94</v>
      </c>
      <c r="F8" s="1218">
        <v>41350.06</v>
      </c>
      <c r="G8" s="1218">
        <v>43749.94</v>
      </c>
      <c r="H8" s="1218">
        <v>36461.85</v>
      </c>
      <c r="I8" s="1218">
        <v>35250.379999999997</v>
      </c>
      <c r="J8" s="1218">
        <v>34265.97</v>
      </c>
      <c r="K8" s="1218">
        <v>34472.76</v>
      </c>
      <c r="L8" s="1218">
        <v>35754.5</v>
      </c>
      <c r="M8" s="1218">
        <v>35935.82</v>
      </c>
      <c r="N8" s="1218">
        <v>35690.79</v>
      </c>
      <c r="O8" s="1218">
        <v>38459.26</v>
      </c>
      <c r="P8" s="1218">
        <v>40983.96</v>
      </c>
      <c r="Q8" s="1218">
        <v>43973.49</v>
      </c>
      <c r="R8" s="1218">
        <v>43882.65</v>
      </c>
      <c r="S8" s="1218">
        <v>41506.33</v>
      </c>
      <c r="T8" s="1218">
        <v>48396.54</v>
      </c>
      <c r="U8" s="1218">
        <v>42921.83</v>
      </c>
      <c r="V8" s="1218">
        <v>42638.28</v>
      </c>
      <c r="W8" s="1218">
        <v>43693.55</v>
      </c>
      <c r="X8" s="1218">
        <v>46361.95</v>
      </c>
      <c r="Y8" s="1218">
        <v>51796.657286730006</v>
      </c>
      <c r="Z8" s="1219">
        <f t="shared" si="0"/>
        <v>-0.25681788356870378</v>
      </c>
    </row>
    <row r="9" spans="1:26" ht="12.75" customHeight="1">
      <c r="A9" s="1220"/>
      <c r="B9" s="1221"/>
      <c r="C9" s="1221"/>
      <c r="D9" s="1221"/>
      <c r="E9" s="1221"/>
      <c r="F9" s="1221"/>
      <c r="G9" s="1221"/>
      <c r="H9" s="1221"/>
      <c r="I9" s="1221"/>
      <c r="J9" s="1221"/>
      <c r="K9" s="1221"/>
      <c r="L9" s="1221"/>
      <c r="M9" s="1221"/>
      <c r="N9" s="1221"/>
      <c r="O9" s="1221"/>
      <c r="P9" s="1221"/>
      <c r="Q9" s="1221"/>
      <c r="R9" s="1221"/>
      <c r="S9" s="1221"/>
      <c r="T9" s="1221"/>
      <c r="U9" s="1221"/>
      <c r="V9" s="1221"/>
      <c r="W9" s="1221"/>
      <c r="X9" s="1221"/>
      <c r="Y9" s="1221"/>
      <c r="Z9" s="1221"/>
    </row>
    <row r="10" spans="1:26" ht="12.75" customHeight="1">
      <c r="A10" s="1222" t="s">
        <v>1817</v>
      </c>
      <c r="B10" s="1216"/>
      <c r="C10" s="1216"/>
      <c r="D10" s="1216"/>
      <c r="E10" s="1216"/>
      <c r="F10" s="1216"/>
      <c r="G10" s="1216"/>
      <c r="H10" s="1216"/>
      <c r="I10" s="1216"/>
      <c r="J10" s="1216"/>
      <c r="K10" s="1216"/>
      <c r="L10" s="1216"/>
      <c r="M10" s="1216"/>
      <c r="N10" s="1216"/>
      <c r="O10" s="1216"/>
      <c r="P10" s="1216"/>
      <c r="Q10" s="1216"/>
      <c r="R10" s="1216"/>
      <c r="S10" s="1216"/>
      <c r="T10" s="1216"/>
      <c r="U10" s="1216"/>
      <c r="V10" s="1216"/>
      <c r="W10" s="1216"/>
      <c r="X10" s="1216"/>
      <c r="Y10" s="1216"/>
      <c r="Z10" s="1216"/>
    </row>
    <row r="11" spans="1:26" ht="12.75" customHeight="1">
      <c r="A11" s="1217" t="s">
        <v>1818</v>
      </c>
      <c r="B11" s="1218">
        <v>63869.2</v>
      </c>
      <c r="C11" s="1218">
        <v>59016.45</v>
      </c>
      <c r="D11" s="1218">
        <v>50060.87</v>
      </c>
      <c r="E11" s="1218">
        <v>44111.6</v>
      </c>
      <c r="F11" s="1218">
        <v>39178.78</v>
      </c>
      <c r="G11" s="1218">
        <v>41971.94</v>
      </c>
      <c r="H11" s="1218">
        <v>34645.629999999997</v>
      </c>
      <c r="I11" s="1218">
        <v>33280.11</v>
      </c>
      <c r="J11" s="1218">
        <v>32505.45</v>
      </c>
      <c r="K11" s="1218">
        <v>32082.25</v>
      </c>
      <c r="L11" s="1218">
        <v>32942</v>
      </c>
      <c r="M11" s="1218">
        <v>32664.959999999999</v>
      </c>
      <c r="N11" s="1218">
        <v>32087.73</v>
      </c>
      <c r="O11" s="1218">
        <v>34641.550000000003</v>
      </c>
      <c r="P11" s="1218">
        <v>36653.9</v>
      </c>
      <c r="Q11" s="1218">
        <v>39158.5</v>
      </c>
      <c r="R11" s="1218">
        <v>38591.1</v>
      </c>
      <c r="S11" s="1218">
        <v>35620.6</v>
      </c>
      <c r="T11" s="1218">
        <v>42498</v>
      </c>
      <c r="U11" s="1218">
        <v>37159.199999999997</v>
      </c>
      <c r="V11" s="1218">
        <v>36562.699999999997</v>
      </c>
      <c r="W11" s="1218">
        <v>37456.5</v>
      </c>
      <c r="X11" s="1218">
        <v>39361</v>
      </c>
      <c r="Y11" s="1218">
        <v>49232.161193999993</v>
      </c>
      <c r="Z11" s="1219">
        <f t="shared" ref="Z11:Z46" si="1">IFERROR(IF(OR(SECTOR_CHANGE_TOTAL=0,SECTOR_CHANGE_TOTAL=-1),CHAR(150),SECTOR_CHANGE_TOTAL),CHAR(150))</f>
        <v>-0.22917210182685871</v>
      </c>
    </row>
    <row r="12" spans="1:26" ht="12.75" customHeight="1">
      <c r="A12" s="1223" t="s">
        <v>1819</v>
      </c>
      <c r="B12" s="1218">
        <v>22488</v>
      </c>
      <c r="C12" s="1218">
        <v>21181.54</v>
      </c>
      <c r="D12" s="1218">
        <v>22826.52</v>
      </c>
      <c r="E12" s="1218">
        <v>22370.99</v>
      </c>
      <c r="F12" s="1218">
        <v>16800.580000000002</v>
      </c>
      <c r="G12" s="1218">
        <v>16046.84</v>
      </c>
      <c r="H12" s="1218">
        <v>15900.45</v>
      </c>
      <c r="I12" s="1218">
        <v>15141.64</v>
      </c>
      <c r="J12" s="1218">
        <v>15889.17</v>
      </c>
      <c r="K12" s="1218">
        <v>15845.95</v>
      </c>
      <c r="L12" s="1218">
        <v>16548</v>
      </c>
      <c r="M12" s="1218">
        <v>15541.03</v>
      </c>
      <c r="N12" s="1218">
        <v>14089.38</v>
      </c>
      <c r="O12" s="1218">
        <v>15583.58</v>
      </c>
      <c r="P12" s="1218">
        <v>16956.05</v>
      </c>
      <c r="Q12" s="1218">
        <v>17452</v>
      </c>
      <c r="R12" s="1218">
        <v>17820</v>
      </c>
      <c r="S12" s="1218">
        <v>15473</v>
      </c>
      <c r="T12" s="1218">
        <v>14995</v>
      </c>
      <c r="U12" s="1218">
        <v>12089</v>
      </c>
      <c r="V12" s="1218">
        <v>10748</v>
      </c>
      <c r="W12" s="1218">
        <v>11338</v>
      </c>
      <c r="X12" s="1218">
        <v>12586</v>
      </c>
      <c r="Y12" s="1218">
        <v>16048.509464000001</v>
      </c>
      <c r="Z12" s="1219">
        <f t="shared" si="1"/>
        <v>-0.28635230060476696</v>
      </c>
    </row>
    <row r="13" spans="1:26" ht="12.75" customHeight="1">
      <c r="A13" s="1223" t="s">
        <v>1820</v>
      </c>
      <c r="B13" s="1218">
        <v>17709</v>
      </c>
      <c r="C13" s="1218">
        <v>17508.240000000002</v>
      </c>
      <c r="D13" s="1218">
        <v>10613.57</v>
      </c>
      <c r="E13" s="1218">
        <v>8504.65</v>
      </c>
      <c r="F13" s="1218">
        <v>8042.53</v>
      </c>
      <c r="G13" s="1218">
        <v>10132.549999999999</v>
      </c>
      <c r="H13" s="1218">
        <v>5363.49</v>
      </c>
      <c r="I13" s="1218">
        <v>4903.3100000000004</v>
      </c>
      <c r="J13" s="1218">
        <v>2845.88</v>
      </c>
      <c r="K13" s="1218">
        <v>2882.77</v>
      </c>
      <c r="L13" s="1218">
        <v>2711</v>
      </c>
      <c r="M13" s="1218">
        <v>2401.04</v>
      </c>
      <c r="N13" s="1218">
        <v>3240.5</v>
      </c>
      <c r="O13" s="1218">
        <v>2778.53</v>
      </c>
      <c r="P13" s="1218">
        <v>2259.42</v>
      </c>
      <c r="Q13" s="1218">
        <v>2099</v>
      </c>
      <c r="R13" s="1218">
        <v>2021</v>
      </c>
      <c r="S13" s="1218">
        <v>456</v>
      </c>
      <c r="T13" s="1218">
        <v>2157</v>
      </c>
      <c r="U13" s="1218">
        <v>1237</v>
      </c>
      <c r="V13" s="1218">
        <v>1092</v>
      </c>
      <c r="W13" s="1218">
        <v>1878</v>
      </c>
      <c r="X13" s="1218">
        <v>2385</v>
      </c>
      <c r="Y13" s="1218">
        <v>2423.5107840000001</v>
      </c>
      <c r="Z13" s="1219">
        <f t="shared" si="1"/>
        <v>-0.86314807250550563</v>
      </c>
    </row>
    <row r="14" spans="1:26" ht="12.75" customHeight="1">
      <c r="A14" s="1223" t="s">
        <v>1821</v>
      </c>
      <c r="B14" s="1218">
        <v>5394</v>
      </c>
      <c r="C14" s="1218">
        <v>4701.74</v>
      </c>
      <c r="D14" s="1218">
        <v>3943.9</v>
      </c>
      <c r="E14" s="1218">
        <v>3638.13</v>
      </c>
      <c r="F14" s="1218">
        <v>3182.68</v>
      </c>
      <c r="G14" s="1218">
        <v>2843.22</v>
      </c>
      <c r="H14" s="1218">
        <v>2638.81</v>
      </c>
      <c r="I14" s="1218">
        <v>2446.86</v>
      </c>
      <c r="J14" s="1218">
        <v>2218.4899999999998</v>
      </c>
      <c r="K14" s="1218">
        <v>1362.23</v>
      </c>
      <c r="L14" s="1218">
        <v>2119</v>
      </c>
      <c r="M14" s="1218">
        <v>2330.17</v>
      </c>
      <c r="N14" s="1218">
        <v>2715.16</v>
      </c>
      <c r="O14" s="1218">
        <v>2952.43</v>
      </c>
      <c r="P14" s="1218">
        <v>3734.26</v>
      </c>
      <c r="Q14" s="1218">
        <v>4158</v>
      </c>
      <c r="R14" s="1218">
        <v>4727</v>
      </c>
      <c r="S14" s="1218">
        <v>3729</v>
      </c>
      <c r="T14" s="1218">
        <v>4686</v>
      </c>
      <c r="U14" s="1218">
        <v>4165</v>
      </c>
      <c r="V14" s="1218">
        <v>4861</v>
      </c>
      <c r="W14" s="1218">
        <v>5057</v>
      </c>
      <c r="X14" s="1218">
        <v>5223</v>
      </c>
      <c r="Y14" s="1218">
        <v>7413.3225069999999</v>
      </c>
      <c r="Z14" s="1219">
        <f t="shared" si="1"/>
        <v>0.37436457304412307</v>
      </c>
    </row>
    <row r="15" spans="1:26" ht="12.75" customHeight="1">
      <c r="A15" s="1223" t="s">
        <v>1822</v>
      </c>
      <c r="B15" s="1218">
        <v>8522</v>
      </c>
      <c r="C15" s="1218">
        <v>7507.14</v>
      </c>
      <c r="D15" s="1218">
        <v>6181.43</v>
      </c>
      <c r="E15" s="1218">
        <v>4008.63</v>
      </c>
      <c r="F15" s="1218">
        <v>6002.56</v>
      </c>
      <c r="G15" s="1218">
        <v>6457.36</v>
      </c>
      <c r="H15" s="1218">
        <v>4590.55</v>
      </c>
      <c r="I15" s="1218">
        <v>4396.57</v>
      </c>
      <c r="J15" s="1218">
        <v>3603.51</v>
      </c>
      <c r="K15" s="1218">
        <v>3820.58</v>
      </c>
      <c r="L15" s="1218">
        <v>4864</v>
      </c>
      <c r="M15" s="1218">
        <v>5334.03</v>
      </c>
      <c r="N15" s="1218">
        <v>6161.5</v>
      </c>
      <c r="O15" s="1218">
        <v>6818.77</v>
      </c>
      <c r="P15" s="1218">
        <v>6398.65</v>
      </c>
      <c r="Q15" s="1218">
        <v>7555</v>
      </c>
      <c r="R15" s="1218">
        <v>6461</v>
      </c>
      <c r="S15" s="1218">
        <v>6928</v>
      </c>
      <c r="T15" s="1218">
        <v>8468</v>
      </c>
      <c r="U15" s="1218">
        <v>7877</v>
      </c>
      <c r="V15" s="1218">
        <v>8138</v>
      </c>
      <c r="W15" s="1218">
        <v>7885</v>
      </c>
      <c r="X15" s="1218">
        <v>6852</v>
      </c>
      <c r="Y15" s="1218">
        <v>6827.2096009999996</v>
      </c>
      <c r="Z15" s="1219">
        <f t="shared" si="1"/>
        <v>-0.19887237725885948</v>
      </c>
    </row>
    <row r="16" spans="1:26" ht="12.75" customHeight="1">
      <c r="A16" s="1223" t="s">
        <v>1823</v>
      </c>
      <c r="B16" s="1218">
        <v>743</v>
      </c>
      <c r="C16" s="1218">
        <v>1.45</v>
      </c>
      <c r="D16" s="1218">
        <v>8.18</v>
      </c>
      <c r="E16" s="1218">
        <v>6.51</v>
      </c>
      <c r="F16" s="1218">
        <v>1.45</v>
      </c>
      <c r="G16" s="1218">
        <v>1035.76</v>
      </c>
      <c r="H16" s="1218">
        <v>1407.5</v>
      </c>
      <c r="I16" s="1218">
        <v>1941.74</v>
      </c>
      <c r="J16" s="1218">
        <v>3949.07</v>
      </c>
      <c r="K16" s="1218">
        <v>3906.95</v>
      </c>
      <c r="L16" s="1218">
        <v>2668</v>
      </c>
      <c r="M16" s="1218">
        <v>2414.04</v>
      </c>
      <c r="N16" s="1218">
        <v>1410.37</v>
      </c>
      <c r="O16" s="1218">
        <v>2071.96</v>
      </c>
      <c r="P16" s="1218">
        <v>2883.99</v>
      </c>
      <c r="Q16" s="1218">
        <v>3075</v>
      </c>
      <c r="R16" s="1218">
        <v>2016</v>
      </c>
      <c r="S16" s="1218">
        <v>1210</v>
      </c>
      <c r="T16" s="1218">
        <v>831</v>
      </c>
      <c r="U16" s="1218">
        <v>720</v>
      </c>
      <c r="V16" s="1218">
        <v>537</v>
      </c>
      <c r="W16" s="1218">
        <v>431</v>
      </c>
      <c r="X16" s="1218">
        <v>849</v>
      </c>
      <c r="Y16" s="1218" t="s">
        <v>1824</v>
      </c>
      <c r="Z16" s="1219" t="str">
        <f t="shared" si="1"/>
        <v>–</v>
      </c>
    </row>
    <row r="17" spans="1:26" ht="12.75" customHeight="1">
      <c r="A17" s="1223" t="s">
        <v>1825</v>
      </c>
      <c r="B17" s="1218">
        <v>9013.2000000000007</v>
      </c>
      <c r="C17" s="1218">
        <v>8054.34</v>
      </c>
      <c r="D17" s="1218">
        <v>6419.07</v>
      </c>
      <c r="E17" s="1218">
        <v>5520.69</v>
      </c>
      <c r="F17" s="1218">
        <v>5096.28</v>
      </c>
      <c r="G17" s="1218">
        <v>5403.51</v>
      </c>
      <c r="H17" s="1218">
        <v>4698.33</v>
      </c>
      <c r="I17" s="1218">
        <v>4403.49</v>
      </c>
      <c r="J17" s="1218">
        <v>3952.83</v>
      </c>
      <c r="K17" s="1218">
        <v>4220.37</v>
      </c>
      <c r="L17" s="1218">
        <v>4032</v>
      </c>
      <c r="M17" s="1218">
        <v>4610.55</v>
      </c>
      <c r="N17" s="1218">
        <v>4439.82</v>
      </c>
      <c r="O17" s="1218">
        <v>4399.08</v>
      </c>
      <c r="P17" s="1218">
        <v>4381.2299999999996</v>
      </c>
      <c r="Q17" s="1218">
        <v>4819.5</v>
      </c>
      <c r="R17" s="1218">
        <v>5546.1</v>
      </c>
      <c r="S17" s="1218">
        <v>7824.6</v>
      </c>
      <c r="T17" s="1218">
        <v>11361</v>
      </c>
      <c r="U17" s="1218">
        <v>11071.2</v>
      </c>
      <c r="V17" s="1218">
        <v>11186.7</v>
      </c>
      <c r="W17" s="1218">
        <v>10867.5</v>
      </c>
      <c r="X17" s="1218">
        <v>11466</v>
      </c>
      <c r="Y17" s="1218">
        <v>16519.608838</v>
      </c>
      <c r="Z17" s="1219">
        <f t="shared" si="1"/>
        <v>0.83282395131584774</v>
      </c>
    </row>
    <row r="18" spans="1:26" ht="12.75" customHeight="1">
      <c r="A18" s="1217" t="s">
        <v>1826</v>
      </c>
      <c r="B18" s="1218">
        <v>1402.73</v>
      </c>
      <c r="C18" s="1218">
        <v>1356.69</v>
      </c>
      <c r="D18" s="1218">
        <v>1242</v>
      </c>
      <c r="E18" s="1218">
        <v>800.09</v>
      </c>
      <c r="F18" s="1218">
        <v>430.84</v>
      </c>
      <c r="G18" s="1218">
        <v>171.73</v>
      </c>
      <c r="H18" s="1218">
        <v>112.5</v>
      </c>
      <c r="I18" s="1218">
        <v>148.79</v>
      </c>
      <c r="J18" s="1218">
        <v>98.48</v>
      </c>
      <c r="K18" s="1218">
        <v>84.58</v>
      </c>
      <c r="L18" s="1218">
        <v>552.24</v>
      </c>
      <c r="M18" s="1218">
        <v>699.85</v>
      </c>
      <c r="N18" s="1218">
        <v>910.51</v>
      </c>
      <c r="O18" s="1218">
        <v>1056.93</v>
      </c>
      <c r="P18" s="1218">
        <v>1352.45</v>
      </c>
      <c r="Q18" s="1218">
        <v>1779.53</v>
      </c>
      <c r="R18" s="1218">
        <v>1983.57</v>
      </c>
      <c r="S18" s="1218">
        <v>2301.63</v>
      </c>
      <c r="T18" s="1218">
        <v>2041.34</v>
      </c>
      <c r="U18" s="1218">
        <v>1779.1</v>
      </c>
      <c r="V18" s="1218">
        <v>2102.83</v>
      </c>
      <c r="W18" s="1218">
        <v>2412.87</v>
      </c>
      <c r="X18" s="1218">
        <v>2934.75</v>
      </c>
      <c r="Y18" s="1218">
        <v>1299.61122783</v>
      </c>
      <c r="Z18" s="1219">
        <f t="shared" si="1"/>
        <v>-7.3512915650196436E-2</v>
      </c>
    </row>
    <row r="19" spans="1:26" ht="12.75" customHeight="1">
      <c r="A19" s="1223" t="s">
        <v>1827</v>
      </c>
      <c r="B19" s="1218">
        <v>512.73</v>
      </c>
      <c r="C19" s="1218">
        <v>454.6</v>
      </c>
      <c r="D19" s="1218">
        <v>421.56</v>
      </c>
      <c r="E19" s="1218">
        <v>311.35000000000002</v>
      </c>
      <c r="F19" s="1218">
        <v>222.72</v>
      </c>
      <c r="G19" s="1218">
        <v>96.95</v>
      </c>
      <c r="H19" s="1218">
        <v>108.18</v>
      </c>
      <c r="I19" s="1218">
        <v>146.44999999999999</v>
      </c>
      <c r="J19" s="1218">
        <v>97.1</v>
      </c>
      <c r="K19" s="1218">
        <v>82.83</v>
      </c>
      <c r="L19" s="1218">
        <v>121.18</v>
      </c>
      <c r="M19" s="1218">
        <v>253.11</v>
      </c>
      <c r="N19" s="1218">
        <v>409.57</v>
      </c>
      <c r="O19" s="1218">
        <v>489.07</v>
      </c>
      <c r="P19" s="1218">
        <v>692.38</v>
      </c>
      <c r="Q19" s="1218">
        <v>746.38</v>
      </c>
      <c r="R19" s="1218">
        <v>804.62</v>
      </c>
      <c r="S19" s="1218">
        <v>828.63</v>
      </c>
      <c r="T19" s="1218">
        <v>770.84</v>
      </c>
      <c r="U19" s="1218">
        <v>621.62</v>
      </c>
      <c r="V19" s="1218">
        <v>618.08000000000004</v>
      </c>
      <c r="W19" s="1218">
        <v>688.77</v>
      </c>
      <c r="X19" s="1218">
        <v>961.1</v>
      </c>
      <c r="Y19" s="1218">
        <v>729.78509450000001</v>
      </c>
      <c r="Z19" s="1219">
        <f t="shared" si="1"/>
        <v>0.42333215239989858</v>
      </c>
    </row>
    <row r="20" spans="1:26" ht="12.75" customHeight="1">
      <c r="A20" s="1223" t="s">
        <v>1828</v>
      </c>
      <c r="B20" s="1218"/>
      <c r="C20" s="1218">
        <v>38.1</v>
      </c>
      <c r="D20" s="1218">
        <v>29.1</v>
      </c>
      <c r="E20" s="1218">
        <v>20.399999999999999</v>
      </c>
      <c r="F20" s="1218">
        <v>22.2</v>
      </c>
      <c r="G20" s="1218">
        <v>5.55</v>
      </c>
      <c r="H20" s="1218">
        <v>1.2</v>
      </c>
      <c r="I20" s="1218"/>
      <c r="J20" s="1218"/>
      <c r="K20" s="1218"/>
      <c r="L20" s="1218"/>
      <c r="M20" s="1218"/>
      <c r="N20" s="1218"/>
      <c r="O20" s="1218"/>
      <c r="P20" s="1218"/>
      <c r="Q20" s="1218"/>
      <c r="R20" s="1218"/>
      <c r="S20" s="1218"/>
      <c r="T20" s="1218"/>
      <c r="U20" s="1218"/>
      <c r="V20" s="1218"/>
      <c r="W20" s="1218"/>
      <c r="X20" s="1218"/>
      <c r="Y20" s="1218">
        <v>181.49199999999999</v>
      </c>
      <c r="Z20" s="1219" t="str">
        <f t="shared" si="1"/>
        <v>–</v>
      </c>
    </row>
    <row r="21" spans="1:26" ht="12.75" customHeight="1">
      <c r="A21" s="1223" t="s">
        <v>1829</v>
      </c>
      <c r="B21" s="1218">
        <v>630</v>
      </c>
      <c r="C21" s="1218">
        <v>600</v>
      </c>
      <c r="D21" s="1218">
        <v>595.5</v>
      </c>
      <c r="E21" s="1218">
        <v>337.5</v>
      </c>
      <c r="F21" s="1218">
        <v>55.5</v>
      </c>
      <c r="G21" s="1218">
        <v>3.6</v>
      </c>
      <c r="H21" s="1218">
        <v>1.65</v>
      </c>
      <c r="I21" s="1218">
        <v>1.5</v>
      </c>
      <c r="J21" s="1218">
        <v>0.75</v>
      </c>
      <c r="K21" s="1218">
        <v>0.49</v>
      </c>
      <c r="L21" s="1218">
        <v>0.06</v>
      </c>
      <c r="M21" s="1218">
        <v>6.9</v>
      </c>
      <c r="N21" s="1218">
        <v>49.05</v>
      </c>
      <c r="O21" s="1218">
        <v>84.6</v>
      </c>
      <c r="P21" s="1218">
        <v>135.6</v>
      </c>
      <c r="Q21" s="1218">
        <v>429.15</v>
      </c>
      <c r="R21" s="1218">
        <v>502.95</v>
      </c>
      <c r="S21" s="1218">
        <v>702</v>
      </c>
      <c r="T21" s="1218">
        <v>417.5</v>
      </c>
      <c r="U21" s="1218">
        <v>225.48</v>
      </c>
      <c r="V21" s="1218">
        <v>459.75</v>
      </c>
      <c r="W21" s="1218">
        <v>848.1</v>
      </c>
      <c r="X21" s="1218">
        <v>1033.6500000000001</v>
      </c>
      <c r="Y21" s="1218">
        <v>360.952</v>
      </c>
      <c r="Z21" s="1219">
        <f t="shared" si="1"/>
        <v>-0.42706031746031747</v>
      </c>
    </row>
    <row r="22" spans="1:26" ht="12.75" customHeight="1">
      <c r="A22" s="1223" t="s">
        <v>1830</v>
      </c>
      <c r="B22" s="1218"/>
      <c r="C22" s="1218"/>
      <c r="D22" s="1218"/>
      <c r="E22" s="1218"/>
      <c r="F22" s="1218"/>
      <c r="G22" s="1218"/>
      <c r="H22" s="1218"/>
      <c r="I22" s="1218"/>
      <c r="J22" s="1218"/>
      <c r="K22" s="1218"/>
      <c r="L22" s="1218"/>
      <c r="M22" s="1218"/>
      <c r="N22" s="1218"/>
      <c r="O22" s="1218"/>
      <c r="P22" s="1218"/>
      <c r="Q22" s="1218"/>
      <c r="R22" s="1218"/>
      <c r="S22" s="1218"/>
      <c r="T22" s="1218"/>
      <c r="U22" s="1218"/>
      <c r="V22" s="1218"/>
      <c r="W22" s="1218"/>
      <c r="X22" s="1218"/>
      <c r="Y22" s="1218" t="s">
        <v>1824</v>
      </c>
      <c r="Z22" s="1219" t="str">
        <f t="shared" si="1"/>
        <v>–</v>
      </c>
    </row>
    <row r="23" spans="1:26" ht="12.75" customHeight="1">
      <c r="A23" s="1223" t="s">
        <v>1831</v>
      </c>
      <c r="B23" s="1218"/>
      <c r="C23" s="1218"/>
      <c r="D23" s="1218"/>
      <c r="E23" s="1218"/>
      <c r="F23" s="1218"/>
      <c r="G23" s="1218"/>
      <c r="H23" s="1218"/>
      <c r="I23" s="1218"/>
      <c r="J23" s="1218"/>
      <c r="K23" s="1218"/>
      <c r="L23" s="1218"/>
      <c r="M23" s="1218"/>
      <c r="N23" s="1218"/>
      <c r="O23" s="1218"/>
      <c r="P23" s="1218"/>
      <c r="Q23" s="1218"/>
      <c r="R23" s="1218"/>
      <c r="S23" s="1218"/>
      <c r="T23" s="1218"/>
      <c r="U23" s="1218"/>
      <c r="V23" s="1218"/>
      <c r="W23" s="1218"/>
      <c r="X23" s="1218"/>
      <c r="Y23" s="1218" t="s">
        <v>1824</v>
      </c>
      <c r="Z23" s="1219" t="str">
        <f t="shared" si="1"/>
        <v>–</v>
      </c>
    </row>
    <row r="24" spans="1:26" ht="12.75" customHeight="1">
      <c r="A24" s="1223" t="s">
        <v>1832</v>
      </c>
      <c r="B24" s="1218"/>
      <c r="C24" s="1218"/>
      <c r="D24" s="1218"/>
      <c r="E24" s="1218"/>
      <c r="F24" s="1218"/>
      <c r="G24" s="1218"/>
      <c r="H24" s="1218"/>
      <c r="I24" s="1218"/>
      <c r="J24" s="1218"/>
      <c r="K24" s="1218"/>
      <c r="L24" s="1218"/>
      <c r="M24" s="1218"/>
      <c r="N24" s="1218"/>
      <c r="O24" s="1218"/>
      <c r="P24" s="1218"/>
      <c r="Q24" s="1218"/>
      <c r="R24" s="1218"/>
      <c r="S24" s="1218"/>
      <c r="T24" s="1218"/>
      <c r="U24" s="1218"/>
      <c r="V24" s="1218"/>
      <c r="W24" s="1218"/>
      <c r="X24" s="1218"/>
      <c r="Y24" s="1218">
        <v>1.032</v>
      </c>
      <c r="Z24" s="1219" t="str">
        <f t="shared" si="1"/>
        <v>–</v>
      </c>
    </row>
    <row r="25" spans="1:26" ht="12.75" customHeight="1">
      <c r="A25" s="1223" t="s">
        <v>1833</v>
      </c>
      <c r="B25" s="1218"/>
      <c r="C25" s="1218" t="s">
        <v>1834</v>
      </c>
      <c r="D25" s="1218" t="s">
        <v>1834</v>
      </c>
      <c r="E25" s="1218" t="s">
        <v>1834</v>
      </c>
      <c r="F25" s="1218" t="s">
        <v>1834</v>
      </c>
      <c r="G25" s="1218" t="s">
        <v>1834</v>
      </c>
      <c r="H25" s="1218" t="s">
        <v>1834</v>
      </c>
      <c r="I25" s="1218" t="s">
        <v>1834</v>
      </c>
      <c r="J25" s="1218" t="s">
        <v>1834</v>
      </c>
      <c r="K25" s="1218" t="s">
        <v>1834</v>
      </c>
      <c r="L25" s="1218"/>
      <c r="M25" s="1218" t="s">
        <v>1834</v>
      </c>
      <c r="N25" s="1218" t="s">
        <v>1834</v>
      </c>
      <c r="O25" s="1218" t="s">
        <v>1834</v>
      </c>
      <c r="P25" s="1218" t="s">
        <v>1834</v>
      </c>
      <c r="Q25" s="1218"/>
      <c r="R25" s="1218"/>
      <c r="S25" s="1218"/>
      <c r="T25" s="1218"/>
      <c r="U25" s="1218"/>
      <c r="V25" s="1218"/>
      <c r="W25" s="1218"/>
      <c r="X25" s="1218"/>
      <c r="Y25" s="1218">
        <v>26.350133329999998</v>
      </c>
      <c r="Z25" s="1219" t="str">
        <f t="shared" si="1"/>
        <v>–</v>
      </c>
    </row>
    <row r="26" spans="1:26" ht="12.75" customHeight="1">
      <c r="A26" s="1217" t="s">
        <v>1835</v>
      </c>
      <c r="B26" s="1218"/>
      <c r="C26" s="1218" t="s">
        <v>1834</v>
      </c>
      <c r="D26" s="1218" t="s">
        <v>1834</v>
      </c>
      <c r="E26" s="1218" t="s">
        <v>1834</v>
      </c>
      <c r="F26" s="1218" t="s">
        <v>1834</v>
      </c>
      <c r="G26" s="1218" t="s">
        <v>1834</v>
      </c>
      <c r="H26" s="1218" t="s">
        <v>1834</v>
      </c>
      <c r="I26" s="1218" t="s">
        <v>1834</v>
      </c>
      <c r="J26" s="1218" t="s">
        <v>1834</v>
      </c>
      <c r="K26" s="1218" t="s">
        <v>1834</v>
      </c>
      <c r="L26" s="1218"/>
      <c r="M26" s="1218" t="s">
        <v>1834</v>
      </c>
      <c r="N26" s="1218" t="s">
        <v>1834</v>
      </c>
      <c r="O26" s="1218" t="s">
        <v>1834</v>
      </c>
      <c r="P26" s="1218" t="s">
        <v>1834</v>
      </c>
      <c r="Q26" s="1218"/>
      <c r="R26" s="1218"/>
      <c r="S26" s="1218"/>
      <c r="T26" s="1218"/>
      <c r="U26" s="1218"/>
      <c r="V26" s="1218"/>
      <c r="W26" s="1218"/>
      <c r="X26" s="1218"/>
      <c r="Y26" s="1218" t="s">
        <v>1824</v>
      </c>
      <c r="Z26" s="1219" t="str">
        <f t="shared" si="1"/>
        <v>–</v>
      </c>
    </row>
    <row r="27" spans="1:26" ht="12.75" customHeight="1">
      <c r="A27" s="1217" t="s">
        <v>1836</v>
      </c>
      <c r="B27" s="1218">
        <v>6261.65</v>
      </c>
      <c r="C27" s="1218">
        <v>4495.87</v>
      </c>
      <c r="D27" s="1218">
        <v>4591.53</v>
      </c>
      <c r="E27" s="1218">
        <v>4202.32</v>
      </c>
      <c r="F27" s="1218">
        <v>3711.86</v>
      </c>
      <c r="G27" s="1218">
        <v>3631.48</v>
      </c>
      <c r="H27" s="1218">
        <v>3779.65</v>
      </c>
      <c r="I27" s="1218">
        <v>4099.91</v>
      </c>
      <c r="J27" s="1218">
        <v>4423.8500000000004</v>
      </c>
      <c r="K27" s="1218">
        <v>5124.49</v>
      </c>
      <c r="L27" s="1218">
        <v>5377.26</v>
      </c>
      <c r="M27" s="1218">
        <v>5604.97</v>
      </c>
      <c r="N27" s="1218">
        <v>5896.73</v>
      </c>
      <c r="O27" s="1218">
        <v>6075.55</v>
      </c>
      <c r="P27" s="1218">
        <v>6283.58</v>
      </c>
      <c r="Q27" s="1218">
        <v>6469.46</v>
      </c>
      <c r="R27" s="1218">
        <v>6688.98</v>
      </c>
      <c r="S27" s="1218">
        <v>7003.1</v>
      </c>
      <c r="T27" s="1218">
        <v>7175.2</v>
      </c>
      <c r="U27" s="1218">
        <v>7265.53</v>
      </c>
      <c r="V27" s="1218">
        <v>7243.75</v>
      </c>
      <c r="W27" s="1218">
        <v>7098.18</v>
      </c>
      <c r="X27" s="1218">
        <v>7032.8</v>
      </c>
      <c r="Y27" s="1218">
        <v>6694.2146709999997</v>
      </c>
      <c r="Z27" s="1219">
        <f t="shared" si="1"/>
        <v>6.9081579296191922E-2</v>
      </c>
    </row>
    <row r="28" spans="1:26" ht="12.75" customHeight="1">
      <c r="A28" s="1223" t="s">
        <v>1837</v>
      </c>
      <c r="B28" s="1218">
        <v>2428.86</v>
      </c>
      <c r="C28" s="1218">
        <v>2411.0100000000002</v>
      </c>
      <c r="D28" s="1218">
        <v>2318.19</v>
      </c>
      <c r="E28" s="1218">
        <v>2361.4499999999998</v>
      </c>
      <c r="F28" s="1218">
        <v>2148.09</v>
      </c>
      <c r="G28" s="1218">
        <v>2193.4499999999998</v>
      </c>
      <c r="H28" s="1218">
        <v>2306.64</v>
      </c>
      <c r="I28" s="1218">
        <v>2414.58</v>
      </c>
      <c r="J28" s="1218">
        <v>2512.65</v>
      </c>
      <c r="K28" s="1218">
        <v>2581.7399999999998</v>
      </c>
      <c r="L28" s="1218">
        <v>2711.52</v>
      </c>
      <c r="M28" s="1218">
        <v>2838.99</v>
      </c>
      <c r="N28" s="1218">
        <v>2964.99</v>
      </c>
      <c r="O28" s="1218">
        <v>3059.49</v>
      </c>
      <c r="P28" s="1218">
        <v>3156.72</v>
      </c>
      <c r="Q28" s="1218">
        <v>3227.28</v>
      </c>
      <c r="R28" s="1218">
        <v>3421.95</v>
      </c>
      <c r="S28" s="1218">
        <v>3515.19</v>
      </c>
      <c r="T28" s="1218">
        <v>3708.18</v>
      </c>
      <c r="U28" s="1218">
        <v>3653.79</v>
      </c>
      <c r="V28" s="1218">
        <v>3683.4</v>
      </c>
      <c r="W28" s="1218">
        <v>3582.6</v>
      </c>
      <c r="X28" s="1218">
        <v>3487.05</v>
      </c>
      <c r="Y28" s="1218">
        <v>3712.9785000000002</v>
      </c>
      <c r="Z28" s="1219">
        <f t="shared" si="1"/>
        <v>0.52869185543835373</v>
      </c>
    </row>
    <row r="29" spans="1:26" ht="12.75" customHeight="1">
      <c r="A29" s="1223" t="s">
        <v>1838</v>
      </c>
      <c r="B29" s="1218">
        <v>650.9</v>
      </c>
      <c r="C29" s="1218">
        <v>637.91999999999996</v>
      </c>
      <c r="D29" s="1218">
        <v>617.01</v>
      </c>
      <c r="E29" s="1218">
        <v>536.94000000000005</v>
      </c>
      <c r="F29" s="1218">
        <v>495.86</v>
      </c>
      <c r="G29" s="1218">
        <v>489.34</v>
      </c>
      <c r="H29" s="1218">
        <v>510.87</v>
      </c>
      <c r="I29" s="1218">
        <v>563.14</v>
      </c>
      <c r="J29" s="1218">
        <v>615.62</v>
      </c>
      <c r="K29" s="1218">
        <v>888.99</v>
      </c>
      <c r="L29" s="1218">
        <v>910.89</v>
      </c>
      <c r="M29" s="1218">
        <v>937.78</v>
      </c>
      <c r="N29" s="1218">
        <v>967.77</v>
      </c>
      <c r="O29" s="1218">
        <v>989.46</v>
      </c>
      <c r="P29" s="1218">
        <v>1018.61</v>
      </c>
      <c r="Q29" s="1218">
        <v>1037.99</v>
      </c>
      <c r="R29" s="1218">
        <v>1053.22</v>
      </c>
      <c r="S29" s="1218">
        <v>1077.3800000000001</v>
      </c>
      <c r="T29" s="1218">
        <v>1123.27</v>
      </c>
      <c r="U29" s="1218">
        <v>1104.32</v>
      </c>
      <c r="V29" s="1218">
        <v>1112.04</v>
      </c>
      <c r="W29" s="1218">
        <v>1105.31</v>
      </c>
      <c r="X29" s="1218">
        <v>1020.57</v>
      </c>
      <c r="Y29" s="1218">
        <v>1032.0303799999999</v>
      </c>
      <c r="Z29" s="1219">
        <f t="shared" si="1"/>
        <v>0.58554367798432938</v>
      </c>
    </row>
    <row r="30" spans="1:26" ht="12.75" customHeight="1">
      <c r="A30" s="1223" t="s">
        <v>1839</v>
      </c>
      <c r="B30" s="1218">
        <v>1.05</v>
      </c>
      <c r="C30" s="1218">
        <v>2.1</v>
      </c>
      <c r="D30" s="1218">
        <v>1.89</v>
      </c>
      <c r="E30" s="1218">
        <v>2.52</v>
      </c>
      <c r="F30" s="1218">
        <v>2.1</v>
      </c>
      <c r="G30" s="1218">
        <v>4.2</v>
      </c>
      <c r="H30" s="1218">
        <v>5.04</v>
      </c>
      <c r="I30" s="1218">
        <v>5.25</v>
      </c>
      <c r="J30" s="1218">
        <v>5.25</v>
      </c>
      <c r="K30" s="1218">
        <v>7.56</v>
      </c>
      <c r="L30" s="1218">
        <v>9.4499999999999993</v>
      </c>
      <c r="M30" s="1218">
        <v>7.98</v>
      </c>
      <c r="N30" s="1218">
        <v>7.56</v>
      </c>
      <c r="O30" s="1218">
        <v>6.93</v>
      </c>
      <c r="P30" s="1218">
        <v>5.46</v>
      </c>
      <c r="Q30" s="1218">
        <v>4.83</v>
      </c>
      <c r="R30" s="1218">
        <v>2.52</v>
      </c>
      <c r="S30" s="1218">
        <v>2.31</v>
      </c>
      <c r="T30" s="1218">
        <v>2.73</v>
      </c>
      <c r="U30" s="1218">
        <v>3.57</v>
      </c>
      <c r="V30" s="1218">
        <v>3.36</v>
      </c>
      <c r="W30" s="1218">
        <v>3.36</v>
      </c>
      <c r="X30" s="1218">
        <v>3.36</v>
      </c>
      <c r="Y30" s="1218">
        <v>15.673791</v>
      </c>
      <c r="Z30" s="1219">
        <f t="shared" si="1"/>
        <v>13.927419999999998</v>
      </c>
    </row>
    <row r="31" spans="1:26" ht="12.75" customHeight="1">
      <c r="A31" s="1223" t="s">
        <v>1840</v>
      </c>
      <c r="B31" s="1218">
        <v>3143.4</v>
      </c>
      <c r="C31" s="1218">
        <v>1407.4</v>
      </c>
      <c r="D31" s="1218">
        <v>1630.6</v>
      </c>
      <c r="E31" s="1218">
        <v>1283.4000000000001</v>
      </c>
      <c r="F31" s="1218">
        <v>1047.8</v>
      </c>
      <c r="G31" s="1218">
        <v>926.9</v>
      </c>
      <c r="H31" s="1218">
        <v>939.3</v>
      </c>
      <c r="I31" s="1218">
        <v>1106.7</v>
      </c>
      <c r="J31" s="1218">
        <v>1280.3</v>
      </c>
      <c r="K31" s="1218">
        <v>1636.8</v>
      </c>
      <c r="L31" s="1218">
        <v>1736</v>
      </c>
      <c r="M31" s="1218">
        <v>1810.4</v>
      </c>
      <c r="N31" s="1218">
        <v>1946.8</v>
      </c>
      <c r="O31" s="1218">
        <v>2008.8</v>
      </c>
      <c r="P31" s="1218">
        <v>2089.4</v>
      </c>
      <c r="Q31" s="1218">
        <v>2182.4</v>
      </c>
      <c r="R31" s="1218">
        <v>2208.19</v>
      </c>
      <c r="S31" s="1218">
        <v>2396.3000000000002</v>
      </c>
      <c r="T31" s="1218">
        <v>2331.1999999999998</v>
      </c>
      <c r="U31" s="1218">
        <v>2498.6</v>
      </c>
      <c r="V31" s="1218">
        <v>2436.6</v>
      </c>
      <c r="W31" s="1218">
        <v>2399.4</v>
      </c>
      <c r="X31" s="1218">
        <v>2514.1</v>
      </c>
      <c r="Y31" s="1218">
        <v>1933.5319999999999</v>
      </c>
      <c r="Z31" s="1219">
        <f t="shared" si="1"/>
        <v>-0.38489151873767263</v>
      </c>
    </row>
    <row r="32" spans="1:26" ht="12.75" customHeight="1">
      <c r="A32" s="1223" t="s">
        <v>1841</v>
      </c>
      <c r="B32" s="1218"/>
      <c r="C32" s="1218" t="s">
        <v>1834</v>
      </c>
      <c r="D32" s="1218" t="s">
        <v>1834</v>
      </c>
      <c r="E32" s="1218" t="s">
        <v>1834</v>
      </c>
      <c r="F32" s="1218" t="s">
        <v>1834</v>
      </c>
      <c r="G32" s="1218" t="s">
        <v>1834</v>
      </c>
      <c r="H32" s="1218" t="s">
        <v>1834</v>
      </c>
      <c r="I32" s="1218" t="s">
        <v>1834</v>
      </c>
      <c r="J32" s="1218" t="s">
        <v>1834</v>
      </c>
      <c r="K32" s="1218" t="s">
        <v>1834</v>
      </c>
      <c r="L32" s="1218"/>
      <c r="M32" s="1218" t="s">
        <v>1834</v>
      </c>
      <c r="N32" s="1218" t="s">
        <v>1834</v>
      </c>
      <c r="O32" s="1218" t="s">
        <v>1834</v>
      </c>
      <c r="P32" s="1218" t="s">
        <v>1834</v>
      </c>
      <c r="Q32" s="1218"/>
      <c r="R32" s="1218"/>
      <c r="S32" s="1218"/>
      <c r="T32" s="1218"/>
      <c r="U32" s="1218"/>
      <c r="V32" s="1218"/>
      <c r="W32" s="1218"/>
      <c r="X32" s="1218"/>
      <c r="Y32" s="1218" t="s">
        <v>1834</v>
      </c>
      <c r="Z32" s="1219" t="str">
        <f t="shared" si="1"/>
        <v>–</v>
      </c>
    </row>
    <row r="33" spans="1:26" ht="12.75" customHeight="1">
      <c r="A33" s="1223" t="s">
        <v>1842</v>
      </c>
      <c r="B33" s="1218">
        <v>28.14</v>
      </c>
      <c r="C33" s="1218">
        <v>28.14</v>
      </c>
      <c r="D33" s="1218">
        <v>17.64</v>
      </c>
      <c r="E33" s="1218">
        <v>14.91</v>
      </c>
      <c r="F33" s="1218">
        <v>14.91</v>
      </c>
      <c r="G33" s="1218">
        <v>14.49</v>
      </c>
      <c r="H33" s="1218">
        <v>14.7</v>
      </c>
      <c r="I33" s="1218">
        <v>7.14</v>
      </c>
      <c r="J33" s="1218">
        <v>6.93</v>
      </c>
      <c r="K33" s="1218">
        <v>6.3</v>
      </c>
      <c r="L33" s="1218">
        <v>6.3</v>
      </c>
      <c r="M33" s="1218">
        <v>6.72</v>
      </c>
      <c r="N33" s="1218">
        <v>6.51</v>
      </c>
      <c r="O33" s="1218">
        <v>7.77</v>
      </c>
      <c r="P33" s="1218">
        <v>10.29</v>
      </c>
      <c r="Q33" s="1218">
        <v>13.86</v>
      </c>
      <c r="R33" s="1218"/>
      <c r="S33" s="1218">
        <v>8.82</v>
      </c>
      <c r="T33" s="1218">
        <v>6.72</v>
      </c>
      <c r="U33" s="1218">
        <v>5.25</v>
      </c>
      <c r="V33" s="1218">
        <v>5.25</v>
      </c>
      <c r="W33" s="1218">
        <v>4.41</v>
      </c>
      <c r="X33" s="1218">
        <v>4.62</v>
      </c>
      <c r="Y33" s="1218" t="s">
        <v>1834</v>
      </c>
      <c r="Z33" s="1219" t="str">
        <f t="shared" si="1"/>
        <v>–</v>
      </c>
    </row>
    <row r="34" spans="1:26" ht="12.75" customHeight="1">
      <c r="A34" s="1223" t="s">
        <v>1843</v>
      </c>
      <c r="B34" s="1218">
        <v>9.3000000000000007</v>
      </c>
      <c r="C34" s="1218">
        <v>9.3000000000000007</v>
      </c>
      <c r="D34" s="1218">
        <v>6.2</v>
      </c>
      <c r="E34" s="1218">
        <v>3.1</v>
      </c>
      <c r="F34" s="1218">
        <v>3.1</v>
      </c>
      <c r="G34" s="1218">
        <v>3.1</v>
      </c>
      <c r="H34" s="1218">
        <v>3.1</v>
      </c>
      <c r="I34" s="1218">
        <v>3.1</v>
      </c>
      <c r="J34" s="1218">
        <v>3.1</v>
      </c>
      <c r="K34" s="1218">
        <v>3.1</v>
      </c>
      <c r="L34" s="1218">
        <v>3.1</v>
      </c>
      <c r="M34" s="1218">
        <v>3.1</v>
      </c>
      <c r="N34" s="1218">
        <v>3.1</v>
      </c>
      <c r="O34" s="1218">
        <v>3.1</v>
      </c>
      <c r="P34" s="1218">
        <v>3.1</v>
      </c>
      <c r="Q34" s="1218">
        <v>3.1</v>
      </c>
      <c r="R34" s="1218">
        <v>3.1</v>
      </c>
      <c r="S34" s="1218">
        <v>3.1</v>
      </c>
      <c r="T34" s="1218">
        <v>3.1</v>
      </c>
      <c r="U34" s="1218"/>
      <c r="V34" s="1218">
        <v>3.1</v>
      </c>
      <c r="W34" s="1218">
        <v>3.1</v>
      </c>
      <c r="X34" s="1218">
        <v>3.1</v>
      </c>
      <c r="Y34" s="1218"/>
      <c r="Z34" s="1219" t="str">
        <f t="shared" si="1"/>
        <v>–</v>
      </c>
    </row>
    <row r="35" spans="1:26" ht="12.75" customHeight="1">
      <c r="A35" s="1217" t="s">
        <v>1844</v>
      </c>
      <c r="B35" s="1218">
        <v>-3690</v>
      </c>
      <c r="C35" s="1218">
        <v>-3650</v>
      </c>
      <c r="D35" s="1218">
        <v>-3621</v>
      </c>
      <c r="E35" s="1218">
        <v>-3618</v>
      </c>
      <c r="F35" s="1218">
        <v>-3715</v>
      </c>
      <c r="G35" s="1218">
        <v>-3790</v>
      </c>
      <c r="H35" s="1218">
        <v>-3855</v>
      </c>
      <c r="I35" s="1218">
        <v>-4068</v>
      </c>
      <c r="J35" s="1218">
        <v>-4556</v>
      </c>
      <c r="K35" s="1218">
        <v>-4618</v>
      </c>
      <c r="L35" s="1218">
        <v>-4870</v>
      </c>
      <c r="M35" s="1218">
        <v>-4893</v>
      </c>
      <c r="N35" s="1218">
        <v>-5089</v>
      </c>
      <c r="O35" s="1218">
        <v>-5225</v>
      </c>
      <c r="P35" s="1218">
        <v>-5276</v>
      </c>
      <c r="Q35" s="1218">
        <v>-5349</v>
      </c>
      <c r="R35" s="1218">
        <v>-5353</v>
      </c>
      <c r="S35" s="1218">
        <v>-5438</v>
      </c>
      <c r="T35" s="1218">
        <v>-5383</v>
      </c>
      <c r="U35" s="1218">
        <v>-5360</v>
      </c>
      <c r="V35" s="1218">
        <v>-5410</v>
      </c>
      <c r="W35" s="1218">
        <v>-5435</v>
      </c>
      <c r="X35" s="1218">
        <v>-5442</v>
      </c>
      <c r="Y35" s="1218">
        <v>-6198.115675</v>
      </c>
      <c r="Z35" s="1219">
        <f t="shared" si="1"/>
        <v>0.67970614498644988</v>
      </c>
    </row>
    <row r="36" spans="1:26" ht="12.75" customHeight="1">
      <c r="A36" s="1223" t="s">
        <v>1845</v>
      </c>
      <c r="B36" s="1218">
        <v>-3690</v>
      </c>
      <c r="C36" s="1218"/>
      <c r="D36" s="1218"/>
      <c r="E36" s="1218"/>
      <c r="F36" s="1218"/>
      <c r="G36" s="1218"/>
      <c r="H36" s="1218"/>
      <c r="I36" s="1218"/>
      <c r="J36" s="1218"/>
      <c r="K36" s="1218"/>
      <c r="L36" s="1218">
        <v>-4870</v>
      </c>
      <c r="M36" s="1218"/>
      <c r="N36" s="1218"/>
      <c r="O36" s="1218"/>
      <c r="P36" s="1218"/>
      <c r="Q36" s="1218">
        <v>-5349</v>
      </c>
      <c r="R36" s="1218">
        <v>-5353</v>
      </c>
      <c r="S36" s="1218">
        <v>-5438</v>
      </c>
      <c r="T36" s="1218">
        <v>-5383</v>
      </c>
      <c r="U36" s="1218">
        <v>-5360</v>
      </c>
      <c r="V36" s="1218">
        <v>-5410</v>
      </c>
      <c r="W36" s="1218">
        <v>-5435</v>
      </c>
      <c r="X36" s="1218">
        <v>-5442</v>
      </c>
      <c r="Y36" s="1218">
        <v>-6248.4781999999996</v>
      </c>
      <c r="Z36" s="1219">
        <f t="shared" si="1"/>
        <v>0.69335452574525736</v>
      </c>
    </row>
    <row r="37" spans="1:26" ht="12.75" customHeight="1">
      <c r="A37" s="1223" t="s">
        <v>1846</v>
      </c>
      <c r="B37" s="1218"/>
      <c r="C37" s="1218"/>
      <c r="D37" s="1218"/>
      <c r="E37" s="1218"/>
      <c r="F37" s="1218"/>
      <c r="G37" s="1218"/>
      <c r="H37" s="1218"/>
      <c r="I37" s="1218"/>
      <c r="J37" s="1218"/>
      <c r="K37" s="1218"/>
      <c r="L37" s="1218"/>
      <c r="M37" s="1218"/>
      <c r="N37" s="1218"/>
      <c r="O37" s="1218"/>
      <c r="P37" s="1218"/>
      <c r="Q37" s="1218"/>
      <c r="R37" s="1218"/>
      <c r="S37" s="1218"/>
      <c r="T37" s="1218"/>
      <c r="U37" s="1218"/>
      <c r="V37" s="1218"/>
      <c r="W37" s="1218"/>
      <c r="X37" s="1218"/>
      <c r="Y37" s="1218">
        <v>-1705.8689999999999</v>
      </c>
      <c r="Z37" s="1219" t="str">
        <f t="shared" si="1"/>
        <v>–</v>
      </c>
    </row>
    <row r="38" spans="1:26" ht="12.75" customHeight="1">
      <c r="A38" s="1223" t="s">
        <v>1847</v>
      </c>
      <c r="B38" s="1218"/>
      <c r="C38" s="1218"/>
      <c r="D38" s="1218"/>
      <c r="E38" s="1218"/>
      <c r="F38" s="1218"/>
      <c r="G38" s="1218"/>
      <c r="H38" s="1218"/>
      <c r="I38" s="1218"/>
      <c r="J38" s="1218"/>
      <c r="K38" s="1218"/>
      <c r="L38" s="1218"/>
      <c r="M38" s="1218"/>
      <c r="N38" s="1218"/>
      <c r="O38" s="1218"/>
      <c r="P38" s="1218"/>
      <c r="Q38" s="1218"/>
      <c r="R38" s="1218"/>
      <c r="S38" s="1218"/>
      <c r="T38" s="1218"/>
      <c r="U38" s="1218"/>
      <c r="V38" s="1218"/>
      <c r="W38" s="1218"/>
      <c r="X38" s="1218"/>
      <c r="Y38" s="1218" t="s">
        <v>1834</v>
      </c>
      <c r="Z38" s="1219" t="str">
        <f t="shared" si="1"/>
        <v>–</v>
      </c>
    </row>
    <row r="39" spans="1:26" ht="12.75" customHeight="1">
      <c r="A39" s="1223" t="s">
        <v>1848</v>
      </c>
      <c r="B39" s="1218"/>
      <c r="C39" s="1218"/>
      <c r="D39" s="1218"/>
      <c r="E39" s="1218"/>
      <c r="F39" s="1218"/>
      <c r="G39" s="1218"/>
      <c r="H39" s="1218"/>
      <c r="I39" s="1218"/>
      <c r="J39" s="1218"/>
      <c r="K39" s="1218"/>
      <c r="L39" s="1218"/>
      <c r="M39" s="1218"/>
      <c r="N39" s="1218"/>
      <c r="O39" s="1218"/>
      <c r="P39" s="1218"/>
      <c r="Q39" s="1218"/>
      <c r="R39" s="1218"/>
      <c r="S39" s="1218"/>
      <c r="T39" s="1218"/>
      <c r="U39" s="1218"/>
      <c r="V39" s="1218"/>
      <c r="W39" s="1218"/>
      <c r="X39" s="1218"/>
      <c r="Y39" s="1218">
        <v>1732.7929999999999</v>
      </c>
      <c r="Z39" s="1219" t="str">
        <f t="shared" si="1"/>
        <v>–</v>
      </c>
    </row>
    <row r="40" spans="1:26" ht="12.75" customHeight="1">
      <c r="A40" s="1223" t="s">
        <v>1849</v>
      </c>
      <c r="B40" s="1218"/>
      <c r="C40" s="1218"/>
      <c r="D40" s="1218"/>
      <c r="E40" s="1218"/>
      <c r="F40" s="1218"/>
      <c r="G40" s="1218"/>
      <c r="H40" s="1218"/>
      <c r="I40" s="1218"/>
      <c r="J40" s="1218"/>
      <c r="K40" s="1218"/>
      <c r="L40" s="1218"/>
      <c r="M40" s="1218"/>
      <c r="N40" s="1218"/>
      <c r="O40" s="1218"/>
      <c r="P40" s="1218"/>
      <c r="Q40" s="1218"/>
      <c r="R40" s="1218"/>
      <c r="S40" s="1218"/>
      <c r="T40" s="1218"/>
      <c r="U40" s="1218"/>
      <c r="V40" s="1218"/>
      <c r="W40" s="1218"/>
      <c r="X40" s="1218"/>
      <c r="Y40" s="1218">
        <v>23.438524999999998</v>
      </c>
      <c r="Z40" s="1219" t="str">
        <f t="shared" si="1"/>
        <v>–</v>
      </c>
    </row>
    <row r="41" spans="1:26" ht="12.75" customHeight="1">
      <c r="A41" s="1224" t="s">
        <v>1850</v>
      </c>
      <c r="B41" s="1218">
        <v>1852.2</v>
      </c>
      <c r="C41" s="1218">
        <v>1699.95</v>
      </c>
      <c r="D41" s="1218">
        <v>1710.45</v>
      </c>
      <c r="E41" s="1218">
        <v>1728.93</v>
      </c>
      <c r="F41" s="1218">
        <v>1743.58</v>
      </c>
      <c r="G41" s="1218">
        <v>1764.79</v>
      </c>
      <c r="H41" s="1218">
        <v>1779.07</v>
      </c>
      <c r="I41" s="1218">
        <v>1789.57</v>
      </c>
      <c r="J41" s="1218">
        <v>1794.19</v>
      </c>
      <c r="K41" s="1218">
        <v>1799.44</v>
      </c>
      <c r="L41" s="1218">
        <v>1753</v>
      </c>
      <c r="M41" s="1218">
        <v>1859.04</v>
      </c>
      <c r="N41" s="1218">
        <v>1884.82</v>
      </c>
      <c r="O41" s="1218">
        <v>1910.23</v>
      </c>
      <c r="P41" s="1218">
        <v>1970.03</v>
      </c>
      <c r="Q41" s="1218">
        <v>1915</v>
      </c>
      <c r="R41" s="1218">
        <v>1972</v>
      </c>
      <c r="S41" s="1218">
        <v>2019</v>
      </c>
      <c r="T41" s="1218">
        <v>2065</v>
      </c>
      <c r="U41" s="1218">
        <v>2078</v>
      </c>
      <c r="V41" s="1218">
        <v>2139</v>
      </c>
      <c r="W41" s="1218">
        <v>2161</v>
      </c>
      <c r="X41" s="1218">
        <v>2475.4</v>
      </c>
      <c r="Y41" s="1218">
        <v>768.78586889999997</v>
      </c>
      <c r="Z41" s="1219">
        <f t="shared" si="1"/>
        <v>-0.58493366326530616</v>
      </c>
    </row>
    <row r="42" spans="1:26" ht="12.75" customHeight="1">
      <c r="A42" s="1225" t="s">
        <v>1851</v>
      </c>
      <c r="B42" s="1218"/>
      <c r="C42" s="1218">
        <v>1361.64</v>
      </c>
      <c r="D42" s="1218">
        <v>1370.25</v>
      </c>
      <c r="E42" s="1218">
        <v>1385.79</v>
      </c>
      <c r="F42" s="1218">
        <v>1393.98</v>
      </c>
      <c r="G42" s="1218">
        <v>1413.09</v>
      </c>
      <c r="H42" s="1218">
        <v>1423.17</v>
      </c>
      <c r="I42" s="1218">
        <v>1431.36</v>
      </c>
      <c r="J42" s="1218">
        <v>1432.83</v>
      </c>
      <c r="K42" s="1218">
        <v>1433.67</v>
      </c>
      <c r="L42" s="1218"/>
      <c r="M42" s="1218">
        <v>1463.7</v>
      </c>
      <c r="N42" s="1218">
        <v>1479.03</v>
      </c>
      <c r="O42" s="1218">
        <v>1494.78</v>
      </c>
      <c r="P42" s="1218">
        <v>1537.41</v>
      </c>
      <c r="Q42" s="1218"/>
      <c r="R42" s="1218"/>
      <c r="S42" s="1218"/>
      <c r="T42" s="1218"/>
      <c r="U42" s="1218"/>
      <c r="V42" s="1218"/>
      <c r="W42" s="1218"/>
      <c r="X42" s="1218"/>
      <c r="Y42" s="1218">
        <v>627.91029000000003</v>
      </c>
      <c r="Z42" s="1219" t="str">
        <f t="shared" si="1"/>
        <v>–</v>
      </c>
    </row>
    <row r="43" spans="1:26" ht="12.75" customHeight="1">
      <c r="A43" s="1225" t="s">
        <v>1852</v>
      </c>
      <c r="B43" s="1218">
        <v>223.2</v>
      </c>
      <c r="C43" s="1218">
        <v>338.31</v>
      </c>
      <c r="D43" s="1218">
        <v>340.2</v>
      </c>
      <c r="E43" s="1218">
        <v>343.14</v>
      </c>
      <c r="F43" s="1218">
        <v>349.6</v>
      </c>
      <c r="G43" s="1218">
        <v>351.7</v>
      </c>
      <c r="H43" s="1218">
        <v>355.9</v>
      </c>
      <c r="I43" s="1218">
        <v>358.21</v>
      </c>
      <c r="J43" s="1218">
        <v>361.36</v>
      </c>
      <c r="K43" s="1218">
        <v>365.77</v>
      </c>
      <c r="L43" s="1218"/>
      <c r="M43" s="1218">
        <v>311.64</v>
      </c>
      <c r="N43" s="1218">
        <v>318.99</v>
      </c>
      <c r="O43" s="1218">
        <v>328.65</v>
      </c>
      <c r="P43" s="1218">
        <v>342.72</v>
      </c>
      <c r="Q43" s="1218"/>
      <c r="R43" s="1218"/>
      <c r="S43" s="1218"/>
      <c r="T43" s="1218"/>
      <c r="U43" s="1218"/>
      <c r="V43" s="1218"/>
      <c r="W43" s="1218"/>
      <c r="X43" s="1218">
        <v>291.39999999999998</v>
      </c>
      <c r="Y43" s="1218">
        <v>55.109923999999999</v>
      </c>
      <c r="Z43" s="1219">
        <f t="shared" si="1"/>
        <v>-0.75309173835125442</v>
      </c>
    </row>
    <row r="44" spans="1:26" ht="12.75" customHeight="1">
      <c r="A44" s="1225" t="s">
        <v>1853</v>
      </c>
      <c r="B44" s="1218"/>
      <c r="C44" s="1218"/>
      <c r="D44" s="1218"/>
      <c r="E44" s="1218"/>
      <c r="F44" s="1218"/>
      <c r="G44" s="1218"/>
      <c r="H44" s="1218"/>
      <c r="I44" s="1218"/>
      <c r="J44" s="1218"/>
      <c r="K44" s="1218"/>
      <c r="L44" s="1218"/>
      <c r="M44" s="1218">
        <v>83.7</v>
      </c>
      <c r="N44" s="1218">
        <v>86.8</v>
      </c>
      <c r="O44" s="1218">
        <v>86.8</v>
      </c>
      <c r="P44" s="1218">
        <v>89.9</v>
      </c>
      <c r="Q44" s="1218"/>
      <c r="R44" s="1218"/>
      <c r="S44" s="1218"/>
      <c r="T44" s="1218"/>
      <c r="U44" s="1218"/>
      <c r="V44" s="1218"/>
      <c r="W44" s="1218"/>
      <c r="X44" s="1218"/>
      <c r="Y44" s="1218">
        <v>26.154054899999998</v>
      </c>
      <c r="Z44" s="1219" t="str">
        <f t="shared" si="1"/>
        <v>–</v>
      </c>
    </row>
    <row r="45" spans="1:26" ht="12.75" customHeight="1">
      <c r="A45" s="1225" t="s">
        <v>1854</v>
      </c>
      <c r="B45" s="1218"/>
      <c r="C45" s="1218"/>
      <c r="D45" s="1218"/>
      <c r="E45" s="1218"/>
      <c r="F45" s="1218"/>
      <c r="G45" s="1218"/>
      <c r="H45" s="1218"/>
      <c r="I45" s="1218"/>
      <c r="J45" s="1218"/>
      <c r="K45" s="1218"/>
      <c r="L45" s="1218"/>
      <c r="M45" s="1218"/>
      <c r="N45" s="1218"/>
      <c r="O45" s="1218"/>
      <c r="P45" s="1218"/>
      <c r="Q45" s="1218"/>
      <c r="R45" s="1218"/>
      <c r="S45" s="1218"/>
      <c r="T45" s="1218"/>
      <c r="U45" s="1218"/>
      <c r="V45" s="1218"/>
      <c r="W45" s="1218"/>
      <c r="X45" s="1218"/>
      <c r="Y45" s="1218">
        <v>59.611600000000003</v>
      </c>
      <c r="Z45" s="1219" t="str">
        <f t="shared" si="1"/>
        <v>–</v>
      </c>
    </row>
    <row r="46" spans="1:26" ht="12.75" customHeight="1">
      <c r="A46" s="1224" t="s">
        <v>1855</v>
      </c>
      <c r="B46" s="1218"/>
      <c r="C46" s="1218"/>
      <c r="D46" s="1218"/>
      <c r="E46" s="1218"/>
      <c r="F46" s="1218"/>
      <c r="G46" s="1218"/>
      <c r="H46" s="1218"/>
      <c r="I46" s="1218"/>
      <c r="J46" s="1218"/>
      <c r="K46" s="1218"/>
      <c r="L46" s="1218"/>
      <c r="M46" s="1218"/>
      <c r="N46" s="1218"/>
      <c r="O46" s="1218"/>
      <c r="P46" s="1218"/>
      <c r="Q46" s="1218"/>
      <c r="R46" s="1218"/>
      <c r="S46" s="1218"/>
      <c r="T46" s="1218"/>
      <c r="U46" s="1218"/>
      <c r="V46" s="1218"/>
      <c r="W46" s="1218"/>
      <c r="X46" s="1218"/>
      <c r="Y46" s="1218" t="s">
        <v>1824</v>
      </c>
      <c r="Z46" s="1219" t="str">
        <f t="shared" si="1"/>
        <v>–</v>
      </c>
    </row>
    <row r="47" spans="1:26" ht="26.25" customHeight="1">
      <c r="A47" s="1226" t="s">
        <v>1856</v>
      </c>
      <c r="B47" s="1212" t="str">
        <f t="shared" ref="B47:Y47" ca="1" si="2">IF(COLUMN() &lt;= 2, "", SUBSTITUTE(INDIRECT(ADDRESS(1,COLUMN()-1)), "Base year", "BY") &amp; "/" &amp; INDIRECT(ADDRESS(1,COLUMN())))</f>
        <v/>
      </c>
      <c r="C47" s="1212" t="str">
        <f t="shared" ca="1" si="2"/>
        <v>1990/1991</v>
      </c>
      <c r="D47" s="1212" t="str">
        <f t="shared" ca="1" si="2"/>
        <v>1991/1992</v>
      </c>
      <c r="E47" s="1212" t="str">
        <f t="shared" ca="1" si="2"/>
        <v>1992/1993</v>
      </c>
      <c r="F47" s="1212" t="str">
        <f t="shared" ca="1" si="2"/>
        <v>1993/1994</v>
      </c>
      <c r="G47" s="1212" t="str">
        <f t="shared" ca="1" si="2"/>
        <v>1994/1995</v>
      </c>
      <c r="H47" s="1212" t="str">
        <f t="shared" ca="1" si="2"/>
        <v>1995/1996</v>
      </c>
      <c r="I47" s="1212" t="str">
        <f t="shared" ca="1" si="2"/>
        <v>1996/1997</v>
      </c>
      <c r="J47" s="1212" t="str">
        <f t="shared" ca="1" si="2"/>
        <v>1997/1998</v>
      </c>
      <c r="K47" s="1212" t="str">
        <f t="shared" ca="1" si="2"/>
        <v>1998/1999</v>
      </c>
      <c r="L47" s="1212" t="str">
        <f t="shared" ca="1" si="2"/>
        <v>1999/2000</v>
      </c>
      <c r="M47" s="1212" t="str">
        <f t="shared" ca="1" si="2"/>
        <v>2000/2001</v>
      </c>
      <c r="N47" s="1212" t="str">
        <f t="shared" ca="1" si="2"/>
        <v>2001/2002</v>
      </c>
      <c r="O47" s="1212" t="str">
        <f t="shared" ca="1" si="2"/>
        <v>2002/2003</v>
      </c>
      <c r="P47" s="1212" t="str">
        <f t="shared" ca="1" si="2"/>
        <v>2003/2004</v>
      </c>
      <c r="Q47" s="1212" t="str">
        <f t="shared" ca="1" si="2"/>
        <v>2004/2005</v>
      </c>
      <c r="R47" s="1212" t="str">
        <f t="shared" ca="1" si="2"/>
        <v>2005/2006</v>
      </c>
      <c r="S47" s="1212" t="str">
        <f t="shared" ca="1" si="2"/>
        <v>2006/2007</v>
      </c>
      <c r="T47" s="1212" t="str">
        <f t="shared" ca="1" si="2"/>
        <v>2007/2008</v>
      </c>
      <c r="U47" s="1212" t="str">
        <f t="shared" ca="1" si="2"/>
        <v>2008/2009</v>
      </c>
      <c r="V47" s="1212" t="str">
        <f t="shared" ca="1" si="2"/>
        <v>2009/2010</v>
      </c>
      <c r="W47" s="1212" t="str">
        <f t="shared" ca="1" si="2"/>
        <v>2010/2011</v>
      </c>
      <c r="X47" s="1212" t="str">
        <f t="shared" ca="1" si="2"/>
        <v>2011/2012</v>
      </c>
      <c r="Y47" s="1212" t="str">
        <f t="shared" ca="1" si="2"/>
        <v>2012/2013</v>
      </c>
      <c r="Z47" s="1212" t="str">
        <f ca="1">OFFSET($B$1,0,0,1,1) &amp; "/" &amp; INDIRECT(ADDRESS(1,COLUMN()-1))</f>
        <v>1990/2013</v>
      </c>
    </row>
    <row r="48" spans="1:26" ht="12.75" customHeight="1">
      <c r="A48" s="1215" t="s">
        <v>1810</v>
      </c>
      <c r="B48" s="1216"/>
      <c r="C48" s="1216"/>
      <c r="D48" s="1216"/>
      <c r="E48" s="1216"/>
      <c r="F48" s="1216"/>
      <c r="G48" s="1216"/>
      <c r="H48" s="1216"/>
      <c r="I48" s="1216"/>
      <c r="J48" s="1216"/>
      <c r="K48" s="1216"/>
      <c r="L48" s="1216"/>
      <c r="M48" s="1216"/>
      <c r="N48" s="1216"/>
      <c r="O48" s="1216"/>
      <c r="P48" s="1216"/>
      <c r="Q48" s="1216"/>
      <c r="R48" s="1216"/>
      <c r="S48" s="1216"/>
      <c r="T48" s="1216"/>
      <c r="U48" s="1216"/>
      <c r="V48" s="1216"/>
      <c r="W48" s="1216"/>
      <c r="X48" s="1216"/>
      <c r="Y48" s="1216"/>
      <c r="Z48" s="1216"/>
    </row>
    <row r="49" spans="1:26" ht="13.5" customHeight="1">
      <c r="A49" s="1217" t="s">
        <v>1811</v>
      </c>
      <c r="B49" s="1219" t="str">
        <f t="shared" ref="B49:K54" si="3">IFERROR(IF(OR(SECTOR_AAC=0,SECTOR_AAC=-1),CHAR(150),SECTOR_AAC),IF(COLUMN()&lt;=2,"",CHAR(150)))</f>
        <v/>
      </c>
      <c r="C49" s="1219">
        <f t="shared" si="3"/>
        <v>-7.1426079454708136E-2</v>
      </c>
      <c r="D49" s="1219">
        <f t="shared" si="3"/>
        <v>-0.1417066109508287</v>
      </c>
      <c r="E49" s="1219">
        <f t="shared" si="3"/>
        <v>-0.12145147517166266</v>
      </c>
      <c r="F49" s="1219">
        <f t="shared" si="3"/>
        <v>-0.12427656898612593</v>
      </c>
      <c r="G49" s="1219">
        <f t="shared" si="3"/>
        <v>6.6778261869220534E-2</v>
      </c>
      <c r="H49" s="1219">
        <f t="shared" si="3"/>
        <v>-0.18039569107814668</v>
      </c>
      <c r="I49" s="1219">
        <f t="shared" si="3"/>
        <v>-3.4399836613957735E-2</v>
      </c>
      <c r="J49" s="1219">
        <f t="shared" si="3"/>
        <v>-1.2718498207362594E-2</v>
      </c>
      <c r="K49" s="1219">
        <f t="shared" si="3"/>
        <v>-2.4425377384612479E-2</v>
      </c>
      <c r="L49" s="1219">
        <f t="shared" ref="L49:Y54" si="4">IFERROR(IF(OR(SECTOR_AAC=0,SECTOR_AAC=-1),CHAR(150),SECTOR_AAC),IF(COLUMN()&lt;=2,"",CHAR(150)))</f>
        <v>4.0940821873570288E-2</v>
      </c>
      <c r="M49" s="1219">
        <f t="shared" si="4"/>
        <v>-2.6442042533946664E-2</v>
      </c>
      <c r="N49" s="1219">
        <f t="shared" si="4"/>
        <v>-7.4963309687482438E-3</v>
      </c>
      <c r="O49" s="1219">
        <f t="shared" si="4"/>
        <v>9.6382168159098613E-2</v>
      </c>
      <c r="P49" s="1219">
        <f t="shared" si="4"/>
        <v>7.4109853981823015E-2</v>
      </c>
      <c r="Q49" s="1219">
        <f t="shared" si="4"/>
        <v>7.4573798445902062E-2</v>
      </c>
      <c r="R49" s="1219">
        <f t="shared" si="4"/>
        <v>-3.2756614766412229E-2</v>
      </c>
      <c r="S49" s="1219">
        <f t="shared" si="4"/>
        <v>-0.14648372207165306</v>
      </c>
      <c r="T49" s="1219">
        <f t="shared" si="4"/>
        <v>0.10239876686166083</v>
      </c>
      <c r="U49" s="1219">
        <f t="shared" si="4"/>
        <v>-0.16696661497849985</v>
      </c>
      <c r="V49" s="1219">
        <f t="shared" si="4"/>
        <v>-1.7895668405650378E-2</v>
      </c>
      <c r="W49" s="1219">
        <f t="shared" si="4"/>
        <v>6.3306480467275383E-2</v>
      </c>
      <c r="X49" s="1219">
        <f t="shared" si="4"/>
        <v>6.2807583142921564E-2</v>
      </c>
      <c r="Y49" s="1219">
        <f t="shared" si="4"/>
        <v>0.31429987863842324</v>
      </c>
      <c r="Z49" s="1219">
        <f t="shared" ref="Z49:Z54" si="5">IFERROR(IF(OR(SECTOR_AAC_TOTAL=0,SECTOR_AAC_TOTAL=-1),CHAR(150),SECTOR_AAC_TOTAL),CHAR(150))</f>
        <v>-1.5275117783325354E-2</v>
      </c>
    </row>
    <row r="50" spans="1:26" ht="13.5" customHeight="1">
      <c r="A50" s="1217" t="s">
        <v>1812</v>
      </c>
      <c r="B50" s="1219" t="str">
        <f t="shared" si="3"/>
        <v/>
      </c>
      <c r="C50" s="1219">
        <f t="shared" si="3"/>
        <v>-1.0840108401083959E-2</v>
      </c>
      <c r="D50" s="1219">
        <f t="shared" si="3"/>
        <v>-7.9452054794520999E-3</v>
      </c>
      <c r="E50" s="1219">
        <f t="shared" si="3"/>
        <v>-8.2850041425019949E-4</v>
      </c>
      <c r="F50" s="1219">
        <f t="shared" si="3"/>
        <v>2.6810392482034207E-2</v>
      </c>
      <c r="G50" s="1219">
        <f t="shared" si="3"/>
        <v>2.0188425302826385E-2</v>
      </c>
      <c r="H50" s="1219">
        <f t="shared" si="3"/>
        <v>1.715039577836408E-2</v>
      </c>
      <c r="I50" s="1219">
        <f t="shared" si="3"/>
        <v>5.5252918287937769E-2</v>
      </c>
      <c r="J50" s="1219">
        <f t="shared" si="3"/>
        <v>0.11996066863323507</v>
      </c>
      <c r="K50" s="1219">
        <f t="shared" si="3"/>
        <v>1.3608428446005183E-2</v>
      </c>
      <c r="L50" s="1219">
        <f t="shared" si="4"/>
        <v>5.4569077522737208E-2</v>
      </c>
      <c r="M50" s="1219">
        <f t="shared" si="4"/>
        <v>4.7227926078028393E-3</v>
      </c>
      <c r="N50" s="1219">
        <f t="shared" si="4"/>
        <v>4.0057224606580899E-2</v>
      </c>
      <c r="O50" s="1219">
        <f t="shared" si="4"/>
        <v>2.6724307329534236E-2</v>
      </c>
      <c r="P50" s="1219">
        <f t="shared" si="4"/>
        <v>9.7607655502391921E-3</v>
      </c>
      <c r="Q50" s="1219">
        <f t="shared" si="4"/>
        <v>1.3836239575435894E-2</v>
      </c>
      <c r="R50" s="1219">
        <f t="shared" si="4"/>
        <v>7.478033277248386E-4</v>
      </c>
      <c r="S50" s="1219">
        <f t="shared" si="4"/>
        <v>1.5878946385204484E-2</v>
      </c>
      <c r="T50" s="1219">
        <f t="shared" si="4"/>
        <v>-1.0114012504597314E-2</v>
      </c>
      <c r="U50" s="1219">
        <f t="shared" si="4"/>
        <v>-4.2727103845439096E-3</v>
      </c>
      <c r="V50" s="1219">
        <f t="shared" si="4"/>
        <v>9.3283582089551675E-3</v>
      </c>
      <c r="W50" s="1219">
        <f t="shared" si="4"/>
        <v>4.6210720887245316E-3</v>
      </c>
      <c r="X50" s="1219">
        <f t="shared" si="4"/>
        <v>1.2879484820607079E-3</v>
      </c>
      <c r="Y50" s="1219">
        <f t="shared" si="4"/>
        <v>0.13929935685409789</v>
      </c>
      <c r="Z50" s="1219">
        <f t="shared" si="5"/>
        <v>2.2818787430683551E-2</v>
      </c>
    </row>
    <row r="51" spans="1:26" ht="13.5" customHeight="1">
      <c r="A51" s="1217" t="s">
        <v>1813</v>
      </c>
      <c r="B51" s="1219" t="str">
        <f t="shared" si="3"/>
        <v/>
      </c>
      <c r="C51" s="1219">
        <f t="shared" si="3"/>
        <v>-7.5708574847046406E-2</v>
      </c>
      <c r="D51" s="1219">
        <f t="shared" si="3"/>
        <v>-0.15182504322149004</v>
      </c>
      <c r="E51" s="1219">
        <f t="shared" si="3"/>
        <v>-0.1321238889616495</v>
      </c>
      <c r="F51" s="1219">
        <f t="shared" si="3"/>
        <v>-0.13966668562396634</v>
      </c>
      <c r="G51" s="1219">
        <f t="shared" si="3"/>
        <v>7.2442345099497096E-2</v>
      </c>
      <c r="H51" s="1219">
        <f t="shared" si="3"/>
        <v>-0.20324185607245349</v>
      </c>
      <c r="I51" s="1219">
        <f t="shared" si="3"/>
        <v>-4.7636154179643397E-2</v>
      </c>
      <c r="J51" s="1219">
        <f t="shared" si="3"/>
        <v>-3.4423505510511543E-2</v>
      </c>
      <c r="K51" s="1219">
        <f t="shared" si="3"/>
        <v>-3.1642150829973348E-2</v>
      </c>
      <c r="L51" s="1219">
        <f t="shared" si="4"/>
        <v>3.8234073436911986E-2</v>
      </c>
      <c r="M51" s="1219">
        <f t="shared" si="4"/>
        <v>-3.2729169221184184E-2</v>
      </c>
      <c r="N51" s="1219">
        <f t="shared" si="4"/>
        <v>-1.746112980002279E-2</v>
      </c>
      <c r="O51" s="1219">
        <f t="shared" si="4"/>
        <v>0.11183340212871951</v>
      </c>
      <c r="P51" s="1219">
        <f t="shared" si="4"/>
        <v>8.7290890444469582E-2</v>
      </c>
      <c r="Q51" s="1219">
        <f t="shared" si="4"/>
        <v>8.6127928136466858E-2</v>
      </c>
      <c r="R51" s="1219">
        <f t="shared" si="4"/>
        <v>-3.8705955112166457E-2</v>
      </c>
      <c r="S51" s="1219">
        <f t="shared" si="4"/>
        <v>-0.17649754451081356</v>
      </c>
      <c r="T51" s="1219">
        <f t="shared" si="4"/>
        <v>0.12805624945747041</v>
      </c>
      <c r="U51" s="1219">
        <f t="shared" si="4"/>
        <v>-0.1995231287039495</v>
      </c>
      <c r="V51" s="1219">
        <f t="shared" si="4"/>
        <v>-2.467224877049734E-2</v>
      </c>
      <c r="W51" s="1219">
        <f t="shared" si="4"/>
        <v>7.842364213023334E-2</v>
      </c>
      <c r="X51" s="1219">
        <f t="shared" si="4"/>
        <v>7.7570315870063355E-2</v>
      </c>
      <c r="Y51" s="1219">
        <f t="shared" si="4"/>
        <v>0.35332153704065639</v>
      </c>
      <c r="Z51" s="1219">
        <f t="shared" si="5"/>
        <v>-1.9706422654473088E-2</v>
      </c>
    </row>
    <row r="52" spans="1:26" ht="12.75" customHeight="1">
      <c r="A52" s="1217" t="s">
        <v>1814</v>
      </c>
      <c r="B52" s="1219" t="str">
        <f t="shared" si="3"/>
        <v/>
      </c>
      <c r="C52" s="1219">
        <f t="shared" si="3"/>
        <v>-9.2890202979378222E-2</v>
      </c>
      <c r="D52" s="1219">
        <f t="shared" si="3"/>
        <v>-0.13465900623954474</v>
      </c>
      <c r="E52" s="1219">
        <f t="shared" si="3"/>
        <v>-0.11738438690492203</v>
      </c>
      <c r="F52" s="1219">
        <f t="shared" si="3"/>
        <v>-0.11364173668949917</v>
      </c>
      <c r="G52" s="1219">
        <f t="shared" si="3"/>
        <v>5.4917934204459229E-2</v>
      </c>
      <c r="H52" s="1219">
        <f t="shared" si="3"/>
        <v>-0.15193729735460337</v>
      </c>
      <c r="I52" s="1219">
        <f t="shared" si="3"/>
        <v>-2.4765575683616148E-2</v>
      </c>
      <c r="J52" s="1219">
        <f t="shared" si="3"/>
        <v>-1.2625393009579655E-2</v>
      </c>
      <c r="K52" s="1219">
        <f t="shared" si="3"/>
        <v>6.9236568880970406E-3</v>
      </c>
      <c r="L52" s="1219">
        <f t="shared" si="4"/>
        <v>3.9235358944159637E-2</v>
      </c>
      <c r="M52" s="1219">
        <f t="shared" si="4"/>
        <v>5.0294772858743286E-3</v>
      </c>
      <c r="N52" s="1219">
        <f t="shared" si="4"/>
        <v>-1.2008674264893937E-3</v>
      </c>
      <c r="O52" s="1219">
        <f t="shared" si="4"/>
        <v>7.1223270154162188E-2</v>
      </c>
      <c r="P52" s="1219">
        <f t="shared" si="4"/>
        <v>5.8961740452968536E-2</v>
      </c>
      <c r="Q52" s="1219">
        <f t="shared" si="4"/>
        <v>6.6202608043759659E-2</v>
      </c>
      <c r="R52" s="1219">
        <f t="shared" si="4"/>
        <v>-1.7606572579769164E-3</v>
      </c>
      <c r="S52" s="1219">
        <f t="shared" si="4"/>
        <v>-4.653782371107118E-2</v>
      </c>
      <c r="T52" s="1219">
        <f t="shared" si="4"/>
        <v>0.14560246146872258</v>
      </c>
      <c r="U52" s="1219">
        <f t="shared" si="4"/>
        <v>-0.10222679479965802</v>
      </c>
      <c r="V52" s="1219">
        <f t="shared" si="4"/>
        <v>-4.8372234440989814E-3</v>
      </c>
      <c r="W52" s="1219">
        <f t="shared" si="4"/>
        <v>2.2483010838265205E-2</v>
      </c>
      <c r="X52" s="1219">
        <f t="shared" si="4"/>
        <v>5.4457133377638689E-2</v>
      </c>
      <c r="Y52" s="1219">
        <f t="shared" si="4"/>
        <v>0.11950484396904093</v>
      </c>
      <c r="Z52" s="1219">
        <f t="shared" si="5"/>
        <v>-1.018160848727756E-2</v>
      </c>
    </row>
    <row r="53" spans="1:26" ht="12.75" customHeight="1">
      <c r="A53" s="1217" t="s">
        <v>1815</v>
      </c>
      <c r="B53" s="1219" t="str">
        <f t="shared" si="3"/>
        <v/>
      </c>
      <c r="C53" s="1219">
        <f t="shared" si="3"/>
        <v>-1.0840108401083959E-2</v>
      </c>
      <c r="D53" s="1219">
        <f t="shared" si="3"/>
        <v>-7.9452054794520999E-3</v>
      </c>
      <c r="E53" s="1219">
        <f t="shared" si="3"/>
        <v>-8.2850041425019949E-4</v>
      </c>
      <c r="F53" s="1219">
        <f t="shared" si="3"/>
        <v>2.6810392482034207E-2</v>
      </c>
      <c r="G53" s="1219">
        <f t="shared" si="3"/>
        <v>2.0188425302826385E-2</v>
      </c>
      <c r="H53" s="1219">
        <f t="shared" si="3"/>
        <v>1.715039577836408E-2</v>
      </c>
      <c r="I53" s="1219">
        <f t="shared" si="3"/>
        <v>5.5252918287937769E-2</v>
      </c>
      <c r="J53" s="1219">
        <f t="shared" si="3"/>
        <v>0.11996066863323507</v>
      </c>
      <c r="K53" s="1219">
        <f t="shared" si="3"/>
        <v>1.3608428446005183E-2</v>
      </c>
      <c r="L53" s="1219">
        <f t="shared" si="4"/>
        <v>5.4569077522737208E-2</v>
      </c>
      <c r="M53" s="1219">
        <f t="shared" si="4"/>
        <v>4.7227926078028393E-3</v>
      </c>
      <c r="N53" s="1219">
        <f t="shared" si="4"/>
        <v>4.0057224606580899E-2</v>
      </c>
      <c r="O53" s="1219">
        <f t="shared" si="4"/>
        <v>2.6724307329534236E-2</v>
      </c>
      <c r="P53" s="1219">
        <f t="shared" si="4"/>
        <v>9.7607655502391921E-3</v>
      </c>
      <c r="Q53" s="1219">
        <f t="shared" si="4"/>
        <v>1.3836239575435894E-2</v>
      </c>
      <c r="R53" s="1219">
        <f t="shared" si="4"/>
        <v>7.478033277248386E-4</v>
      </c>
      <c r="S53" s="1219">
        <f t="shared" si="4"/>
        <v>1.5878946385204484E-2</v>
      </c>
      <c r="T53" s="1219">
        <f t="shared" si="4"/>
        <v>-1.0114012504597314E-2</v>
      </c>
      <c r="U53" s="1219">
        <f t="shared" si="4"/>
        <v>-4.2727103845439096E-3</v>
      </c>
      <c r="V53" s="1219">
        <f t="shared" si="4"/>
        <v>9.3283582089551675E-3</v>
      </c>
      <c r="W53" s="1219">
        <f t="shared" si="4"/>
        <v>4.6210720887245316E-3</v>
      </c>
      <c r="X53" s="1219">
        <f t="shared" si="4"/>
        <v>1.2879484820607079E-3</v>
      </c>
      <c r="Y53" s="1219">
        <f t="shared" si="4"/>
        <v>0.13894077085630285</v>
      </c>
      <c r="Z53" s="1219">
        <f t="shared" si="5"/>
        <v>2.2804788601380466E-2</v>
      </c>
    </row>
    <row r="54" spans="1:26" ht="12.75" customHeight="1">
      <c r="A54" s="1217" t="s">
        <v>1816</v>
      </c>
      <c r="B54" s="1219" t="str">
        <f t="shared" si="3"/>
        <v/>
      </c>
      <c r="C54" s="1219">
        <f t="shared" si="3"/>
        <v>-9.7234294529740528E-2</v>
      </c>
      <c r="D54" s="1219">
        <f t="shared" si="3"/>
        <v>-0.14200981707262805</v>
      </c>
      <c r="E54" s="1219">
        <f t="shared" si="3"/>
        <v>-0.12520244480525189</v>
      </c>
      <c r="F54" s="1219">
        <f t="shared" si="3"/>
        <v>-0.12440206382475028</v>
      </c>
      <c r="G54" s="1219">
        <f t="shared" si="3"/>
        <v>5.8038126184097649E-2</v>
      </c>
      <c r="H54" s="1219">
        <f t="shared" si="3"/>
        <v>-0.16658514274533875</v>
      </c>
      <c r="I54" s="1219">
        <f t="shared" si="3"/>
        <v>-3.3225686573775115E-2</v>
      </c>
      <c r="J54" s="1219">
        <f t="shared" si="3"/>
        <v>-2.7926223774041525E-2</v>
      </c>
      <c r="K54" s="1219">
        <f t="shared" si="3"/>
        <v>6.0348503194276315E-3</v>
      </c>
      <c r="L54" s="1219">
        <f t="shared" si="4"/>
        <v>3.7181241072661297E-2</v>
      </c>
      <c r="M54" s="1219">
        <f t="shared" si="4"/>
        <v>5.0712497727558592E-3</v>
      </c>
      <c r="N54" s="1219">
        <f t="shared" si="4"/>
        <v>-6.8185448391048231E-3</v>
      </c>
      <c r="O54" s="1219">
        <f t="shared" si="4"/>
        <v>7.7568190561206452E-2</v>
      </c>
      <c r="P54" s="1219">
        <f t="shared" si="4"/>
        <v>6.5646088874304898E-2</v>
      </c>
      <c r="Q54" s="1219">
        <f t="shared" si="4"/>
        <v>7.2943902931781102E-2</v>
      </c>
      <c r="R54" s="1219">
        <f t="shared" si="4"/>
        <v>-2.0657900930765027E-3</v>
      </c>
      <c r="S54" s="1219">
        <f t="shared" si="4"/>
        <v>-5.4151697766657181E-2</v>
      </c>
      <c r="T54" s="1219">
        <f t="shared" si="4"/>
        <v>0.16600383604139424</v>
      </c>
      <c r="U54" s="1219">
        <f t="shared" si="4"/>
        <v>-0.11312192979084867</v>
      </c>
      <c r="V54" s="1219">
        <f t="shared" si="4"/>
        <v>-6.6061954953925417E-3</v>
      </c>
      <c r="W54" s="1219">
        <f t="shared" si="4"/>
        <v>2.4749356681367241E-2</v>
      </c>
      <c r="X54" s="1219">
        <f t="shared" si="4"/>
        <v>6.1070798779224722E-2</v>
      </c>
      <c r="Y54" s="1219">
        <f t="shared" si="4"/>
        <v>0.11722344048794353</v>
      </c>
      <c r="Z54" s="1219">
        <f t="shared" si="5"/>
        <v>-1.282205125162883E-2</v>
      </c>
    </row>
    <row r="55" spans="1:26" ht="12.75" customHeight="1">
      <c r="A55" s="1227"/>
      <c r="B55" s="1221"/>
      <c r="C55" s="1221"/>
      <c r="D55" s="1221"/>
      <c r="E55" s="1221"/>
      <c r="F55" s="1221"/>
      <c r="G55" s="1221"/>
      <c r="H55" s="1221"/>
      <c r="I55" s="1221"/>
      <c r="J55" s="1221"/>
      <c r="K55" s="1221"/>
      <c r="L55" s="1221"/>
      <c r="M55" s="1221"/>
      <c r="N55" s="1221"/>
      <c r="O55" s="1221"/>
      <c r="P55" s="1221"/>
      <c r="Q55" s="1221"/>
      <c r="R55" s="1221"/>
      <c r="S55" s="1221"/>
      <c r="T55" s="1221"/>
      <c r="U55" s="1221"/>
      <c r="V55" s="1221"/>
      <c r="W55" s="1221"/>
      <c r="X55" s="1221"/>
      <c r="Y55" s="1221"/>
      <c r="Z55" s="1221"/>
    </row>
    <row r="56" spans="1:26" ht="12.75" customHeight="1">
      <c r="A56" s="1222" t="s">
        <v>1817</v>
      </c>
      <c r="B56" s="1216"/>
      <c r="C56" s="1216"/>
      <c r="D56" s="1216"/>
      <c r="E56" s="1216"/>
      <c r="F56" s="1216"/>
      <c r="G56" s="1216"/>
      <c r="H56" s="1216"/>
      <c r="I56" s="1216"/>
      <c r="J56" s="1216"/>
      <c r="K56" s="1216"/>
      <c r="L56" s="1216"/>
      <c r="M56" s="1216"/>
      <c r="N56" s="1216"/>
      <c r="O56" s="1216"/>
      <c r="P56" s="1216"/>
      <c r="Q56" s="1216"/>
      <c r="R56" s="1216"/>
      <c r="S56" s="1216"/>
      <c r="T56" s="1216"/>
      <c r="U56" s="1216"/>
      <c r="V56" s="1216"/>
      <c r="W56" s="1216"/>
      <c r="X56" s="1216"/>
      <c r="Y56" s="1216"/>
      <c r="Z56" s="1216"/>
    </row>
    <row r="57" spans="1:26" ht="12.75" customHeight="1">
      <c r="A57" s="1217" t="s">
        <v>1818</v>
      </c>
      <c r="B57" s="1219" t="str">
        <f t="shared" ref="B57:K66" si="6">IFERROR(IF(OR(SECTOR_AAC=0,SECTOR_AAC=-1),CHAR(150),SECTOR_AAC),IF(COLUMN()&lt;=2,"",CHAR(150)))</f>
        <v/>
      </c>
      <c r="C57" s="1219">
        <f t="shared" si="6"/>
        <v>-7.597950185692004E-2</v>
      </c>
      <c r="D57" s="1219">
        <f t="shared" si="6"/>
        <v>-0.15174718235339457</v>
      </c>
      <c r="E57" s="1219">
        <f t="shared" si="6"/>
        <v>-0.11884072330345041</v>
      </c>
      <c r="F57" s="1219">
        <f t="shared" si="6"/>
        <v>-0.11182591427198285</v>
      </c>
      <c r="G57" s="1219">
        <f t="shared" si="6"/>
        <v>7.1292674248662147E-2</v>
      </c>
      <c r="H57" s="1219">
        <f t="shared" si="6"/>
        <v>-0.17455257012184822</v>
      </c>
      <c r="I57" s="1219">
        <f t="shared" si="6"/>
        <v>-3.9413917426238121E-2</v>
      </c>
      <c r="J57" s="1219">
        <f t="shared" si="6"/>
        <v>-2.327696633214249E-2</v>
      </c>
      <c r="K57" s="1219">
        <f t="shared" si="6"/>
        <v>-1.3019355215817652E-2</v>
      </c>
      <c r="L57" s="1219">
        <f t="shared" ref="L57:Y66" si="7">IFERROR(IF(OR(SECTOR_AAC=0,SECTOR_AAC=-1),CHAR(150),SECTOR_AAC),IF(COLUMN()&lt;=2,"",CHAR(150)))</f>
        <v>2.6798307475317307E-2</v>
      </c>
      <c r="M57" s="1219">
        <f t="shared" si="7"/>
        <v>-8.4099326088276083E-3</v>
      </c>
      <c r="N57" s="1219">
        <f t="shared" si="7"/>
        <v>-1.7671229354023432E-2</v>
      </c>
      <c r="O57" s="1219">
        <f t="shared" si="7"/>
        <v>7.9588677665886731E-2</v>
      </c>
      <c r="P57" s="1219">
        <f t="shared" si="7"/>
        <v>5.8090645482087311E-2</v>
      </c>
      <c r="Q57" s="1219">
        <f t="shared" si="7"/>
        <v>6.8331064361500271E-2</v>
      </c>
      <c r="R57" s="1219">
        <f t="shared" si="7"/>
        <v>-1.4489829794297582E-2</v>
      </c>
      <c r="S57" s="1219">
        <f t="shared" si="7"/>
        <v>-7.6973706372712836E-2</v>
      </c>
      <c r="T57" s="1219">
        <f t="shared" si="7"/>
        <v>0.19307367085338267</v>
      </c>
      <c r="U57" s="1219">
        <f t="shared" si="7"/>
        <v>-0.1256247352816604</v>
      </c>
      <c r="V57" s="1219">
        <f t="shared" si="7"/>
        <v>-1.6052552261620279E-2</v>
      </c>
      <c r="W57" s="1219">
        <f t="shared" si="7"/>
        <v>2.4445678245862634E-2</v>
      </c>
      <c r="X57" s="1219">
        <f t="shared" si="7"/>
        <v>5.0845647617903333E-2</v>
      </c>
      <c r="Y57" s="1219">
        <f t="shared" si="7"/>
        <v>0.25078532542364251</v>
      </c>
      <c r="Z57" s="1219">
        <f t="shared" ref="Z57:Z92" si="8">IFERROR(IF(OR(SECTOR_AAC_TOTAL=0,SECTOR_AAC_TOTAL=-1),CHAR(150),SECTOR_AAC_TOTAL),CHAR(150))</f>
        <v>-1.1253167072986625E-2</v>
      </c>
    </row>
    <row r="58" spans="1:26" ht="12.75" customHeight="1">
      <c r="A58" s="1223" t="s">
        <v>1819</v>
      </c>
      <c r="B58" s="1219" t="str">
        <f t="shared" si="6"/>
        <v/>
      </c>
      <c r="C58" s="1219">
        <f t="shared" si="6"/>
        <v>-5.8095873354678029E-2</v>
      </c>
      <c r="D58" s="1219">
        <f t="shared" si="6"/>
        <v>7.7661019925840957E-2</v>
      </c>
      <c r="E58" s="1219">
        <f t="shared" si="6"/>
        <v>-1.9956173783826858E-2</v>
      </c>
      <c r="F58" s="1219">
        <f t="shared" si="6"/>
        <v>-0.24900149702807073</v>
      </c>
      <c r="G58" s="1219">
        <f t="shared" si="6"/>
        <v>-4.4863927316795116E-2</v>
      </c>
      <c r="H58" s="1219">
        <f t="shared" si="6"/>
        <v>-9.1226683882932313E-3</v>
      </c>
      <c r="I58" s="1219">
        <f t="shared" si="6"/>
        <v>-4.7722548732897607E-2</v>
      </c>
      <c r="J58" s="1219">
        <f t="shared" si="6"/>
        <v>4.9369156841663209E-2</v>
      </c>
      <c r="K58" s="1219">
        <f t="shared" si="6"/>
        <v>-2.7200917354398557E-3</v>
      </c>
      <c r="L58" s="1219">
        <f t="shared" si="7"/>
        <v>4.430469615264454E-2</v>
      </c>
      <c r="M58" s="1219">
        <f t="shared" si="7"/>
        <v>-6.0851462412376045E-2</v>
      </c>
      <c r="N58" s="1219">
        <f t="shared" si="7"/>
        <v>-9.3407579806486507E-2</v>
      </c>
      <c r="O58" s="1219">
        <f t="shared" si="7"/>
        <v>0.10605150829915866</v>
      </c>
      <c r="P58" s="1219">
        <f t="shared" si="7"/>
        <v>8.8071547102783754E-2</v>
      </c>
      <c r="Q58" s="1219">
        <f t="shared" si="7"/>
        <v>2.924914705960413E-2</v>
      </c>
      <c r="R58" s="1219">
        <f t="shared" si="7"/>
        <v>2.1086408434563442E-2</v>
      </c>
      <c r="S58" s="1219">
        <f t="shared" si="7"/>
        <v>-0.13170594837261507</v>
      </c>
      <c r="T58" s="1219">
        <f t="shared" si="7"/>
        <v>-3.0892522458476068E-2</v>
      </c>
      <c r="U58" s="1219">
        <f t="shared" si="7"/>
        <v>-0.19379793264421474</v>
      </c>
      <c r="V58" s="1219">
        <f t="shared" si="7"/>
        <v>-0.11092728927123829</v>
      </c>
      <c r="W58" s="1219">
        <f t="shared" si="7"/>
        <v>5.4893933755117308E-2</v>
      </c>
      <c r="X58" s="1219">
        <f t="shared" si="7"/>
        <v>0.11007232316105142</v>
      </c>
      <c r="Y58" s="1219">
        <f t="shared" si="7"/>
        <v>0.27510801398379159</v>
      </c>
      <c r="Z58" s="1219">
        <f t="shared" si="8"/>
        <v>-1.4561028483013216E-2</v>
      </c>
    </row>
    <row r="59" spans="1:26" ht="12.75" customHeight="1">
      <c r="A59" s="1223" t="s">
        <v>1820</v>
      </c>
      <c r="B59" s="1219" t="str">
        <f t="shared" si="6"/>
        <v/>
      </c>
      <c r="C59" s="1219">
        <f t="shared" si="6"/>
        <v>-1.1336608504150303E-2</v>
      </c>
      <c r="D59" s="1219">
        <f t="shared" si="6"/>
        <v>-0.39379572132892859</v>
      </c>
      <c r="E59" s="1219">
        <f t="shared" si="6"/>
        <v>-0.1987003430513955</v>
      </c>
      <c r="F59" s="1219">
        <f t="shared" si="6"/>
        <v>-5.4337333106006747E-2</v>
      </c>
      <c r="G59" s="1219">
        <f t="shared" si="6"/>
        <v>0.25987096100356477</v>
      </c>
      <c r="H59" s="1219">
        <f t="shared" si="6"/>
        <v>-0.47066730487389652</v>
      </c>
      <c r="I59" s="1219">
        <f t="shared" si="6"/>
        <v>-8.579861247061138E-2</v>
      </c>
      <c r="J59" s="1219">
        <f t="shared" si="6"/>
        <v>-0.41960022923290596</v>
      </c>
      <c r="K59" s="1219">
        <f t="shared" si="6"/>
        <v>1.296259856353732E-2</v>
      </c>
      <c r="L59" s="1219">
        <f t="shared" si="7"/>
        <v>-5.9585051877187545E-2</v>
      </c>
      <c r="M59" s="1219">
        <f t="shared" si="7"/>
        <v>-0.1143341940243453</v>
      </c>
      <c r="N59" s="1219">
        <f t="shared" si="7"/>
        <v>0.34962349648485658</v>
      </c>
      <c r="O59" s="1219">
        <f t="shared" si="7"/>
        <v>-0.14256133312760366</v>
      </c>
      <c r="P59" s="1219">
        <f t="shared" si="7"/>
        <v>-0.18682900670498437</v>
      </c>
      <c r="Q59" s="1219">
        <f t="shared" si="7"/>
        <v>-7.1000522257924636E-2</v>
      </c>
      <c r="R59" s="1219">
        <f t="shared" si="7"/>
        <v>-3.7160552644116218E-2</v>
      </c>
      <c r="S59" s="1219">
        <f t="shared" si="7"/>
        <v>-0.77436912419594262</v>
      </c>
      <c r="T59" s="1219">
        <f t="shared" si="7"/>
        <v>3.7302631578947372</v>
      </c>
      <c r="U59" s="1219">
        <f t="shared" si="7"/>
        <v>-0.42651831247102456</v>
      </c>
      <c r="V59" s="1219">
        <f t="shared" si="7"/>
        <v>-0.11721907841552137</v>
      </c>
      <c r="W59" s="1219">
        <f t="shared" si="7"/>
        <v>0.71978021978021989</v>
      </c>
      <c r="X59" s="1219">
        <f t="shared" si="7"/>
        <v>0.26996805111821076</v>
      </c>
      <c r="Y59" s="1219">
        <f t="shared" si="7"/>
        <v>1.6147079245283136E-2</v>
      </c>
      <c r="Z59" s="1219">
        <f t="shared" si="8"/>
        <v>-8.2838761444990361E-2</v>
      </c>
    </row>
    <row r="60" spans="1:26" ht="12.75" customHeight="1">
      <c r="A60" s="1223" t="s">
        <v>1821</v>
      </c>
      <c r="B60" s="1219" t="str">
        <f t="shared" si="6"/>
        <v/>
      </c>
      <c r="C60" s="1219">
        <f t="shared" si="6"/>
        <v>-0.12833889506859475</v>
      </c>
      <c r="D60" s="1219">
        <f t="shared" si="6"/>
        <v>-0.16118288123120372</v>
      </c>
      <c r="E60" s="1219">
        <f t="shared" si="6"/>
        <v>-7.7529856233677363E-2</v>
      </c>
      <c r="F60" s="1219">
        <f t="shared" si="6"/>
        <v>-0.12518793995816535</v>
      </c>
      <c r="G60" s="1219">
        <f t="shared" si="6"/>
        <v>-0.10665853934420055</v>
      </c>
      <c r="H60" s="1219">
        <f t="shared" si="6"/>
        <v>-7.1893838675867405E-2</v>
      </c>
      <c r="I60" s="1219">
        <f t="shared" si="6"/>
        <v>-7.2741121945119169E-2</v>
      </c>
      <c r="J60" s="1219">
        <f t="shared" si="6"/>
        <v>-9.3331862059946369E-2</v>
      </c>
      <c r="K60" s="1219">
        <f t="shared" si="6"/>
        <v>-0.38596522860143601</v>
      </c>
      <c r="L60" s="1219">
        <f t="shared" si="7"/>
        <v>0.5555376111229382</v>
      </c>
      <c r="M60" s="1219">
        <f t="shared" si="7"/>
        <v>9.9655497876356858E-2</v>
      </c>
      <c r="N60" s="1219">
        <f t="shared" si="7"/>
        <v>0.16521970500006433</v>
      </c>
      <c r="O60" s="1219">
        <f t="shared" si="7"/>
        <v>8.7387115308121821E-2</v>
      </c>
      <c r="P60" s="1219">
        <f t="shared" si="7"/>
        <v>0.26480898785068585</v>
      </c>
      <c r="Q60" s="1219">
        <f t="shared" si="7"/>
        <v>0.11347361994076466</v>
      </c>
      <c r="R60" s="1219">
        <f t="shared" si="7"/>
        <v>0.13684463684463677</v>
      </c>
      <c r="S60" s="1219">
        <f t="shared" si="7"/>
        <v>-0.21112756505182995</v>
      </c>
      <c r="T60" s="1219">
        <f t="shared" si="7"/>
        <v>0.25663716814159288</v>
      </c>
      <c r="U60" s="1219">
        <f t="shared" si="7"/>
        <v>-0.11118224498506191</v>
      </c>
      <c r="V60" s="1219">
        <f t="shared" si="7"/>
        <v>0.16710684273709475</v>
      </c>
      <c r="W60" s="1219">
        <f t="shared" si="7"/>
        <v>4.0320921621065597E-2</v>
      </c>
      <c r="X60" s="1219">
        <f t="shared" si="7"/>
        <v>3.2825786039153648E-2</v>
      </c>
      <c r="Y60" s="1219">
        <f t="shared" si="7"/>
        <v>0.41936100076584326</v>
      </c>
      <c r="Z60" s="1219">
        <f t="shared" si="8"/>
        <v>1.3921734420457854E-2</v>
      </c>
    </row>
    <row r="61" spans="1:26" ht="12.75" customHeight="1">
      <c r="A61" s="1223" t="s">
        <v>1822</v>
      </c>
      <c r="B61" s="1219" t="str">
        <f t="shared" si="6"/>
        <v/>
      </c>
      <c r="C61" s="1219">
        <f t="shared" si="6"/>
        <v>-0.11908706876320108</v>
      </c>
      <c r="D61" s="1219">
        <f t="shared" si="6"/>
        <v>-0.17659321659113858</v>
      </c>
      <c r="E61" s="1219">
        <f t="shared" si="6"/>
        <v>-0.35150442535141546</v>
      </c>
      <c r="F61" s="1219">
        <f t="shared" si="6"/>
        <v>0.49740933935035159</v>
      </c>
      <c r="G61" s="1219">
        <f t="shared" si="6"/>
        <v>7.5767672459750468E-2</v>
      </c>
      <c r="H61" s="1219">
        <f t="shared" si="6"/>
        <v>-0.28909802148246333</v>
      </c>
      <c r="I61" s="1219">
        <f t="shared" si="6"/>
        <v>-4.2256374508501282E-2</v>
      </c>
      <c r="J61" s="1219">
        <f t="shared" si="6"/>
        <v>-0.18038152468856394</v>
      </c>
      <c r="K61" s="1219">
        <f t="shared" si="6"/>
        <v>6.0238489694769637E-2</v>
      </c>
      <c r="L61" s="1219">
        <f t="shared" si="7"/>
        <v>0.27310513063461572</v>
      </c>
      <c r="M61" s="1219">
        <f t="shared" si="7"/>
        <v>9.6634457236842053E-2</v>
      </c>
      <c r="N61" s="1219">
        <f t="shared" si="7"/>
        <v>0.15513036109658174</v>
      </c>
      <c r="O61" s="1219">
        <f t="shared" si="7"/>
        <v>0.1066736995861397</v>
      </c>
      <c r="P61" s="1219">
        <f t="shared" si="7"/>
        <v>-6.161228491355486E-2</v>
      </c>
      <c r="Q61" s="1219">
        <f t="shared" si="7"/>
        <v>0.18071780766255396</v>
      </c>
      <c r="R61" s="1219">
        <f t="shared" si="7"/>
        <v>-0.14480476505625417</v>
      </c>
      <c r="S61" s="1219">
        <f t="shared" si="7"/>
        <v>7.2279832843213043E-2</v>
      </c>
      <c r="T61" s="1219">
        <f t="shared" si="7"/>
        <v>0.22228637413394914</v>
      </c>
      <c r="U61" s="1219">
        <f t="shared" si="7"/>
        <v>-6.9792158715162977E-2</v>
      </c>
      <c r="V61" s="1219">
        <f t="shared" si="7"/>
        <v>3.3134442046464319E-2</v>
      </c>
      <c r="W61" s="1219">
        <f t="shared" si="7"/>
        <v>-3.1088719587122116E-2</v>
      </c>
      <c r="X61" s="1219">
        <f t="shared" si="7"/>
        <v>-0.13100824350031703</v>
      </c>
      <c r="Y61" s="1219">
        <f t="shared" si="7"/>
        <v>-3.6179800058377953E-3</v>
      </c>
      <c r="Z61" s="1219">
        <f t="shared" si="8"/>
        <v>-9.5943307252842613E-3</v>
      </c>
    </row>
    <row r="62" spans="1:26" ht="12.75" customHeight="1">
      <c r="A62" s="1223" t="s">
        <v>1823</v>
      </c>
      <c r="B62" s="1219" t="str">
        <f t="shared" si="6"/>
        <v/>
      </c>
      <c r="C62" s="1219">
        <f t="shared" si="6"/>
        <v>-0.9980484522207268</v>
      </c>
      <c r="D62" s="1219">
        <f t="shared" si="6"/>
        <v>4.6413793103448278</v>
      </c>
      <c r="E62" s="1219">
        <f t="shared" si="6"/>
        <v>-0.20415647921760394</v>
      </c>
      <c r="F62" s="1219">
        <f t="shared" si="6"/>
        <v>-0.77726574500768053</v>
      </c>
      <c r="G62" s="1219">
        <f t="shared" si="6"/>
        <v>713.31724137931042</v>
      </c>
      <c r="H62" s="1219">
        <f t="shared" si="6"/>
        <v>0.35890553796246238</v>
      </c>
      <c r="I62" s="1219">
        <f t="shared" si="6"/>
        <v>0.37956660746003545</v>
      </c>
      <c r="J62" s="1219">
        <f t="shared" si="6"/>
        <v>1.033778981738029</v>
      </c>
      <c r="K62" s="1219">
        <f t="shared" si="6"/>
        <v>-1.0665802328143181E-2</v>
      </c>
      <c r="L62" s="1219">
        <f t="shared" si="7"/>
        <v>-0.31711437310433965</v>
      </c>
      <c r="M62" s="1219">
        <f t="shared" si="7"/>
        <v>-9.5187406296851629E-2</v>
      </c>
      <c r="N62" s="1219">
        <f t="shared" si="7"/>
        <v>-0.41576361617868807</v>
      </c>
      <c r="O62" s="1219">
        <f t="shared" si="7"/>
        <v>0.46908967150464087</v>
      </c>
      <c r="P62" s="1219">
        <f t="shared" si="7"/>
        <v>0.39191393656248175</v>
      </c>
      <c r="Q62" s="1219">
        <f t="shared" si="7"/>
        <v>6.6231158915252886E-2</v>
      </c>
      <c r="R62" s="1219">
        <f t="shared" si="7"/>
        <v>-0.344390243902439</v>
      </c>
      <c r="S62" s="1219">
        <f t="shared" si="7"/>
        <v>-0.39980158730158732</v>
      </c>
      <c r="T62" s="1219">
        <f t="shared" si="7"/>
        <v>-0.31322314049586775</v>
      </c>
      <c r="U62" s="1219">
        <f t="shared" si="7"/>
        <v>-0.13357400722021662</v>
      </c>
      <c r="V62" s="1219">
        <f t="shared" si="7"/>
        <v>-0.25416666666666665</v>
      </c>
      <c r="W62" s="1219">
        <f t="shared" si="7"/>
        <v>-0.1973929236499069</v>
      </c>
      <c r="X62" s="1219">
        <f t="shared" si="7"/>
        <v>0.96983758700696066</v>
      </c>
      <c r="Y62" s="1219" t="str">
        <f t="shared" si="7"/>
        <v>–</v>
      </c>
      <c r="Z62" s="1219" t="str">
        <f t="shared" si="8"/>
        <v>–</v>
      </c>
    </row>
    <row r="63" spans="1:26" ht="12.75" customHeight="1">
      <c r="A63" s="1223" t="s">
        <v>1825</v>
      </c>
      <c r="B63" s="1219" t="str">
        <f t="shared" si="6"/>
        <v/>
      </c>
      <c r="C63" s="1219">
        <f t="shared" si="6"/>
        <v>-0.10638397017707368</v>
      </c>
      <c r="D63" s="1219">
        <f t="shared" si="6"/>
        <v>-0.20302967096000424</v>
      </c>
      <c r="E63" s="1219">
        <f t="shared" si="6"/>
        <v>-0.13995485327313772</v>
      </c>
      <c r="F63" s="1219">
        <f t="shared" si="6"/>
        <v>-7.6876260032713306E-2</v>
      </c>
      <c r="G63" s="1219">
        <f t="shared" si="6"/>
        <v>6.0285149167628171E-2</v>
      </c>
      <c r="H63" s="1219">
        <f t="shared" si="6"/>
        <v>-0.13050406124907699</v>
      </c>
      <c r="I63" s="1219">
        <f t="shared" si="6"/>
        <v>-6.2754212667054055E-2</v>
      </c>
      <c r="J63" s="1219">
        <f t="shared" si="6"/>
        <v>-0.10234155181458338</v>
      </c>
      <c r="K63" s="1219">
        <f t="shared" si="6"/>
        <v>6.7683153588694589E-2</v>
      </c>
      <c r="L63" s="1219">
        <f t="shared" si="7"/>
        <v>-4.4633527392148098E-2</v>
      </c>
      <c r="M63" s="1219">
        <f t="shared" si="7"/>
        <v>0.14348958333333339</v>
      </c>
      <c r="N63" s="1219">
        <f t="shared" si="7"/>
        <v>-3.7030289227966362E-2</v>
      </c>
      <c r="O63" s="1219">
        <f t="shared" si="7"/>
        <v>-9.1760476776084898E-3</v>
      </c>
      <c r="P63" s="1219">
        <f t="shared" si="7"/>
        <v>-4.057666603017096E-3</v>
      </c>
      <c r="Q63" s="1219">
        <f t="shared" si="7"/>
        <v>0.10003355222163646</v>
      </c>
      <c r="R63" s="1219">
        <f t="shared" si="7"/>
        <v>0.15076252723311545</v>
      </c>
      <c r="S63" s="1219">
        <f t="shared" si="7"/>
        <v>0.41082923135176075</v>
      </c>
      <c r="T63" s="1219">
        <f t="shared" si="7"/>
        <v>0.451959205582394</v>
      </c>
      <c r="U63" s="1219">
        <f t="shared" si="7"/>
        <v>-2.5508317929759605E-2</v>
      </c>
      <c r="V63" s="1219">
        <f t="shared" si="7"/>
        <v>1.0432473444613066E-2</v>
      </c>
      <c r="W63" s="1219">
        <f t="shared" si="7"/>
        <v>-2.8533883987234887E-2</v>
      </c>
      <c r="X63" s="1219">
        <f t="shared" si="7"/>
        <v>5.507246376811592E-2</v>
      </c>
      <c r="Y63" s="1219">
        <f t="shared" si="7"/>
        <v>0.44074732583289733</v>
      </c>
      <c r="Z63" s="1219">
        <f t="shared" si="8"/>
        <v>2.6691656435984035E-2</v>
      </c>
    </row>
    <row r="64" spans="1:26" ht="12.75" customHeight="1">
      <c r="A64" s="1217" t="s">
        <v>1826</v>
      </c>
      <c r="B64" s="1219" t="str">
        <f t="shared" si="6"/>
        <v/>
      </c>
      <c r="C64" s="1219">
        <f t="shared" si="6"/>
        <v>-3.2821711947416787E-2</v>
      </c>
      <c r="D64" s="1219">
        <f t="shared" si="6"/>
        <v>-8.453662959113728E-2</v>
      </c>
      <c r="E64" s="1219">
        <f t="shared" si="6"/>
        <v>-0.35580515297906601</v>
      </c>
      <c r="F64" s="1219">
        <f t="shared" si="6"/>
        <v>-0.46151058005974332</v>
      </c>
      <c r="G64" s="1219">
        <f t="shared" si="6"/>
        <v>-0.60140655463745241</v>
      </c>
      <c r="H64" s="1219">
        <f t="shared" si="6"/>
        <v>-0.3449018808594887</v>
      </c>
      <c r="I64" s="1219">
        <f t="shared" si="6"/>
        <v>0.32257777777777763</v>
      </c>
      <c r="J64" s="1219">
        <f t="shared" si="6"/>
        <v>-0.33812756233617847</v>
      </c>
      <c r="K64" s="1219">
        <f t="shared" si="6"/>
        <v>-0.14114541023558091</v>
      </c>
      <c r="L64" s="1219">
        <f t="shared" si="7"/>
        <v>5.5292031213052732</v>
      </c>
      <c r="M64" s="1219">
        <f t="shared" si="7"/>
        <v>0.26729320585252792</v>
      </c>
      <c r="N64" s="1219">
        <f t="shared" si="7"/>
        <v>0.3010073587197255</v>
      </c>
      <c r="O64" s="1219">
        <f t="shared" si="7"/>
        <v>0.16081097406947764</v>
      </c>
      <c r="P64" s="1219">
        <f t="shared" si="7"/>
        <v>0.2796022442356636</v>
      </c>
      <c r="Q64" s="1219">
        <f t="shared" si="7"/>
        <v>0.31578246885282257</v>
      </c>
      <c r="R64" s="1219">
        <f t="shared" si="7"/>
        <v>0.11465948874140919</v>
      </c>
      <c r="S64" s="1219">
        <f t="shared" si="7"/>
        <v>0.16034725268077255</v>
      </c>
      <c r="T64" s="1219">
        <f t="shared" si="7"/>
        <v>-0.1130894192376708</v>
      </c>
      <c r="U64" s="1219">
        <f t="shared" si="7"/>
        <v>-0.12846463597440894</v>
      </c>
      <c r="V64" s="1219">
        <f t="shared" si="7"/>
        <v>0.18196279017480754</v>
      </c>
      <c r="W64" s="1219">
        <f t="shared" si="7"/>
        <v>0.14743940309012138</v>
      </c>
      <c r="X64" s="1219">
        <f t="shared" si="7"/>
        <v>0.21629014410225178</v>
      </c>
      <c r="Y64" s="1219">
        <f t="shared" si="7"/>
        <v>-0.55716458716074624</v>
      </c>
      <c r="Z64" s="1219">
        <f t="shared" si="8"/>
        <v>-3.3142857465968678E-3</v>
      </c>
    </row>
    <row r="65" spans="1:26" ht="12.75" customHeight="1">
      <c r="A65" s="1223" t="s">
        <v>1827</v>
      </c>
      <c r="B65" s="1219" t="str">
        <f t="shared" si="6"/>
        <v/>
      </c>
      <c r="C65" s="1219">
        <f t="shared" si="6"/>
        <v>-0.11337351042458987</v>
      </c>
      <c r="D65" s="1219">
        <f t="shared" si="6"/>
        <v>-7.2679278486581622E-2</v>
      </c>
      <c r="E65" s="1219">
        <f t="shared" si="6"/>
        <v>-0.26143372236455065</v>
      </c>
      <c r="F65" s="1219">
        <f t="shared" si="6"/>
        <v>-0.28466356190782083</v>
      </c>
      <c r="G65" s="1219">
        <f t="shared" si="6"/>
        <v>-0.56470007183908044</v>
      </c>
      <c r="H65" s="1219">
        <f t="shared" si="6"/>
        <v>0.11583290355853526</v>
      </c>
      <c r="I65" s="1219">
        <f t="shared" si="6"/>
        <v>0.35376224810501</v>
      </c>
      <c r="J65" s="1219">
        <f t="shared" si="6"/>
        <v>-0.33697507681802663</v>
      </c>
      <c r="K65" s="1219">
        <f t="shared" si="6"/>
        <v>-0.14696189495365597</v>
      </c>
      <c r="L65" s="1219">
        <f t="shared" si="7"/>
        <v>0.46299649885307259</v>
      </c>
      <c r="M65" s="1219">
        <f t="shared" si="7"/>
        <v>1.0887110084172305</v>
      </c>
      <c r="N65" s="1219">
        <f t="shared" si="7"/>
        <v>0.61815021137055015</v>
      </c>
      <c r="O65" s="1219">
        <f t="shared" si="7"/>
        <v>0.19410601362404467</v>
      </c>
      <c r="P65" s="1219">
        <f t="shared" si="7"/>
        <v>0.41570736295417832</v>
      </c>
      <c r="Q65" s="1219">
        <f t="shared" si="7"/>
        <v>7.799185418411847E-2</v>
      </c>
      <c r="R65" s="1219">
        <f t="shared" si="7"/>
        <v>7.8029957930276783E-2</v>
      </c>
      <c r="S65" s="1219">
        <f t="shared" si="7"/>
        <v>2.9840173000919679E-2</v>
      </c>
      <c r="T65" s="1219">
        <f t="shared" si="7"/>
        <v>-6.9741621712947843E-2</v>
      </c>
      <c r="U65" s="1219">
        <f t="shared" si="7"/>
        <v>-0.19358102848840231</v>
      </c>
      <c r="V65" s="1219">
        <f t="shared" si="7"/>
        <v>-5.6947974646889277E-3</v>
      </c>
      <c r="W65" s="1219">
        <f t="shared" si="7"/>
        <v>0.11437030805073767</v>
      </c>
      <c r="X65" s="1219">
        <f t="shared" si="7"/>
        <v>0.39538597790263807</v>
      </c>
      <c r="Y65" s="1219">
        <f t="shared" si="7"/>
        <v>-0.24067725054624911</v>
      </c>
      <c r="Z65" s="1219">
        <f t="shared" si="8"/>
        <v>1.5466240131023712E-2</v>
      </c>
    </row>
    <row r="66" spans="1:26" ht="12.75" customHeight="1">
      <c r="A66" s="1223" t="s">
        <v>1828</v>
      </c>
      <c r="B66" s="1219" t="str">
        <f t="shared" si="6"/>
        <v/>
      </c>
      <c r="C66" s="1219" t="str">
        <f t="shared" si="6"/>
        <v>–</v>
      </c>
      <c r="D66" s="1219">
        <f t="shared" si="6"/>
        <v>-0.23622047244094491</v>
      </c>
      <c r="E66" s="1219">
        <f t="shared" si="6"/>
        <v>-0.2989690721649485</v>
      </c>
      <c r="F66" s="1219">
        <f t="shared" si="6"/>
        <v>8.8235294117647189E-2</v>
      </c>
      <c r="G66" s="1219">
        <f t="shared" si="6"/>
        <v>-0.75</v>
      </c>
      <c r="H66" s="1219">
        <f t="shared" si="6"/>
        <v>-0.78378378378378377</v>
      </c>
      <c r="I66" s="1219" t="str">
        <f t="shared" si="6"/>
        <v>–</v>
      </c>
      <c r="J66" s="1219" t="str">
        <f t="shared" si="6"/>
        <v>–</v>
      </c>
      <c r="K66" s="1219" t="str">
        <f t="shared" si="6"/>
        <v>–</v>
      </c>
      <c r="L66" s="1219" t="str">
        <f t="shared" si="7"/>
        <v>–</v>
      </c>
      <c r="M66" s="1219" t="str">
        <f t="shared" si="7"/>
        <v>–</v>
      </c>
      <c r="N66" s="1219" t="str">
        <f t="shared" si="7"/>
        <v>–</v>
      </c>
      <c r="O66" s="1219" t="str">
        <f t="shared" si="7"/>
        <v>–</v>
      </c>
      <c r="P66" s="1219" t="str">
        <f t="shared" si="7"/>
        <v>–</v>
      </c>
      <c r="Q66" s="1219" t="str">
        <f t="shared" si="7"/>
        <v>–</v>
      </c>
      <c r="R66" s="1219" t="str">
        <f t="shared" si="7"/>
        <v>–</v>
      </c>
      <c r="S66" s="1219" t="str">
        <f t="shared" si="7"/>
        <v>–</v>
      </c>
      <c r="T66" s="1219" t="str">
        <f t="shared" si="7"/>
        <v>–</v>
      </c>
      <c r="U66" s="1219" t="str">
        <f t="shared" si="7"/>
        <v>–</v>
      </c>
      <c r="V66" s="1219" t="str">
        <f t="shared" si="7"/>
        <v>–</v>
      </c>
      <c r="W66" s="1219" t="str">
        <f t="shared" si="7"/>
        <v>–</v>
      </c>
      <c r="X66" s="1219" t="str">
        <f t="shared" si="7"/>
        <v>–</v>
      </c>
      <c r="Y66" s="1219" t="str">
        <f t="shared" si="7"/>
        <v>–</v>
      </c>
      <c r="Z66" s="1219" t="str">
        <f t="shared" si="8"/>
        <v>–</v>
      </c>
    </row>
    <row r="67" spans="1:26" ht="12.75" customHeight="1">
      <c r="A67" s="1223" t="s">
        <v>1829</v>
      </c>
      <c r="B67" s="1219" t="str">
        <f t="shared" ref="B67:K76" si="9">IFERROR(IF(OR(SECTOR_AAC=0,SECTOR_AAC=-1),CHAR(150),SECTOR_AAC),IF(COLUMN()&lt;=2,"",CHAR(150)))</f>
        <v/>
      </c>
      <c r="C67" s="1219">
        <f t="shared" si="9"/>
        <v>-4.7619047619047672E-2</v>
      </c>
      <c r="D67" s="1219">
        <f t="shared" si="9"/>
        <v>-7.4999999999999512E-3</v>
      </c>
      <c r="E67" s="1219">
        <f t="shared" si="9"/>
        <v>-0.43324937027707811</v>
      </c>
      <c r="F67" s="1219">
        <f t="shared" si="9"/>
        <v>-0.83555555555555561</v>
      </c>
      <c r="G67" s="1219">
        <f t="shared" si="9"/>
        <v>-0.93513513513513513</v>
      </c>
      <c r="H67" s="1219">
        <f t="shared" si="9"/>
        <v>-0.54166666666666674</v>
      </c>
      <c r="I67" s="1219">
        <f t="shared" si="9"/>
        <v>-9.0909090909090828E-2</v>
      </c>
      <c r="J67" s="1219">
        <f t="shared" si="9"/>
        <v>-0.5</v>
      </c>
      <c r="K67" s="1219">
        <f t="shared" si="9"/>
        <v>-0.34666666666666668</v>
      </c>
      <c r="L67" s="1219">
        <f t="shared" ref="L67:Y76" si="10">IFERROR(IF(OR(SECTOR_AAC=0,SECTOR_AAC=-1),CHAR(150),SECTOR_AAC),IF(COLUMN()&lt;=2,"",CHAR(150)))</f>
        <v>-0.87755102040816324</v>
      </c>
      <c r="M67" s="1219">
        <f t="shared" si="10"/>
        <v>114.00000000000001</v>
      </c>
      <c r="N67" s="1219">
        <f t="shared" si="10"/>
        <v>6.1086956521739122</v>
      </c>
      <c r="O67" s="1219">
        <f t="shared" si="10"/>
        <v>0.72477064220183474</v>
      </c>
      <c r="P67" s="1219">
        <f t="shared" si="10"/>
        <v>0.60283687943262421</v>
      </c>
      <c r="Q67" s="1219">
        <f t="shared" si="10"/>
        <v>2.1648230088495577</v>
      </c>
      <c r="R67" s="1219">
        <f t="shared" si="10"/>
        <v>0.17196784341139471</v>
      </c>
      <c r="S67" s="1219">
        <f t="shared" si="10"/>
        <v>0.3957649865791828</v>
      </c>
      <c r="T67" s="1219">
        <f t="shared" si="10"/>
        <v>-0.40527065527065531</v>
      </c>
      <c r="U67" s="1219">
        <f t="shared" si="10"/>
        <v>-0.45992814371257484</v>
      </c>
      <c r="V67" s="1219">
        <f t="shared" si="10"/>
        <v>1.0389835018626932</v>
      </c>
      <c r="W67" s="1219">
        <f t="shared" si="10"/>
        <v>0.84469820554649266</v>
      </c>
      <c r="X67" s="1219">
        <f t="shared" si="10"/>
        <v>0.21878316236292905</v>
      </c>
      <c r="Y67" s="1219">
        <f t="shared" si="10"/>
        <v>-0.65079862622744644</v>
      </c>
      <c r="Z67" s="1219">
        <f t="shared" si="8"/>
        <v>-2.3925435198745015E-2</v>
      </c>
    </row>
    <row r="68" spans="1:26" ht="12.75" customHeight="1">
      <c r="A68" s="1223" t="s">
        <v>1830</v>
      </c>
      <c r="B68" s="1219" t="str">
        <f t="shared" si="9"/>
        <v/>
      </c>
      <c r="C68" s="1219" t="str">
        <f t="shared" si="9"/>
        <v>–</v>
      </c>
      <c r="D68" s="1219" t="str">
        <f t="shared" si="9"/>
        <v>–</v>
      </c>
      <c r="E68" s="1219" t="str">
        <f t="shared" si="9"/>
        <v>–</v>
      </c>
      <c r="F68" s="1219" t="str">
        <f t="shared" si="9"/>
        <v>–</v>
      </c>
      <c r="G68" s="1219" t="str">
        <f t="shared" si="9"/>
        <v>–</v>
      </c>
      <c r="H68" s="1219" t="str">
        <f t="shared" si="9"/>
        <v>–</v>
      </c>
      <c r="I68" s="1219" t="str">
        <f t="shared" si="9"/>
        <v>–</v>
      </c>
      <c r="J68" s="1219" t="str">
        <f t="shared" si="9"/>
        <v>–</v>
      </c>
      <c r="K68" s="1219" t="str">
        <f t="shared" si="9"/>
        <v>–</v>
      </c>
      <c r="L68" s="1219" t="str">
        <f t="shared" si="10"/>
        <v>–</v>
      </c>
      <c r="M68" s="1219" t="str">
        <f t="shared" si="10"/>
        <v>–</v>
      </c>
      <c r="N68" s="1219" t="str">
        <f t="shared" si="10"/>
        <v>–</v>
      </c>
      <c r="O68" s="1219" t="str">
        <f t="shared" si="10"/>
        <v>–</v>
      </c>
      <c r="P68" s="1219" t="str">
        <f t="shared" si="10"/>
        <v>–</v>
      </c>
      <c r="Q68" s="1219" t="str">
        <f t="shared" si="10"/>
        <v>–</v>
      </c>
      <c r="R68" s="1219" t="str">
        <f t="shared" si="10"/>
        <v>–</v>
      </c>
      <c r="S68" s="1219" t="str">
        <f t="shared" si="10"/>
        <v>–</v>
      </c>
      <c r="T68" s="1219" t="str">
        <f t="shared" si="10"/>
        <v>–</v>
      </c>
      <c r="U68" s="1219" t="str">
        <f t="shared" si="10"/>
        <v>–</v>
      </c>
      <c r="V68" s="1219" t="str">
        <f t="shared" si="10"/>
        <v>–</v>
      </c>
      <c r="W68" s="1219" t="str">
        <f t="shared" si="10"/>
        <v>–</v>
      </c>
      <c r="X68" s="1219" t="str">
        <f t="shared" si="10"/>
        <v>–</v>
      </c>
      <c r="Y68" s="1219" t="str">
        <f t="shared" si="10"/>
        <v>–</v>
      </c>
      <c r="Z68" s="1219" t="str">
        <f t="shared" si="8"/>
        <v>–</v>
      </c>
    </row>
    <row r="69" spans="1:26" ht="12.75" customHeight="1">
      <c r="A69" s="1223" t="s">
        <v>1831</v>
      </c>
      <c r="B69" s="1219" t="str">
        <f t="shared" si="9"/>
        <v/>
      </c>
      <c r="C69" s="1219" t="str">
        <f t="shared" si="9"/>
        <v>–</v>
      </c>
      <c r="D69" s="1219" t="str">
        <f t="shared" si="9"/>
        <v>–</v>
      </c>
      <c r="E69" s="1219" t="str">
        <f t="shared" si="9"/>
        <v>–</v>
      </c>
      <c r="F69" s="1219" t="str">
        <f t="shared" si="9"/>
        <v>–</v>
      </c>
      <c r="G69" s="1219" t="str">
        <f t="shared" si="9"/>
        <v>–</v>
      </c>
      <c r="H69" s="1219" t="str">
        <f t="shared" si="9"/>
        <v>–</v>
      </c>
      <c r="I69" s="1219" t="str">
        <f t="shared" si="9"/>
        <v>–</v>
      </c>
      <c r="J69" s="1219" t="str">
        <f t="shared" si="9"/>
        <v>–</v>
      </c>
      <c r="K69" s="1219" t="str">
        <f t="shared" si="9"/>
        <v>–</v>
      </c>
      <c r="L69" s="1219" t="str">
        <f t="shared" si="10"/>
        <v>–</v>
      </c>
      <c r="M69" s="1219" t="str">
        <f t="shared" si="10"/>
        <v>–</v>
      </c>
      <c r="N69" s="1219" t="str">
        <f t="shared" si="10"/>
        <v>–</v>
      </c>
      <c r="O69" s="1219" t="str">
        <f t="shared" si="10"/>
        <v>–</v>
      </c>
      <c r="P69" s="1219" t="str">
        <f t="shared" si="10"/>
        <v>–</v>
      </c>
      <c r="Q69" s="1219" t="str">
        <f t="shared" si="10"/>
        <v>–</v>
      </c>
      <c r="R69" s="1219" t="str">
        <f t="shared" si="10"/>
        <v>–</v>
      </c>
      <c r="S69" s="1219" t="str">
        <f t="shared" si="10"/>
        <v>–</v>
      </c>
      <c r="T69" s="1219" t="str">
        <f t="shared" si="10"/>
        <v>–</v>
      </c>
      <c r="U69" s="1219" t="str">
        <f t="shared" si="10"/>
        <v>–</v>
      </c>
      <c r="V69" s="1219" t="str">
        <f t="shared" si="10"/>
        <v>–</v>
      </c>
      <c r="W69" s="1219" t="str">
        <f t="shared" si="10"/>
        <v>–</v>
      </c>
      <c r="X69" s="1219" t="str">
        <f t="shared" si="10"/>
        <v>–</v>
      </c>
      <c r="Y69" s="1219" t="str">
        <f t="shared" si="10"/>
        <v>–</v>
      </c>
      <c r="Z69" s="1219" t="str">
        <f t="shared" si="8"/>
        <v>–</v>
      </c>
    </row>
    <row r="70" spans="1:26" ht="12.75" customHeight="1">
      <c r="A70" s="1223" t="s">
        <v>1832</v>
      </c>
      <c r="B70" s="1219" t="str">
        <f t="shared" si="9"/>
        <v/>
      </c>
      <c r="C70" s="1219" t="str">
        <f t="shared" si="9"/>
        <v>–</v>
      </c>
      <c r="D70" s="1219" t="str">
        <f t="shared" si="9"/>
        <v>–</v>
      </c>
      <c r="E70" s="1219" t="str">
        <f t="shared" si="9"/>
        <v>–</v>
      </c>
      <c r="F70" s="1219" t="str">
        <f t="shared" si="9"/>
        <v>–</v>
      </c>
      <c r="G70" s="1219" t="str">
        <f t="shared" si="9"/>
        <v>–</v>
      </c>
      <c r="H70" s="1219" t="str">
        <f t="shared" si="9"/>
        <v>–</v>
      </c>
      <c r="I70" s="1219" t="str">
        <f t="shared" si="9"/>
        <v>–</v>
      </c>
      <c r="J70" s="1219" t="str">
        <f t="shared" si="9"/>
        <v>–</v>
      </c>
      <c r="K70" s="1219" t="str">
        <f t="shared" si="9"/>
        <v>–</v>
      </c>
      <c r="L70" s="1219" t="str">
        <f t="shared" si="10"/>
        <v>–</v>
      </c>
      <c r="M70" s="1219" t="str">
        <f t="shared" si="10"/>
        <v>–</v>
      </c>
      <c r="N70" s="1219" t="str">
        <f t="shared" si="10"/>
        <v>–</v>
      </c>
      <c r="O70" s="1219" t="str">
        <f t="shared" si="10"/>
        <v>–</v>
      </c>
      <c r="P70" s="1219" t="str">
        <f t="shared" si="10"/>
        <v>–</v>
      </c>
      <c r="Q70" s="1219" t="str">
        <f t="shared" si="10"/>
        <v>–</v>
      </c>
      <c r="R70" s="1219" t="str">
        <f t="shared" si="10"/>
        <v>–</v>
      </c>
      <c r="S70" s="1219" t="str">
        <f t="shared" si="10"/>
        <v>–</v>
      </c>
      <c r="T70" s="1219" t="str">
        <f t="shared" si="10"/>
        <v>–</v>
      </c>
      <c r="U70" s="1219" t="str">
        <f t="shared" si="10"/>
        <v>–</v>
      </c>
      <c r="V70" s="1219" t="str">
        <f t="shared" si="10"/>
        <v>–</v>
      </c>
      <c r="W70" s="1219" t="str">
        <f t="shared" si="10"/>
        <v>–</v>
      </c>
      <c r="X70" s="1219" t="str">
        <f t="shared" si="10"/>
        <v>–</v>
      </c>
      <c r="Y70" s="1219" t="str">
        <f t="shared" si="10"/>
        <v>–</v>
      </c>
      <c r="Z70" s="1219" t="str">
        <f t="shared" si="8"/>
        <v>–</v>
      </c>
    </row>
    <row r="71" spans="1:26" ht="12.75" customHeight="1">
      <c r="A71" s="1223" t="s">
        <v>1833</v>
      </c>
      <c r="B71" s="1219" t="str">
        <f t="shared" si="9"/>
        <v/>
      </c>
      <c r="C71" s="1219" t="str">
        <f t="shared" si="9"/>
        <v>–</v>
      </c>
      <c r="D71" s="1219" t="str">
        <f t="shared" si="9"/>
        <v>–</v>
      </c>
      <c r="E71" s="1219" t="str">
        <f t="shared" si="9"/>
        <v>–</v>
      </c>
      <c r="F71" s="1219" t="str">
        <f t="shared" si="9"/>
        <v>–</v>
      </c>
      <c r="G71" s="1219" t="str">
        <f t="shared" si="9"/>
        <v>–</v>
      </c>
      <c r="H71" s="1219" t="str">
        <f t="shared" si="9"/>
        <v>–</v>
      </c>
      <c r="I71" s="1219" t="str">
        <f t="shared" si="9"/>
        <v>–</v>
      </c>
      <c r="J71" s="1219" t="str">
        <f t="shared" si="9"/>
        <v>–</v>
      </c>
      <c r="K71" s="1219" t="str">
        <f t="shared" si="9"/>
        <v>–</v>
      </c>
      <c r="L71" s="1219" t="str">
        <f t="shared" si="10"/>
        <v>–</v>
      </c>
      <c r="M71" s="1219" t="str">
        <f t="shared" si="10"/>
        <v>–</v>
      </c>
      <c r="N71" s="1219" t="str">
        <f t="shared" si="10"/>
        <v>–</v>
      </c>
      <c r="O71" s="1219" t="str">
        <f t="shared" si="10"/>
        <v>–</v>
      </c>
      <c r="P71" s="1219" t="str">
        <f t="shared" si="10"/>
        <v>–</v>
      </c>
      <c r="Q71" s="1219" t="str">
        <f t="shared" si="10"/>
        <v>–</v>
      </c>
      <c r="R71" s="1219" t="str">
        <f t="shared" si="10"/>
        <v>–</v>
      </c>
      <c r="S71" s="1219" t="str">
        <f t="shared" si="10"/>
        <v>–</v>
      </c>
      <c r="T71" s="1219" t="str">
        <f t="shared" si="10"/>
        <v>–</v>
      </c>
      <c r="U71" s="1219" t="str">
        <f t="shared" si="10"/>
        <v>–</v>
      </c>
      <c r="V71" s="1219" t="str">
        <f t="shared" si="10"/>
        <v>–</v>
      </c>
      <c r="W71" s="1219" t="str">
        <f t="shared" si="10"/>
        <v>–</v>
      </c>
      <c r="X71" s="1219" t="str">
        <f t="shared" si="10"/>
        <v>–</v>
      </c>
      <c r="Y71" s="1219" t="str">
        <f t="shared" si="10"/>
        <v>–</v>
      </c>
      <c r="Z71" s="1219" t="str">
        <f t="shared" si="8"/>
        <v>–</v>
      </c>
    </row>
    <row r="72" spans="1:26" ht="12.75" customHeight="1">
      <c r="A72" s="1217" t="s">
        <v>1835</v>
      </c>
      <c r="B72" s="1219" t="str">
        <f t="shared" si="9"/>
        <v/>
      </c>
      <c r="C72" s="1219" t="str">
        <f t="shared" si="9"/>
        <v>–</v>
      </c>
      <c r="D72" s="1219" t="str">
        <f t="shared" si="9"/>
        <v>–</v>
      </c>
      <c r="E72" s="1219" t="str">
        <f t="shared" si="9"/>
        <v>–</v>
      </c>
      <c r="F72" s="1219" t="str">
        <f t="shared" si="9"/>
        <v>–</v>
      </c>
      <c r="G72" s="1219" t="str">
        <f t="shared" si="9"/>
        <v>–</v>
      </c>
      <c r="H72" s="1219" t="str">
        <f t="shared" si="9"/>
        <v>–</v>
      </c>
      <c r="I72" s="1219" t="str">
        <f t="shared" si="9"/>
        <v>–</v>
      </c>
      <c r="J72" s="1219" t="str">
        <f t="shared" si="9"/>
        <v>–</v>
      </c>
      <c r="K72" s="1219" t="str">
        <f t="shared" si="9"/>
        <v>–</v>
      </c>
      <c r="L72" s="1219" t="str">
        <f t="shared" si="10"/>
        <v>–</v>
      </c>
      <c r="M72" s="1219" t="str">
        <f t="shared" si="10"/>
        <v>–</v>
      </c>
      <c r="N72" s="1219" t="str">
        <f t="shared" si="10"/>
        <v>–</v>
      </c>
      <c r="O72" s="1219" t="str">
        <f t="shared" si="10"/>
        <v>–</v>
      </c>
      <c r="P72" s="1219" t="str">
        <f t="shared" si="10"/>
        <v>–</v>
      </c>
      <c r="Q72" s="1219" t="str">
        <f t="shared" si="10"/>
        <v>–</v>
      </c>
      <c r="R72" s="1219" t="str">
        <f t="shared" si="10"/>
        <v>–</v>
      </c>
      <c r="S72" s="1219" t="str">
        <f t="shared" si="10"/>
        <v>–</v>
      </c>
      <c r="T72" s="1219" t="str">
        <f t="shared" si="10"/>
        <v>–</v>
      </c>
      <c r="U72" s="1219" t="str">
        <f t="shared" si="10"/>
        <v>–</v>
      </c>
      <c r="V72" s="1219" t="str">
        <f t="shared" si="10"/>
        <v>–</v>
      </c>
      <c r="W72" s="1219" t="str">
        <f t="shared" si="10"/>
        <v>–</v>
      </c>
      <c r="X72" s="1219" t="str">
        <f t="shared" si="10"/>
        <v>–</v>
      </c>
      <c r="Y72" s="1219" t="str">
        <f t="shared" si="10"/>
        <v>–</v>
      </c>
      <c r="Z72" s="1219" t="str">
        <f t="shared" si="8"/>
        <v>–</v>
      </c>
    </row>
    <row r="73" spans="1:26" ht="12.75" customHeight="1">
      <c r="A73" s="1217" t="s">
        <v>1836</v>
      </c>
      <c r="B73" s="1219" t="str">
        <f t="shared" si="9"/>
        <v/>
      </c>
      <c r="C73" s="1219">
        <f t="shared" si="9"/>
        <v>-0.28199915357773109</v>
      </c>
      <c r="D73" s="1219">
        <f t="shared" si="9"/>
        <v>2.127730561604313E-2</v>
      </c>
      <c r="E73" s="1219">
        <f t="shared" si="9"/>
        <v>-8.4766951321237127E-2</v>
      </c>
      <c r="F73" s="1219">
        <f t="shared" si="9"/>
        <v>-0.11671172114451056</v>
      </c>
      <c r="G73" s="1219">
        <f t="shared" si="9"/>
        <v>-2.1654911553776302E-2</v>
      </c>
      <c r="H73" s="1219">
        <f t="shared" si="9"/>
        <v>4.0801546476918471E-2</v>
      </c>
      <c r="I73" s="1219">
        <f t="shared" si="9"/>
        <v>8.473271334647392E-2</v>
      </c>
      <c r="J73" s="1219">
        <f t="shared" si="9"/>
        <v>7.9011490496132986E-2</v>
      </c>
      <c r="K73" s="1219">
        <f t="shared" si="9"/>
        <v>0.15837788351775028</v>
      </c>
      <c r="L73" s="1219">
        <f t="shared" si="10"/>
        <v>4.9325884136762976E-2</v>
      </c>
      <c r="M73" s="1219">
        <f t="shared" si="10"/>
        <v>4.2346845791350951E-2</v>
      </c>
      <c r="N73" s="1219">
        <f t="shared" si="10"/>
        <v>5.2053802250502601E-2</v>
      </c>
      <c r="O73" s="1219">
        <f t="shared" si="10"/>
        <v>3.0325281978316854E-2</v>
      </c>
      <c r="P73" s="1219">
        <f t="shared" si="10"/>
        <v>3.4240521434273363E-2</v>
      </c>
      <c r="Q73" s="1219">
        <f t="shared" si="10"/>
        <v>2.9581862568790473E-2</v>
      </c>
      <c r="R73" s="1219">
        <f t="shared" si="10"/>
        <v>3.3931734642458578E-2</v>
      </c>
      <c r="S73" s="1219">
        <f t="shared" si="10"/>
        <v>4.6960822128336632E-2</v>
      </c>
      <c r="T73" s="1219">
        <f t="shared" si="10"/>
        <v>2.4574831146206622E-2</v>
      </c>
      <c r="U73" s="1219">
        <f t="shared" si="10"/>
        <v>1.2589196119968671E-2</v>
      </c>
      <c r="V73" s="1219">
        <f t="shared" si="10"/>
        <v>-2.9977166153053458E-3</v>
      </c>
      <c r="W73" s="1219">
        <f t="shared" si="10"/>
        <v>-2.0095944779982666E-2</v>
      </c>
      <c r="X73" s="1219">
        <f t="shared" si="10"/>
        <v>-9.2108117855562721E-3</v>
      </c>
      <c r="Y73" s="1219">
        <f t="shared" si="10"/>
        <v>-4.8143744881128492E-2</v>
      </c>
      <c r="Z73" s="1219">
        <f t="shared" si="8"/>
        <v>2.9085670355102344E-3</v>
      </c>
    </row>
    <row r="74" spans="1:26" ht="12.75" customHeight="1">
      <c r="A74" s="1223" t="s">
        <v>1837</v>
      </c>
      <c r="B74" s="1219" t="str">
        <f t="shared" si="9"/>
        <v/>
      </c>
      <c r="C74" s="1219">
        <f t="shared" si="9"/>
        <v>-7.3491267508213332E-3</v>
      </c>
      <c r="D74" s="1219">
        <f t="shared" si="9"/>
        <v>-3.849838864210442E-2</v>
      </c>
      <c r="E74" s="1219">
        <f t="shared" si="9"/>
        <v>1.8661110607844922E-2</v>
      </c>
      <c r="F74" s="1219">
        <f t="shared" si="9"/>
        <v>-9.035126722987985E-2</v>
      </c>
      <c r="G74" s="1219">
        <f t="shared" si="9"/>
        <v>2.1116433668980195E-2</v>
      </c>
      <c r="H74" s="1219">
        <f t="shared" si="9"/>
        <v>5.1603638104356087E-2</v>
      </c>
      <c r="I74" s="1219">
        <f t="shared" si="9"/>
        <v>4.6795338674435527E-2</v>
      </c>
      <c r="J74" s="1219">
        <f t="shared" si="9"/>
        <v>4.0615759262480511E-2</v>
      </c>
      <c r="K74" s="1219">
        <f t="shared" si="9"/>
        <v>2.749686585875466E-2</v>
      </c>
      <c r="L74" s="1219">
        <f t="shared" si="10"/>
        <v>5.0268423621278702E-2</v>
      </c>
      <c r="M74" s="1219">
        <f t="shared" si="10"/>
        <v>4.7010532837670205E-2</v>
      </c>
      <c r="N74" s="1219">
        <f t="shared" si="10"/>
        <v>4.4381980915748187E-2</v>
      </c>
      <c r="O74" s="1219">
        <f t="shared" si="10"/>
        <v>3.1871945605212781E-2</v>
      </c>
      <c r="P74" s="1219">
        <f t="shared" si="10"/>
        <v>3.1779806438327896E-2</v>
      </c>
      <c r="Q74" s="1219">
        <f t="shared" si="10"/>
        <v>2.2352315061202832E-2</v>
      </c>
      <c r="R74" s="1219">
        <f t="shared" si="10"/>
        <v>6.0320145757417842E-2</v>
      </c>
      <c r="S74" s="1219">
        <f t="shared" si="10"/>
        <v>2.7247621969929581E-2</v>
      </c>
      <c r="T74" s="1219">
        <f t="shared" si="10"/>
        <v>5.4901726506959792E-2</v>
      </c>
      <c r="U74" s="1219">
        <f t="shared" si="10"/>
        <v>-1.4667572771548287E-2</v>
      </c>
      <c r="V74" s="1219">
        <f t="shared" si="10"/>
        <v>8.1039140180469982E-3</v>
      </c>
      <c r="W74" s="1219">
        <f t="shared" si="10"/>
        <v>-2.7366020524515422E-2</v>
      </c>
      <c r="X74" s="1219">
        <f t="shared" si="10"/>
        <v>-2.6670574443141803E-2</v>
      </c>
      <c r="Y74" s="1219">
        <f t="shared" si="10"/>
        <v>6.4790725685034634E-2</v>
      </c>
      <c r="Z74" s="1219">
        <f t="shared" si="8"/>
        <v>1.8624015216023748E-2</v>
      </c>
    </row>
    <row r="75" spans="1:26" ht="12.75" customHeight="1">
      <c r="A75" s="1223" t="s">
        <v>1838</v>
      </c>
      <c r="B75" s="1219" t="str">
        <f t="shared" si="9"/>
        <v/>
      </c>
      <c r="C75" s="1219">
        <f t="shared" si="9"/>
        <v>-1.9941619296358959E-2</v>
      </c>
      <c r="D75" s="1219">
        <f t="shared" si="9"/>
        <v>-3.2778404815650863E-2</v>
      </c>
      <c r="E75" s="1219">
        <f t="shared" si="9"/>
        <v>-0.1297709923664121</v>
      </c>
      <c r="F75" s="1219">
        <f t="shared" si="9"/>
        <v>-7.6507617238425252E-2</v>
      </c>
      <c r="G75" s="1219">
        <f t="shared" si="9"/>
        <v>-1.3148872665671885E-2</v>
      </c>
      <c r="H75" s="1219">
        <f t="shared" si="9"/>
        <v>4.3998038173866938E-2</v>
      </c>
      <c r="I75" s="1219">
        <f t="shared" si="9"/>
        <v>0.10231565760369565</v>
      </c>
      <c r="J75" s="1219">
        <f t="shared" si="9"/>
        <v>9.3191746279788434E-2</v>
      </c>
      <c r="K75" s="1219">
        <f t="shared" si="9"/>
        <v>0.44405639842760136</v>
      </c>
      <c r="L75" s="1219">
        <f t="shared" si="10"/>
        <v>2.4634697803124883E-2</v>
      </c>
      <c r="M75" s="1219">
        <f t="shared" si="10"/>
        <v>2.9520578774605122E-2</v>
      </c>
      <c r="N75" s="1219">
        <f t="shared" si="10"/>
        <v>3.1979782038431104E-2</v>
      </c>
      <c r="O75" s="1219">
        <f t="shared" si="10"/>
        <v>2.2412350041848939E-2</v>
      </c>
      <c r="P75" s="1219">
        <f t="shared" si="10"/>
        <v>2.946051381561654E-2</v>
      </c>
      <c r="Q75" s="1219">
        <f t="shared" si="10"/>
        <v>1.9025927489421779E-2</v>
      </c>
      <c r="R75" s="1219">
        <f t="shared" si="10"/>
        <v>1.4672588367903305E-2</v>
      </c>
      <c r="S75" s="1219">
        <f t="shared" si="10"/>
        <v>2.2939177000057098E-2</v>
      </c>
      <c r="T75" s="1219">
        <f t="shared" si="10"/>
        <v>4.2594070801388328E-2</v>
      </c>
      <c r="U75" s="1219">
        <f t="shared" si="10"/>
        <v>-1.687038735121571E-2</v>
      </c>
      <c r="V75" s="1219">
        <f t="shared" si="10"/>
        <v>6.9907273254130597E-3</v>
      </c>
      <c r="W75" s="1219">
        <f t="shared" si="10"/>
        <v>-6.0519405776771062E-3</v>
      </c>
      <c r="X75" s="1219">
        <f t="shared" si="10"/>
        <v>-7.6666274619789809E-2</v>
      </c>
      <c r="Y75" s="1219">
        <f t="shared" si="10"/>
        <v>1.1229391418520862E-2</v>
      </c>
      <c r="Z75" s="1219">
        <f t="shared" si="8"/>
        <v>2.0242475507781466E-2</v>
      </c>
    </row>
    <row r="76" spans="1:26" ht="12.75" customHeight="1">
      <c r="A76" s="1223" t="s">
        <v>1839</v>
      </c>
      <c r="B76" s="1219" t="str">
        <f t="shared" si="9"/>
        <v/>
      </c>
      <c r="C76" s="1219">
        <f t="shared" si="9"/>
        <v>1</v>
      </c>
      <c r="D76" s="1219">
        <f t="shared" si="9"/>
        <v>-0.10000000000000009</v>
      </c>
      <c r="E76" s="1219">
        <f t="shared" si="9"/>
        <v>0.33333333333333348</v>
      </c>
      <c r="F76" s="1219">
        <f t="shared" si="9"/>
        <v>-0.16666666666666663</v>
      </c>
      <c r="G76" s="1219">
        <f t="shared" si="9"/>
        <v>1</v>
      </c>
      <c r="H76" s="1219">
        <f t="shared" si="9"/>
        <v>0.19999999999999996</v>
      </c>
      <c r="I76" s="1219">
        <f t="shared" si="9"/>
        <v>4.1666666666666741E-2</v>
      </c>
      <c r="J76" s="1219" t="str">
        <f t="shared" si="9"/>
        <v>–</v>
      </c>
      <c r="K76" s="1219">
        <f t="shared" si="9"/>
        <v>0.43999999999999995</v>
      </c>
      <c r="L76" s="1219">
        <f t="shared" si="10"/>
        <v>0.25</v>
      </c>
      <c r="M76" s="1219">
        <f t="shared" si="10"/>
        <v>-0.15555555555555545</v>
      </c>
      <c r="N76" s="1219">
        <f t="shared" si="10"/>
        <v>-5.2631578947368474E-2</v>
      </c>
      <c r="O76" s="1219">
        <f t="shared" si="10"/>
        <v>-8.333333333333337E-2</v>
      </c>
      <c r="P76" s="1219">
        <f t="shared" si="10"/>
        <v>-0.21212121212121204</v>
      </c>
      <c r="Q76" s="1219">
        <f t="shared" si="10"/>
        <v>-0.11538461538461542</v>
      </c>
      <c r="R76" s="1219">
        <f t="shared" si="10"/>
        <v>-0.47826086956521741</v>
      </c>
      <c r="S76" s="1219">
        <f t="shared" si="10"/>
        <v>-8.333333333333337E-2</v>
      </c>
      <c r="T76" s="1219">
        <f t="shared" si="10"/>
        <v>0.18181818181818188</v>
      </c>
      <c r="U76" s="1219">
        <f t="shared" si="10"/>
        <v>0.30769230769230771</v>
      </c>
      <c r="V76" s="1219">
        <f t="shared" si="10"/>
        <v>-5.8823529411764719E-2</v>
      </c>
      <c r="W76" s="1219" t="str">
        <f t="shared" si="10"/>
        <v>–</v>
      </c>
      <c r="X76" s="1219" t="str">
        <f t="shared" si="10"/>
        <v>–</v>
      </c>
      <c r="Y76" s="1219">
        <f t="shared" si="10"/>
        <v>3.6648187500000002</v>
      </c>
      <c r="Z76" s="1219">
        <f t="shared" si="8"/>
        <v>0.12471584964559757</v>
      </c>
    </row>
    <row r="77" spans="1:26" ht="12.75" customHeight="1">
      <c r="A77" s="1223" t="s">
        <v>1840</v>
      </c>
      <c r="B77" s="1219" t="str">
        <f t="shared" ref="B77:K86" si="11">IFERROR(IF(OR(SECTOR_AAC=0,SECTOR_AAC=-1),CHAR(150),SECTOR_AAC),IF(COLUMN()&lt;=2,"",CHAR(150)))</f>
        <v/>
      </c>
      <c r="C77" s="1219">
        <f t="shared" si="11"/>
        <v>-0.55226824457593682</v>
      </c>
      <c r="D77" s="1219">
        <f t="shared" si="11"/>
        <v>0.15859030837004395</v>
      </c>
      <c r="E77" s="1219">
        <f t="shared" si="11"/>
        <v>-0.21292775665399233</v>
      </c>
      <c r="F77" s="1219">
        <f t="shared" si="11"/>
        <v>-0.18357487922705318</v>
      </c>
      <c r="G77" s="1219">
        <f t="shared" si="11"/>
        <v>-0.11538461538461542</v>
      </c>
      <c r="H77" s="1219">
        <f t="shared" si="11"/>
        <v>1.3377926421404673E-2</v>
      </c>
      <c r="I77" s="1219">
        <f t="shared" si="11"/>
        <v>0.17821782178217838</v>
      </c>
      <c r="J77" s="1219">
        <f t="shared" si="11"/>
        <v>0.1568627450980391</v>
      </c>
      <c r="K77" s="1219">
        <f t="shared" si="11"/>
        <v>0.27845036319612593</v>
      </c>
      <c r="L77" s="1219">
        <f t="shared" ref="L77:Y86" si="12">IFERROR(IF(OR(SECTOR_AAC=0,SECTOR_AAC=-1),CHAR(150),SECTOR_AAC),IF(COLUMN()&lt;=2,"",CHAR(150)))</f>
        <v>6.0606060606060552E-2</v>
      </c>
      <c r="M77" s="1219">
        <f t="shared" si="12"/>
        <v>4.2857142857142927E-2</v>
      </c>
      <c r="N77" s="1219">
        <f t="shared" si="12"/>
        <v>7.5342465753424515E-2</v>
      </c>
      <c r="O77" s="1219">
        <f t="shared" si="12"/>
        <v>3.1847133757961776E-2</v>
      </c>
      <c r="P77" s="1219">
        <f t="shared" si="12"/>
        <v>4.0123456790123635E-2</v>
      </c>
      <c r="Q77" s="1219">
        <f t="shared" si="12"/>
        <v>4.4510385756676651E-2</v>
      </c>
      <c r="R77" s="1219">
        <f t="shared" si="12"/>
        <v>1.1817265395894339E-2</v>
      </c>
      <c r="S77" s="1219">
        <f t="shared" si="12"/>
        <v>8.5187415937940214E-2</v>
      </c>
      <c r="T77" s="1219">
        <f t="shared" si="12"/>
        <v>-2.7166882276843607E-2</v>
      </c>
      <c r="U77" s="1219">
        <f t="shared" si="12"/>
        <v>7.1808510638297962E-2</v>
      </c>
      <c r="V77" s="1219">
        <f t="shared" si="12"/>
        <v>-2.4813895781637729E-2</v>
      </c>
      <c r="W77" s="1219">
        <f t="shared" si="12"/>
        <v>-1.5267175572518998E-2</v>
      </c>
      <c r="X77" s="1219">
        <f t="shared" si="12"/>
        <v>4.7803617571059442E-2</v>
      </c>
      <c r="Y77" s="1219">
        <f t="shared" si="12"/>
        <v>-0.23092478421701601</v>
      </c>
      <c r="Z77" s="1219">
        <f t="shared" si="8"/>
        <v>-2.0906905275321352E-2</v>
      </c>
    </row>
    <row r="78" spans="1:26" ht="12.75" customHeight="1">
      <c r="A78" s="1223" t="s">
        <v>1841</v>
      </c>
      <c r="B78" s="1219" t="str">
        <f t="shared" si="11"/>
        <v/>
      </c>
      <c r="C78" s="1219" t="str">
        <f t="shared" si="11"/>
        <v>–</v>
      </c>
      <c r="D78" s="1219" t="str">
        <f t="shared" si="11"/>
        <v>–</v>
      </c>
      <c r="E78" s="1219" t="str">
        <f t="shared" si="11"/>
        <v>–</v>
      </c>
      <c r="F78" s="1219" t="str">
        <f t="shared" si="11"/>
        <v>–</v>
      </c>
      <c r="G78" s="1219" t="str">
        <f t="shared" si="11"/>
        <v>–</v>
      </c>
      <c r="H78" s="1219" t="str">
        <f t="shared" si="11"/>
        <v>–</v>
      </c>
      <c r="I78" s="1219" t="str">
        <f t="shared" si="11"/>
        <v>–</v>
      </c>
      <c r="J78" s="1219" t="str">
        <f t="shared" si="11"/>
        <v>–</v>
      </c>
      <c r="K78" s="1219" t="str">
        <f t="shared" si="11"/>
        <v>–</v>
      </c>
      <c r="L78" s="1219" t="str">
        <f t="shared" si="12"/>
        <v>–</v>
      </c>
      <c r="M78" s="1219" t="str">
        <f t="shared" si="12"/>
        <v>–</v>
      </c>
      <c r="N78" s="1219" t="str">
        <f t="shared" si="12"/>
        <v>–</v>
      </c>
      <c r="O78" s="1219" t="str">
        <f t="shared" si="12"/>
        <v>–</v>
      </c>
      <c r="P78" s="1219" t="str">
        <f t="shared" si="12"/>
        <v>–</v>
      </c>
      <c r="Q78" s="1219" t="str">
        <f t="shared" si="12"/>
        <v>–</v>
      </c>
      <c r="R78" s="1219" t="str">
        <f t="shared" si="12"/>
        <v>–</v>
      </c>
      <c r="S78" s="1219" t="str">
        <f t="shared" si="12"/>
        <v>–</v>
      </c>
      <c r="T78" s="1219" t="str">
        <f t="shared" si="12"/>
        <v>–</v>
      </c>
      <c r="U78" s="1219" t="str">
        <f t="shared" si="12"/>
        <v>–</v>
      </c>
      <c r="V78" s="1219" t="str">
        <f t="shared" si="12"/>
        <v>–</v>
      </c>
      <c r="W78" s="1219" t="str">
        <f t="shared" si="12"/>
        <v>–</v>
      </c>
      <c r="X78" s="1219" t="str">
        <f t="shared" si="12"/>
        <v>–</v>
      </c>
      <c r="Y78" s="1219" t="str">
        <f t="shared" si="12"/>
        <v>–</v>
      </c>
      <c r="Z78" s="1219" t="str">
        <f t="shared" si="8"/>
        <v>–</v>
      </c>
    </row>
    <row r="79" spans="1:26" ht="12.75" customHeight="1">
      <c r="A79" s="1223" t="s">
        <v>1842</v>
      </c>
      <c r="B79" s="1219" t="str">
        <f t="shared" si="11"/>
        <v/>
      </c>
      <c r="C79" s="1219" t="str">
        <f t="shared" si="11"/>
        <v>–</v>
      </c>
      <c r="D79" s="1219">
        <f t="shared" si="11"/>
        <v>-0.37313432835820892</v>
      </c>
      <c r="E79" s="1219">
        <f t="shared" si="11"/>
        <v>-0.15476190476190477</v>
      </c>
      <c r="F79" s="1219" t="str">
        <f t="shared" si="11"/>
        <v>–</v>
      </c>
      <c r="G79" s="1219">
        <f t="shared" si="11"/>
        <v>-2.8169014084507005E-2</v>
      </c>
      <c r="H79" s="1219">
        <f t="shared" si="11"/>
        <v>1.4492753623188248E-2</v>
      </c>
      <c r="I79" s="1219">
        <f t="shared" si="11"/>
        <v>-0.51428571428571423</v>
      </c>
      <c r="J79" s="1219">
        <f t="shared" si="11"/>
        <v>-2.9411764705882359E-2</v>
      </c>
      <c r="K79" s="1219">
        <f t="shared" si="11"/>
        <v>-9.0909090909090939E-2</v>
      </c>
      <c r="L79" s="1219" t="str">
        <f t="shared" si="12"/>
        <v>–</v>
      </c>
      <c r="M79" s="1219">
        <f t="shared" si="12"/>
        <v>6.6666666666666652E-2</v>
      </c>
      <c r="N79" s="1219">
        <f t="shared" si="12"/>
        <v>-3.125E-2</v>
      </c>
      <c r="O79" s="1219">
        <f t="shared" si="12"/>
        <v>0.19354838709677424</v>
      </c>
      <c r="P79" s="1219">
        <f t="shared" si="12"/>
        <v>0.32432432432432434</v>
      </c>
      <c r="Q79" s="1219">
        <f t="shared" si="12"/>
        <v>0.34693877551020424</v>
      </c>
      <c r="R79" s="1219" t="str">
        <f t="shared" si="12"/>
        <v>–</v>
      </c>
      <c r="S79" s="1219" t="str">
        <f t="shared" si="12"/>
        <v>–</v>
      </c>
      <c r="T79" s="1219">
        <f t="shared" si="12"/>
        <v>-0.23809523809523814</v>
      </c>
      <c r="U79" s="1219">
        <f t="shared" si="12"/>
        <v>-0.21875</v>
      </c>
      <c r="V79" s="1219" t="str">
        <f t="shared" si="12"/>
        <v>–</v>
      </c>
      <c r="W79" s="1219">
        <f t="shared" si="12"/>
        <v>-0.15999999999999992</v>
      </c>
      <c r="X79" s="1219">
        <f t="shared" si="12"/>
        <v>4.7619047619047672E-2</v>
      </c>
      <c r="Y79" s="1219" t="str">
        <f t="shared" si="12"/>
        <v>–</v>
      </c>
      <c r="Z79" s="1219" t="str">
        <f t="shared" si="8"/>
        <v>–</v>
      </c>
    </row>
    <row r="80" spans="1:26" ht="12.75" customHeight="1">
      <c r="A80" s="1223" t="s">
        <v>1843</v>
      </c>
      <c r="B80" s="1219" t="str">
        <f t="shared" si="11"/>
        <v/>
      </c>
      <c r="C80" s="1219" t="str">
        <f t="shared" si="11"/>
        <v>–</v>
      </c>
      <c r="D80" s="1219">
        <f t="shared" si="11"/>
        <v>-0.33333333333333337</v>
      </c>
      <c r="E80" s="1219">
        <f t="shared" si="11"/>
        <v>-0.5</v>
      </c>
      <c r="F80" s="1219" t="str">
        <f t="shared" si="11"/>
        <v>–</v>
      </c>
      <c r="G80" s="1219" t="str">
        <f t="shared" si="11"/>
        <v>–</v>
      </c>
      <c r="H80" s="1219" t="str">
        <f t="shared" si="11"/>
        <v>–</v>
      </c>
      <c r="I80" s="1219" t="str">
        <f t="shared" si="11"/>
        <v>–</v>
      </c>
      <c r="J80" s="1219" t="str">
        <f t="shared" si="11"/>
        <v>–</v>
      </c>
      <c r="K80" s="1219" t="str">
        <f t="shared" si="11"/>
        <v>–</v>
      </c>
      <c r="L80" s="1219" t="str">
        <f t="shared" si="12"/>
        <v>–</v>
      </c>
      <c r="M80" s="1219" t="str">
        <f t="shared" si="12"/>
        <v>–</v>
      </c>
      <c r="N80" s="1219" t="str">
        <f t="shared" si="12"/>
        <v>–</v>
      </c>
      <c r="O80" s="1219" t="str">
        <f t="shared" si="12"/>
        <v>–</v>
      </c>
      <c r="P80" s="1219" t="str">
        <f t="shared" si="12"/>
        <v>–</v>
      </c>
      <c r="Q80" s="1219" t="str">
        <f t="shared" si="12"/>
        <v>–</v>
      </c>
      <c r="R80" s="1219" t="str">
        <f t="shared" si="12"/>
        <v>–</v>
      </c>
      <c r="S80" s="1219" t="str">
        <f t="shared" si="12"/>
        <v>–</v>
      </c>
      <c r="T80" s="1219" t="str">
        <f t="shared" si="12"/>
        <v>–</v>
      </c>
      <c r="U80" s="1219" t="str">
        <f t="shared" si="12"/>
        <v>–</v>
      </c>
      <c r="V80" s="1219" t="str">
        <f t="shared" si="12"/>
        <v>–</v>
      </c>
      <c r="W80" s="1219" t="str">
        <f t="shared" si="12"/>
        <v>–</v>
      </c>
      <c r="X80" s="1219" t="str">
        <f t="shared" si="12"/>
        <v>–</v>
      </c>
      <c r="Y80" s="1219" t="str">
        <f t="shared" si="12"/>
        <v>–</v>
      </c>
      <c r="Z80" s="1219" t="str">
        <f t="shared" si="8"/>
        <v>–</v>
      </c>
    </row>
    <row r="81" spans="1:26" ht="12.75" customHeight="1">
      <c r="A81" s="1217" t="s">
        <v>1844</v>
      </c>
      <c r="B81" s="1219" t="str">
        <f t="shared" si="11"/>
        <v/>
      </c>
      <c r="C81" s="1219">
        <f t="shared" si="11"/>
        <v>-1.0840108401083959E-2</v>
      </c>
      <c r="D81" s="1219">
        <f t="shared" si="11"/>
        <v>-7.9452054794520999E-3</v>
      </c>
      <c r="E81" s="1219">
        <f t="shared" si="11"/>
        <v>-8.2850041425019949E-4</v>
      </c>
      <c r="F81" s="1219">
        <f t="shared" si="11"/>
        <v>2.6810392482034207E-2</v>
      </c>
      <c r="G81" s="1219">
        <f t="shared" si="11"/>
        <v>2.0188425302826385E-2</v>
      </c>
      <c r="H81" s="1219">
        <f t="shared" si="11"/>
        <v>1.715039577836408E-2</v>
      </c>
      <c r="I81" s="1219">
        <f t="shared" si="11"/>
        <v>5.5252918287937769E-2</v>
      </c>
      <c r="J81" s="1219">
        <f t="shared" si="11"/>
        <v>0.11996066863323507</v>
      </c>
      <c r="K81" s="1219">
        <f t="shared" si="11"/>
        <v>1.3608428446005183E-2</v>
      </c>
      <c r="L81" s="1219">
        <f t="shared" si="12"/>
        <v>5.4569077522737208E-2</v>
      </c>
      <c r="M81" s="1219">
        <f t="shared" si="12"/>
        <v>4.7227926078028393E-3</v>
      </c>
      <c r="N81" s="1219">
        <f t="shared" si="12"/>
        <v>4.0057224606580899E-2</v>
      </c>
      <c r="O81" s="1219">
        <f t="shared" si="12"/>
        <v>2.6724307329534236E-2</v>
      </c>
      <c r="P81" s="1219">
        <f t="shared" si="12"/>
        <v>9.7607655502391921E-3</v>
      </c>
      <c r="Q81" s="1219">
        <f t="shared" si="12"/>
        <v>1.3836239575435894E-2</v>
      </c>
      <c r="R81" s="1219">
        <f t="shared" si="12"/>
        <v>7.478033277248386E-4</v>
      </c>
      <c r="S81" s="1219">
        <f t="shared" si="12"/>
        <v>1.5878946385204484E-2</v>
      </c>
      <c r="T81" s="1219">
        <f t="shared" si="12"/>
        <v>-1.0114012504597314E-2</v>
      </c>
      <c r="U81" s="1219">
        <f t="shared" si="12"/>
        <v>-4.2727103845439096E-3</v>
      </c>
      <c r="V81" s="1219">
        <f t="shared" si="12"/>
        <v>9.3283582089551675E-3</v>
      </c>
      <c r="W81" s="1219">
        <f t="shared" si="12"/>
        <v>4.6210720887245316E-3</v>
      </c>
      <c r="X81" s="1219">
        <f t="shared" si="12"/>
        <v>1.2879484820607079E-3</v>
      </c>
      <c r="Y81" s="1219">
        <f t="shared" si="12"/>
        <v>0.13894077085630285</v>
      </c>
      <c r="Z81" s="1219">
        <f t="shared" si="8"/>
        <v>2.2804788601380466E-2</v>
      </c>
    </row>
    <row r="82" spans="1:26" ht="12.75" customHeight="1">
      <c r="A82" s="1223" t="s">
        <v>1845</v>
      </c>
      <c r="B82" s="1219" t="str">
        <f t="shared" si="11"/>
        <v/>
      </c>
      <c r="C82" s="1219" t="str">
        <f t="shared" si="11"/>
        <v>–</v>
      </c>
      <c r="D82" s="1219" t="str">
        <f t="shared" si="11"/>
        <v>–</v>
      </c>
      <c r="E82" s="1219" t="str">
        <f t="shared" si="11"/>
        <v>–</v>
      </c>
      <c r="F82" s="1219" t="str">
        <f t="shared" si="11"/>
        <v>–</v>
      </c>
      <c r="G82" s="1219" t="str">
        <f t="shared" si="11"/>
        <v>–</v>
      </c>
      <c r="H82" s="1219" t="str">
        <f t="shared" si="11"/>
        <v>–</v>
      </c>
      <c r="I82" s="1219" t="str">
        <f t="shared" si="11"/>
        <v>–</v>
      </c>
      <c r="J82" s="1219" t="str">
        <f t="shared" si="11"/>
        <v>–</v>
      </c>
      <c r="K82" s="1219" t="str">
        <f t="shared" si="11"/>
        <v>–</v>
      </c>
      <c r="L82" s="1219" t="str">
        <f t="shared" si="12"/>
        <v>–</v>
      </c>
      <c r="M82" s="1219" t="str">
        <f t="shared" si="12"/>
        <v>–</v>
      </c>
      <c r="N82" s="1219" t="str">
        <f t="shared" si="12"/>
        <v>–</v>
      </c>
      <c r="O82" s="1219" t="str">
        <f t="shared" si="12"/>
        <v>–</v>
      </c>
      <c r="P82" s="1219" t="str">
        <f t="shared" si="12"/>
        <v>–</v>
      </c>
      <c r="Q82" s="1219" t="str">
        <f t="shared" si="12"/>
        <v>–</v>
      </c>
      <c r="R82" s="1219">
        <f t="shared" si="12"/>
        <v>7.478033277248386E-4</v>
      </c>
      <c r="S82" s="1219">
        <f t="shared" si="12"/>
        <v>1.5878946385204484E-2</v>
      </c>
      <c r="T82" s="1219">
        <f t="shared" si="12"/>
        <v>-1.0114012504597314E-2</v>
      </c>
      <c r="U82" s="1219">
        <f t="shared" si="12"/>
        <v>-4.2727103845439096E-3</v>
      </c>
      <c r="V82" s="1219">
        <f t="shared" si="12"/>
        <v>9.3283582089551675E-3</v>
      </c>
      <c r="W82" s="1219">
        <f t="shared" si="12"/>
        <v>4.6210720887245316E-3</v>
      </c>
      <c r="X82" s="1219">
        <f t="shared" si="12"/>
        <v>1.2879484820607079E-3</v>
      </c>
      <c r="Y82" s="1219">
        <f t="shared" si="12"/>
        <v>0.14819518559353173</v>
      </c>
      <c r="Z82" s="1219">
        <f t="shared" si="8"/>
        <v>2.3164729059965694E-2</v>
      </c>
    </row>
    <row r="83" spans="1:26" ht="12.75" customHeight="1">
      <c r="A83" s="1223" t="s">
        <v>1846</v>
      </c>
      <c r="B83" s="1219" t="str">
        <f t="shared" si="11"/>
        <v/>
      </c>
      <c r="C83" s="1219" t="str">
        <f t="shared" si="11"/>
        <v>–</v>
      </c>
      <c r="D83" s="1219" t="str">
        <f t="shared" si="11"/>
        <v>–</v>
      </c>
      <c r="E83" s="1219" t="str">
        <f t="shared" si="11"/>
        <v>–</v>
      </c>
      <c r="F83" s="1219" t="str">
        <f t="shared" si="11"/>
        <v>–</v>
      </c>
      <c r="G83" s="1219" t="str">
        <f t="shared" si="11"/>
        <v>–</v>
      </c>
      <c r="H83" s="1219" t="str">
        <f t="shared" si="11"/>
        <v>–</v>
      </c>
      <c r="I83" s="1219" t="str">
        <f t="shared" si="11"/>
        <v>–</v>
      </c>
      <c r="J83" s="1219" t="str">
        <f t="shared" si="11"/>
        <v>–</v>
      </c>
      <c r="K83" s="1219" t="str">
        <f t="shared" si="11"/>
        <v>–</v>
      </c>
      <c r="L83" s="1219" t="str">
        <f t="shared" si="12"/>
        <v>–</v>
      </c>
      <c r="M83" s="1219" t="str">
        <f t="shared" si="12"/>
        <v>–</v>
      </c>
      <c r="N83" s="1219" t="str">
        <f t="shared" si="12"/>
        <v>–</v>
      </c>
      <c r="O83" s="1219" t="str">
        <f t="shared" si="12"/>
        <v>–</v>
      </c>
      <c r="P83" s="1219" t="str">
        <f t="shared" si="12"/>
        <v>–</v>
      </c>
      <c r="Q83" s="1219" t="str">
        <f t="shared" si="12"/>
        <v>–</v>
      </c>
      <c r="R83" s="1219" t="str">
        <f t="shared" si="12"/>
        <v>–</v>
      </c>
      <c r="S83" s="1219" t="str">
        <f t="shared" si="12"/>
        <v>–</v>
      </c>
      <c r="T83" s="1219" t="str">
        <f t="shared" si="12"/>
        <v>–</v>
      </c>
      <c r="U83" s="1219" t="str">
        <f t="shared" si="12"/>
        <v>–</v>
      </c>
      <c r="V83" s="1219" t="str">
        <f t="shared" si="12"/>
        <v>–</v>
      </c>
      <c r="W83" s="1219" t="str">
        <f t="shared" si="12"/>
        <v>–</v>
      </c>
      <c r="X83" s="1219" t="str">
        <f t="shared" si="12"/>
        <v>–</v>
      </c>
      <c r="Y83" s="1219" t="str">
        <f t="shared" si="12"/>
        <v>–</v>
      </c>
      <c r="Z83" s="1219" t="str">
        <f t="shared" si="8"/>
        <v>–</v>
      </c>
    </row>
    <row r="84" spans="1:26" ht="12.75" customHeight="1">
      <c r="A84" s="1223" t="s">
        <v>1847</v>
      </c>
      <c r="B84" s="1219" t="str">
        <f t="shared" si="11"/>
        <v/>
      </c>
      <c r="C84" s="1219" t="str">
        <f t="shared" si="11"/>
        <v>–</v>
      </c>
      <c r="D84" s="1219" t="str">
        <f t="shared" si="11"/>
        <v>–</v>
      </c>
      <c r="E84" s="1219" t="str">
        <f t="shared" si="11"/>
        <v>–</v>
      </c>
      <c r="F84" s="1219" t="str">
        <f t="shared" si="11"/>
        <v>–</v>
      </c>
      <c r="G84" s="1219" t="str">
        <f t="shared" si="11"/>
        <v>–</v>
      </c>
      <c r="H84" s="1219" t="str">
        <f t="shared" si="11"/>
        <v>–</v>
      </c>
      <c r="I84" s="1219" t="str">
        <f t="shared" si="11"/>
        <v>–</v>
      </c>
      <c r="J84" s="1219" t="str">
        <f t="shared" si="11"/>
        <v>–</v>
      </c>
      <c r="K84" s="1219" t="str">
        <f t="shared" si="11"/>
        <v>–</v>
      </c>
      <c r="L84" s="1219" t="str">
        <f t="shared" si="12"/>
        <v>–</v>
      </c>
      <c r="M84" s="1219" t="str">
        <f t="shared" si="12"/>
        <v>–</v>
      </c>
      <c r="N84" s="1219" t="str">
        <f t="shared" si="12"/>
        <v>–</v>
      </c>
      <c r="O84" s="1219" t="str">
        <f t="shared" si="12"/>
        <v>–</v>
      </c>
      <c r="P84" s="1219" t="str">
        <f t="shared" si="12"/>
        <v>–</v>
      </c>
      <c r="Q84" s="1219" t="str">
        <f t="shared" si="12"/>
        <v>–</v>
      </c>
      <c r="R84" s="1219" t="str">
        <f t="shared" si="12"/>
        <v>–</v>
      </c>
      <c r="S84" s="1219" t="str">
        <f t="shared" si="12"/>
        <v>–</v>
      </c>
      <c r="T84" s="1219" t="str">
        <f t="shared" si="12"/>
        <v>–</v>
      </c>
      <c r="U84" s="1219" t="str">
        <f t="shared" si="12"/>
        <v>–</v>
      </c>
      <c r="V84" s="1219" t="str">
        <f t="shared" si="12"/>
        <v>–</v>
      </c>
      <c r="W84" s="1219" t="str">
        <f t="shared" si="12"/>
        <v>–</v>
      </c>
      <c r="X84" s="1219" t="str">
        <f t="shared" si="12"/>
        <v>–</v>
      </c>
      <c r="Y84" s="1219" t="str">
        <f t="shared" si="12"/>
        <v>–</v>
      </c>
      <c r="Z84" s="1219" t="str">
        <f t="shared" si="8"/>
        <v>–</v>
      </c>
    </row>
    <row r="85" spans="1:26" ht="12.75" customHeight="1">
      <c r="A85" s="1223" t="s">
        <v>1848</v>
      </c>
      <c r="B85" s="1219" t="str">
        <f t="shared" si="11"/>
        <v/>
      </c>
      <c r="C85" s="1219" t="str">
        <f t="shared" si="11"/>
        <v>–</v>
      </c>
      <c r="D85" s="1219" t="str">
        <f t="shared" si="11"/>
        <v>–</v>
      </c>
      <c r="E85" s="1219" t="str">
        <f t="shared" si="11"/>
        <v>–</v>
      </c>
      <c r="F85" s="1219" t="str">
        <f t="shared" si="11"/>
        <v>–</v>
      </c>
      <c r="G85" s="1219" t="str">
        <f t="shared" si="11"/>
        <v>–</v>
      </c>
      <c r="H85" s="1219" t="str">
        <f t="shared" si="11"/>
        <v>–</v>
      </c>
      <c r="I85" s="1219" t="str">
        <f t="shared" si="11"/>
        <v>–</v>
      </c>
      <c r="J85" s="1219" t="str">
        <f t="shared" si="11"/>
        <v>–</v>
      </c>
      <c r="K85" s="1219" t="str">
        <f t="shared" si="11"/>
        <v>–</v>
      </c>
      <c r="L85" s="1219" t="str">
        <f t="shared" si="12"/>
        <v>–</v>
      </c>
      <c r="M85" s="1219" t="str">
        <f t="shared" si="12"/>
        <v>–</v>
      </c>
      <c r="N85" s="1219" t="str">
        <f t="shared" si="12"/>
        <v>–</v>
      </c>
      <c r="O85" s="1219" t="str">
        <f t="shared" si="12"/>
        <v>–</v>
      </c>
      <c r="P85" s="1219" t="str">
        <f t="shared" si="12"/>
        <v>–</v>
      </c>
      <c r="Q85" s="1219" t="str">
        <f t="shared" si="12"/>
        <v>–</v>
      </c>
      <c r="R85" s="1219" t="str">
        <f t="shared" si="12"/>
        <v>–</v>
      </c>
      <c r="S85" s="1219" t="str">
        <f t="shared" si="12"/>
        <v>–</v>
      </c>
      <c r="T85" s="1219" t="str">
        <f t="shared" si="12"/>
        <v>–</v>
      </c>
      <c r="U85" s="1219" t="str">
        <f t="shared" si="12"/>
        <v>–</v>
      </c>
      <c r="V85" s="1219" t="str">
        <f t="shared" si="12"/>
        <v>–</v>
      </c>
      <c r="W85" s="1219" t="str">
        <f t="shared" si="12"/>
        <v>–</v>
      </c>
      <c r="X85" s="1219" t="str">
        <f t="shared" si="12"/>
        <v>–</v>
      </c>
      <c r="Y85" s="1219" t="str">
        <f t="shared" si="12"/>
        <v>–</v>
      </c>
      <c r="Z85" s="1219" t="str">
        <f t="shared" si="8"/>
        <v>–</v>
      </c>
    </row>
    <row r="86" spans="1:26" ht="12.75" customHeight="1">
      <c r="A86" s="1223" t="s">
        <v>1849</v>
      </c>
      <c r="B86" s="1219" t="str">
        <f t="shared" si="11"/>
        <v/>
      </c>
      <c r="C86" s="1219" t="str">
        <f t="shared" si="11"/>
        <v>–</v>
      </c>
      <c r="D86" s="1219" t="str">
        <f t="shared" si="11"/>
        <v>–</v>
      </c>
      <c r="E86" s="1219" t="str">
        <f t="shared" si="11"/>
        <v>–</v>
      </c>
      <c r="F86" s="1219" t="str">
        <f t="shared" si="11"/>
        <v>–</v>
      </c>
      <c r="G86" s="1219" t="str">
        <f t="shared" si="11"/>
        <v>–</v>
      </c>
      <c r="H86" s="1219" t="str">
        <f t="shared" si="11"/>
        <v>–</v>
      </c>
      <c r="I86" s="1219" t="str">
        <f t="shared" si="11"/>
        <v>–</v>
      </c>
      <c r="J86" s="1219" t="str">
        <f t="shared" si="11"/>
        <v>–</v>
      </c>
      <c r="K86" s="1219" t="str">
        <f t="shared" si="11"/>
        <v>–</v>
      </c>
      <c r="L86" s="1219" t="str">
        <f t="shared" si="12"/>
        <v>–</v>
      </c>
      <c r="M86" s="1219" t="str">
        <f t="shared" si="12"/>
        <v>–</v>
      </c>
      <c r="N86" s="1219" t="str">
        <f t="shared" si="12"/>
        <v>–</v>
      </c>
      <c r="O86" s="1219" t="str">
        <f t="shared" si="12"/>
        <v>–</v>
      </c>
      <c r="P86" s="1219" t="str">
        <f t="shared" si="12"/>
        <v>–</v>
      </c>
      <c r="Q86" s="1219" t="str">
        <f t="shared" si="12"/>
        <v>–</v>
      </c>
      <c r="R86" s="1219" t="str">
        <f t="shared" si="12"/>
        <v>–</v>
      </c>
      <c r="S86" s="1219" t="str">
        <f t="shared" si="12"/>
        <v>–</v>
      </c>
      <c r="T86" s="1219" t="str">
        <f t="shared" si="12"/>
        <v>–</v>
      </c>
      <c r="U86" s="1219" t="str">
        <f t="shared" si="12"/>
        <v>–</v>
      </c>
      <c r="V86" s="1219" t="str">
        <f t="shared" si="12"/>
        <v>–</v>
      </c>
      <c r="W86" s="1219" t="str">
        <f t="shared" si="12"/>
        <v>–</v>
      </c>
      <c r="X86" s="1219" t="str">
        <f t="shared" si="12"/>
        <v>–</v>
      </c>
      <c r="Y86" s="1219" t="str">
        <f t="shared" si="12"/>
        <v>–</v>
      </c>
      <c r="Z86" s="1219" t="str">
        <f t="shared" si="8"/>
        <v>–</v>
      </c>
    </row>
    <row r="87" spans="1:26" ht="12.75" customHeight="1">
      <c r="A87" s="1224" t="s">
        <v>1850</v>
      </c>
      <c r="B87" s="1219" t="str">
        <f t="shared" ref="B87:K92" si="13">IFERROR(IF(OR(SECTOR_AAC=0,SECTOR_AAC=-1),CHAR(150),SECTOR_AAC),IF(COLUMN()&lt;=2,"",CHAR(150)))</f>
        <v/>
      </c>
      <c r="C87" s="1219">
        <f t="shared" si="13"/>
        <v>-8.2199546485260733E-2</v>
      </c>
      <c r="D87" s="1219">
        <f t="shared" si="13"/>
        <v>6.1766522544781655E-3</v>
      </c>
      <c r="E87" s="1219">
        <f t="shared" si="13"/>
        <v>1.0804174340085959E-2</v>
      </c>
      <c r="F87" s="1219">
        <f t="shared" si="13"/>
        <v>8.4734488961379917E-3</v>
      </c>
      <c r="G87" s="1219">
        <f t="shared" si="13"/>
        <v>1.2164626802326328E-2</v>
      </c>
      <c r="H87" s="1219">
        <f t="shared" si="13"/>
        <v>8.0916142997182749E-3</v>
      </c>
      <c r="I87" s="1219">
        <f t="shared" si="13"/>
        <v>5.9019600128156213E-3</v>
      </c>
      <c r="J87" s="1219">
        <f t="shared" si="13"/>
        <v>2.5816257536728227E-3</v>
      </c>
      <c r="K87" s="1219">
        <f t="shared" si="13"/>
        <v>2.9261115043557329E-3</v>
      </c>
      <c r="L87" s="1219">
        <f t="shared" ref="L87:Y92" si="14">IFERROR(IF(OR(SECTOR_AAC=0,SECTOR_AAC=-1),CHAR(150),SECTOR_AAC),IF(COLUMN()&lt;=2,"",CHAR(150)))</f>
        <v>-2.5808029164628987E-2</v>
      </c>
      <c r="M87" s="1219">
        <f t="shared" si="14"/>
        <v>6.0490587564175691E-2</v>
      </c>
      <c r="N87" s="1219">
        <f t="shared" si="14"/>
        <v>1.3867372407263989E-2</v>
      </c>
      <c r="O87" s="1219">
        <f t="shared" si="14"/>
        <v>1.3481393448711243E-2</v>
      </c>
      <c r="P87" s="1219">
        <f t="shared" si="14"/>
        <v>3.1305130795768132E-2</v>
      </c>
      <c r="Q87" s="1219">
        <f t="shared" si="14"/>
        <v>-2.7933584767744657E-2</v>
      </c>
      <c r="R87" s="1219">
        <f t="shared" si="14"/>
        <v>2.9765013054830369E-2</v>
      </c>
      <c r="S87" s="1219">
        <f t="shared" si="14"/>
        <v>2.3833671399594358E-2</v>
      </c>
      <c r="T87" s="1219">
        <f t="shared" si="14"/>
        <v>2.2783556215948408E-2</v>
      </c>
      <c r="U87" s="1219">
        <f t="shared" si="14"/>
        <v>6.2953995157384313E-3</v>
      </c>
      <c r="V87" s="1219">
        <f t="shared" si="14"/>
        <v>2.9355149181905738E-2</v>
      </c>
      <c r="W87" s="1219">
        <f t="shared" si="14"/>
        <v>1.0285179990649818E-2</v>
      </c>
      <c r="X87" s="1219">
        <f t="shared" si="14"/>
        <v>0.14548819990745021</v>
      </c>
      <c r="Y87" s="1219">
        <f t="shared" si="14"/>
        <v>-0.68942964009857</v>
      </c>
      <c r="Z87" s="1219">
        <f t="shared" si="8"/>
        <v>-3.7509584322547251E-2</v>
      </c>
    </row>
    <row r="88" spans="1:26" ht="12.75" customHeight="1">
      <c r="A88" s="1225" t="s">
        <v>1851</v>
      </c>
      <c r="B88" s="1219" t="str">
        <f t="shared" si="13"/>
        <v/>
      </c>
      <c r="C88" s="1219" t="str">
        <f t="shared" si="13"/>
        <v>–</v>
      </c>
      <c r="D88" s="1219">
        <f t="shared" si="13"/>
        <v>6.3232572486118244E-3</v>
      </c>
      <c r="E88" s="1219">
        <f t="shared" si="13"/>
        <v>1.1340996168582418E-2</v>
      </c>
      <c r="F88" s="1219">
        <f t="shared" si="13"/>
        <v>5.9099863615699189E-3</v>
      </c>
      <c r="G88" s="1219">
        <f t="shared" si="13"/>
        <v>1.3708948478457383E-2</v>
      </c>
      <c r="H88" s="1219">
        <f t="shared" si="13"/>
        <v>7.1333036112350978E-3</v>
      </c>
      <c r="I88" s="1219">
        <f t="shared" si="13"/>
        <v>5.7547587428063984E-3</v>
      </c>
      <c r="J88" s="1219">
        <f t="shared" si="13"/>
        <v>1.0269953051642577E-3</v>
      </c>
      <c r="K88" s="1219">
        <f t="shared" si="13"/>
        <v>5.862523816504428E-4</v>
      </c>
      <c r="L88" s="1219" t="str">
        <f t="shared" si="14"/>
        <v>–</v>
      </c>
      <c r="M88" s="1219" t="str">
        <f t="shared" si="14"/>
        <v>–</v>
      </c>
      <c r="N88" s="1219">
        <f t="shared" si="14"/>
        <v>1.047345767575325E-2</v>
      </c>
      <c r="O88" s="1219">
        <f t="shared" si="14"/>
        <v>1.0648871219650635E-2</v>
      </c>
      <c r="P88" s="1219">
        <f t="shared" si="14"/>
        <v>2.8519246979488599E-2</v>
      </c>
      <c r="Q88" s="1219" t="str">
        <f t="shared" si="14"/>
        <v>–</v>
      </c>
      <c r="R88" s="1219" t="str">
        <f t="shared" si="14"/>
        <v>–</v>
      </c>
      <c r="S88" s="1219" t="str">
        <f t="shared" si="14"/>
        <v>–</v>
      </c>
      <c r="T88" s="1219" t="str">
        <f t="shared" si="14"/>
        <v>–</v>
      </c>
      <c r="U88" s="1219" t="str">
        <f t="shared" si="14"/>
        <v>–</v>
      </c>
      <c r="V88" s="1219" t="str">
        <f t="shared" si="14"/>
        <v>–</v>
      </c>
      <c r="W88" s="1219" t="str">
        <f t="shared" si="14"/>
        <v>–</v>
      </c>
      <c r="X88" s="1219" t="str">
        <f t="shared" si="14"/>
        <v>–</v>
      </c>
      <c r="Y88" s="1219" t="str">
        <f t="shared" si="14"/>
        <v>–</v>
      </c>
      <c r="Z88" s="1219" t="str">
        <f t="shared" si="8"/>
        <v>–</v>
      </c>
    </row>
    <row r="89" spans="1:26" ht="12.75" customHeight="1">
      <c r="A89" s="1225" t="s">
        <v>1852</v>
      </c>
      <c r="B89" s="1219" t="str">
        <f t="shared" si="13"/>
        <v/>
      </c>
      <c r="C89" s="1219">
        <f t="shared" si="13"/>
        <v>0.51572580645161303</v>
      </c>
      <c r="D89" s="1219">
        <f t="shared" si="13"/>
        <v>5.5865921787709993E-3</v>
      </c>
      <c r="E89" s="1219">
        <f t="shared" si="13"/>
        <v>8.6419753086419693E-3</v>
      </c>
      <c r="F89" s="1219">
        <f t="shared" si="13"/>
        <v>1.8826135105205033E-2</v>
      </c>
      <c r="G89" s="1219">
        <f t="shared" si="13"/>
        <v>6.0068649885582914E-3</v>
      </c>
      <c r="H89" s="1219">
        <f t="shared" si="13"/>
        <v>1.1941996019334544E-2</v>
      </c>
      <c r="I89" s="1219">
        <f t="shared" si="13"/>
        <v>6.4905872436078482E-3</v>
      </c>
      <c r="J89" s="1219">
        <f t="shared" si="13"/>
        <v>8.7937243516373886E-3</v>
      </c>
      <c r="K89" s="1219">
        <f t="shared" si="13"/>
        <v>1.2203896391410174E-2</v>
      </c>
      <c r="L89" s="1219" t="str">
        <f t="shared" si="14"/>
        <v>–</v>
      </c>
      <c r="M89" s="1219" t="str">
        <f t="shared" si="14"/>
        <v>–</v>
      </c>
      <c r="N89" s="1219">
        <f t="shared" si="14"/>
        <v>2.3584905660377409E-2</v>
      </c>
      <c r="O89" s="1219">
        <f t="shared" si="14"/>
        <v>3.0283080974325083E-2</v>
      </c>
      <c r="P89" s="1219">
        <f t="shared" si="14"/>
        <v>4.2811501597444179E-2</v>
      </c>
      <c r="Q89" s="1219" t="str">
        <f t="shared" si="14"/>
        <v>–</v>
      </c>
      <c r="R89" s="1219" t="str">
        <f t="shared" si="14"/>
        <v>–</v>
      </c>
      <c r="S89" s="1219" t="str">
        <f t="shared" si="14"/>
        <v>–</v>
      </c>
      <c r="T89" s="1219" t="str">
        <f t="shared" si="14"/>
        <v>–</v>
      </c>
      <c r="U89" s="1219" t="str">
        <f t="shared" si="14"/>
        <v>–</v>
      </c>
      <c r="V89" s="1219" t="str">
        <f t="shared" si="14"/>
        <v>–</v>
      </c>
      <c r="W89" s="1219" t="str">
        <f t="shared" si="14"/>
        <v>–</v>
      </c>
      <c r="X89" s="1219" t="str">
        <f t="shared" si="14"/>
        <v>–</v>
      </c>
      <c r="Y89" s="1219">
        <f t="shared" si="14"/>
        <v>-0.81087877831159916</v>
      </c>
      <c r="Z89" s="1219">
        <f t="shared" si="8"/>
        <v>-5.9002422685154987E-2</v>
      </c>
    </row>
    <row r="90" spans="1:26" ht="12.75" customHeight="1">
      <c r="A90" s="1225" t="s">
        <v>1853</v>
      </c>
      <c r="B90" s="1219" t="str">
        <f t="shared" si="13"/>
        <v/>
      </c>
      <c r="C90" s="1219" t="str">
        <f t="shared" si="13"/>
        <v>–</v>
      </c>
      <c r="D90" s="1219" t="str">
        <f t="shared" si="13"/>
        <v>–</v>
      </c>
      <c r="E90" s="1219" t="str">
        <f t="shared" si="13"/>
        <v>–</v>
      </c>
      <c r="F90" s="1219" t="str">
        <f t="shared" si="13"/>
        <v>–</v>
      </c>
      <c r="G90" s="1219" t="str">
        <f t="shared" si="13"/>
        <v>–</v>
      </c>
      <c r="H90" s="1219" t="str">
        <f t="shared" si="13"/>
        <v>–</v>
      </c>
      <c r="I90" s="1219" t="str">
        <f t="shared" si="13"/>
        <v>–</v>
      </c>
      <c r="J90" s="1219" t="str">
        <f t="shared" si="13"/>
        <v>–</v>
      </c>
      <c r="K90" s="1219" t="str">
        <f t="shared" si="13"/>
        <v>–</v>
      </c>
      <c r="L90" s="1219" t="str">
        <f t="shared" si="14"/>
        <v>–</v>
      </c>
      <c r="M90" s="1219" t="str">
        <f t="shared" si="14"/>
        <v>–</v>
      </c>
      <c r="N90" s="1219">
        <f t="shared" si="14"/>
        <v>3.7037037037036979E-2</v>
      </c>
      <c r="O90" s="1219" t="str">
        <f t="shared" si="14"/>
        <v>–</v>
      </c>
      <c r="P90" s="1219">
        <f t="shared" si="14"/>
        <v>3.5714285714285809E-2</v>
      </c>
      <c r="Q90" s="1219" t="str">
        <f t="shared" si="14"/>
        <v>–</v>
      </c>
      <c r="R90" s="1219" t="str">
        <f t="shared" si="14"/>
        <v>–</v>
      </c>
      <c r="S90" s="1219" t="str">
        <f t="shared" si="14"/>
        <v>–</v>
      </c>
      <c r="T90" s="1219" t="str">
        <f t="shared" si="14"/>
        <v>–</v>
      </c>
      <c r="U90" s="1219" t="str">
        <f t="shared" si="14"/>
        <v>–</v>
      </c>
      <c r="V90" s="1219" t="str">
        <f t="shared" si="14"/>
        <v>–</v>
      </c>
      <c r="W90" s="1219" t="str">
        <f t="shared" si="14"/>
        <v>–</v>
      </c>
      <c r="X90" s="1219" t="str">
        <f t="shared" si="14"/>
        <v>–</v>
      </c>
      <c r="Y90" s="1219" t="str">
        <f t="shared" si="14"/>
        <v>–</v>
      </c>
      <c r="Z90" s="1219" t="str">
        <f t="shared" si="8"/>
        <v>–</v>
      </c>
    </row>
    <row r="91" spans="1:26" ht="12.75" customHeight="1">
      <c r="A91" s="1225" t="s">
        <v>1854</v>
      </c>
      <c r="B91" s="1219" t="str">
        <f t="shared" si="13"/>
        <v/>
      </c>
      <c r="C91" s="1219" t="str">
        <f t="shared" si="13"/>
        <v>–</v>
      </c>
      <c r="D91" s="1219" t="str">
        <f t="shared" si="13"/>
        <v>–</v>
      </c>
      <c r="E91" s="1219" t="str">
        <f t="shared" si="13"/>
        <v>–</v>
      </c>
      <c r="F91" s="1219" t="str">
        <f t="shared" si="13"/>
        <v>–</v>
      </c>
      <c r="G91" s="1219" t="str">
        <f t="shared" si="13"/>
        <v>–</v>
      </c>
      <c r="H91" s="1219" t="str">
        <f t="shared" si="13"/>
        <v>–</v>
      </c>
      <c r="I91" s="1219" t="str">
        <f t="shared" si="13"/>
        <v>–</v>
      </c>
      <c r="J91" s="1219" t="str">
        <f t="shared" si="13"/>
        <v>–</v>
      </c>
      <c r="K91" s="1219" t="str">
        <f t="shared" si="13"/>
        <v>–</v>
      </c>
      <c r="L91" s="1219" t="str">
        <f t="shared" si="14"/>
        <v>–</v>
      </c>
      <c r="M91" s="1219" t="str">
        <f t="shared" si="14"/>
        <v>–</v>
      </c>
      <c r="N91" s="1219" t="str">
        <f t="shared" si="14"/>
        <v>–</v>
      </c>
      <c r="O91" s="1219" t="str">
        <f t="shared" si="14"/>
        <v>–</v>
      </c>
      <c r="P91" s="1219" t="str">
        <f t="shared" si="14"/>
        <v>–</v>
      </c>
      <c r="Q91" s="1219" t="str">
        <f t="shared" si="14"/>
        <v>–</v>
      </c>
      <c r="R91" s="1219" t="str">
        <f t="shared" si="14"/>
        <v>–</v>
      </c>
      <c r="S91" s="1219" t="str">
        <f t="shared" si="14"/>
        <v>–</v>
      </c>
      <c r="T91" s="1219" t="str">
        <f t="shared" si="14"/>
        <v>–</v>
      </c>
      <c r="U91" s="1219" t="str">
        <f t="shared" si="14"/>
        <v>–</v>
      </c>
      <c r="V91" s="1219" t="str">
        <f t="shared" si="14"/>
        <v>–</v>
      </c>
      <c r="W91" s="1219" t="str">
        <f t="shared" si="14"/>
        <v>–</v>
      </c>
      <c r="X91" s="1219" t="str">
        <f t="shared" si="14"/>
        <v>–</v>
      </c>
      <c r="Y91" s="1219" t="str">
        <f t="shared" si="14"/>
        <v>–</v>
      </c>
      <c r="Z91" s="1219" t="str">
        <f t="shared" si="8"/>
        <v>–</v>
      </c>
    </row>
    <row r="92" spans="1:26" ht="12.75" customHeight="1">
      <c r="A92" s="1224" t="s">
        <v>1855</v>
      </c>
      <c r="B92" s="1219" t="str">
        <f t="shared" si="13"/>
        <v/>
      </c>
      <c r="C92" s="1219" t="str">
        <f t="shared" si="13"/>
        <v>–</v>
      </c>
      <c r="D92" s="1219" t="str">
        <f t="shared" si="13"/>
        <v>–</v>
      </c>
      <c r="E92" s="1219" t="str">
        <f t="shared" si="13"/>
        <v>–</v>
      </c>
      <c r="F92" s="1219" t="str">
        <f t="shared" si="13"/>
        <v>–</v>
      </c>
      <c r="G92" s="1219" t="str">
        <f t="shared" si="13"/>
        <v>–</v>
      </c>
      <c r="H92" s="1219" t="str">
        <f t="shared" si="13"/>
        <v>–</v>
      </c>
      <c r="I92" s="1219" t="str">
        <f t="shared" si="13"/>
        <v>–</v>
      </c>
      <c r="J92" s="1219" t="str">
        <f t="shared" si="13"/>
        <v>–</v>
      </c>
      <c r="K92" s="1219" t="str">
        <f t="shared" si="13"/>
        <v>–</v>
      </c>
      <c r="L92" s="1219" t="str">
        <f t="shared" si="14"/>
        <v>–</v>
      </c>
      <c r="M92" s="1219" t="str">
        <f t="shared" si="14"/>
        <v>–</v>
      </c>
      <c r="N92" s="1219" t="str">
        <f t="shared" si="14"/>
        <v>–</v>
      </c>
      <c r="O92" s="1219" t="str">
        <f t="shared" si="14"/>
        <v>–</v>
      </c>
      <c r="P92" s="1219" t="str">
        <f t="shared" si="14"/>
        <v>–</v>
      </c>
      <c r="Q92" s="1219" t="str">
        <f t="shared" si="14"/>
        <v>–</v>
      </c>
      <c r="R92" s="1219" t="str">
        <f t="shared" si="14"/>
        <v>–</v>
      </c>
      <c r="S92" s="1219" t="str">
        <f t="shared" si="14"/>
        <v>–</v>
      </c>
      <c r="T92" s="1219" t="str">
        <f t="shared" si="14"/>
        <v>–</v>
      </c>
      <c r="U92" s="1219" t="str">
        <f t="shared" si="14"/>
        <v>–</v>
      </c>
      <c r="V92" s="1219" t="str">
        <f t="shared" si="14"/>
        <v>–</v>
      </c>
      <c r="W92" s="1219" t="str">
        <f t="shared" si="14"/>
        <v>–</v>
      </c>
      <c r="X92" s="1219" t="str">
        <f t="shared" si="14"/>
        <v>–</v>
      </c>
      <c r="Y92" s="1219" t="str">
        <f t="shared" si="14"/>
        <v>–</v>
      </c>
      <c r="Z92" s="1219" t="str">
        <f t="shared" si="8"/>
        <v>–</v>
      </c>
    </row>
  </sheetData>
  <pageMargins left="0.7" right="0.7" top="0.75" bottom="0.75" header="0.51180555555555496" footer="0.51180555555555496"/>
  <pageSetup paperSize="9" scale="66" firstPageNumber="0"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Ark3">
    <tabColor theme="4"/>
  </sheetPr>
  <dimension ref="B2:AK216"/>
  <sheetViews>
    <sheetView topLeftCell="A172" workbookViewId="0">
      <selection activeCell="C189" sqref="C189"/>
    </sheetView>
  </sheetViews>
  <sheetFormatPr baseColWidth="10" defaultColWidth="8.5" defaultRowHeight="13"/>
  <cols>
    <col min="2" max="2" width="39.5" bestFit="1" customWidth="1"/>
    <col min="3" max="3" width="108.5" bestFit="1" customWidth="1"/>
  </cols>
  <sheetData>
    <row r="2" spans="4:4">
      <c r="D2" s="216"/>
    </row>
    <row r="3" spans="4:4">
      <c r="D3" s="216"/>
    </row>
    <row r="4" spans="4:4">
      <c r="D4" s="216"/>
    </row>
    <row r="5" spans="4:4">
      <c r="D5" s="216"/>
    </row>
    <row r="6" spans="4:4">
      <c r="D6" s="216"/>
    </row>
    <row r="22" spans="2:29" ht="17">
      <c r="B22" s="360" t="s">
        <v>375</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row>
    <row r="23" spans="2:29" ht="14">
      <c r="B23" s="252"/>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row>
    <row r="24" spans="2:29" ht="16">
      <c r="B24" s="253" t="s">
        <v>376</v>
      </c>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row>
    <row r="25" spans="2:29" ht="14">
      <c r="B25" s="252"/>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row>
    <row r="26" spans="2:29">
      <c r="B26" s="262"/>
      <c r="C26" s="262"/>
      <c r="D26" s="263"/>
      <c r="E26" s="262"/>
      <c r="F26" s="262"/>
      <c r="G26" s="262"/>
      <c r="H26" s="262"/>
      <c r="I26" s="262"/>
      <c r="J26" s="262"/>
      <c r="K26" s="262"/>
      <c r="L26" s="262"/>
      <c r="M26" s="262"/>
      <c r="N26" s="262"/>
      <c r="O26" s="262"/>
      <c r="P26" s="262"/>
      <c r="Q26" s="262"/>
      <c r="R26" s="262"/>
      <c r="S26" s="262" t="s">
        <v>377</v>
      </c>
      <c r="T26" s="263">
        <v>29</v>
      </c>
      <c r="U26" s="263">
        <v>47</v>
      </c>
      <c r="V26" s="263">
        <v>59</v>
      </c>
      <c r="W26" s="263">
        <v>61</v>
      </c>
      <c r="X26" s="263">
        <v>91</v>
      </c>
      <c r="Y26" s="263">
        <v>94</v>
      </c>
      <c r="Z26" s="263">
        <v>95</v>
      </c>
      <c r="AA26" s="262"/>
      <c r="AB26" s="262"/>
      <c r="AC26" s="262"/>
    </row>
    <row r="27" spans="2:29" ht="15">
      <c r="B27" s="262"/>
      <c r="C27" s="274" t="s">
        <v>378</v>
      </c>
      <c r="D27" s="263"/>
      <c r="E27" s="262"/>
      <c r="F27" s="262"/>
      <c r="G27" s="262"/>
      <c r="H27" s="262"/>
      <c r="I27" s="262"/>
      <c r="J27" s="262"/>
      <c r="K27" s="262"/>
      <c r="L27" s="262"/>
      <c r="M27" s="262"/>
      <c r="N27" s="262"/>
      <c r="O27" s="262"/>
      <c r="P27" s="262"/>
      <c r="Q27" s="262"/>
      <c r="R27" s="262"/>
      <c r="S27" s="262"/>
      <c r="T27" s="263" t="s">
        <v>379</v>
      </c>
      <c r="U27" s="263" t="s">
        <v>379</v>
      </c>
      <c r="V27" s="263" t="s">
        <v>158</v>
      </c>
      <c r="W27" s="263" t="s">
        <v>380</v>
      </c>
      <c r="X27" s="263" t="s">
        <v>380</v>
      </c>
      <c r="Y27" s="263" t="s">
        <v>380</v>
      </c>
      <c r="Z27" s="263" t="s">
        <v>380</v>
      </c>
      <c r="AA27" s="262"/>
      <c r="AB27" s="262"/>
      <c r="AC27" s="262"/>
    </row>
    <row r="28" spans="2:29" ht="105">
      <c r="B28" s="262"/>
      <c r="C28" s="271"/>
      <c r="D28" s="264"/>
      <c r="E28" s="297" t="s">
        <v>381</v>
      </c>
      <c r="F28" s="298" t="s">
        <v>382</v>
      </c>
      <c r="G28" s="298"/>
      <c r="H28" s="299" t="s">
        <v>383</v>
      </c>
      <c r="I28" s="300" t="s">
        <v>384</v>
      </c>
      <c r="J28" s="300" t="s">
        <v>385</v>
      </c>
      <c r="K28" s="301" t="s">
        <v>386</v>
      </c>
      <c r="L28" s="301" t="s">
        <v>387</v>
      </c>
      <c r="M28" s="301" t="s">
        <v>388</v>
      </c>
      <c r="N28" s="301" t="s">
        <v>389</v>
      </c>
      <c r="O28" s="301" t="s">
        <v>390</v>
      </c>
      <c r="P28" s="301" t="s">
        <v>391</v>
      </c>
      <c r="Q28" s="301" t="s">
        <v>392</v>
      </c>
      <c r="R28" s="301" t="s">
        <v>415</v>
      </c>
      <c r="S28" s="262"/>
      <c r="T28" s="262" t="s">
        <v>393</v>
      </c>
      <c r="U28" s="262" t="s">
        <v>393</v>
      </c>
      <c r="V28" s="262"/>
      <c r="W28" s="262"/>
      <c r="X28" s="262" t="s">
        <v>394</v>
      </c>
      <c r="Y28" s="262" t="s">
        <v>395</v>
      </c>
      <c r="Z28" s="262" t="s">
        <v>396</v>
      </c>
      <c r="AA28" s="262"/>
      <c r="AB28" s="262"/>
      <c r="AC28" s="262"/>
    </row>
    <row r="29" spans="2:29" ht="14">
      <c r="B29" s="262"/>
      <c r="C29" s="272" t="s">
        <v>397</v>
      </c>
      <c r="D29" s="265"/>
      <c r="E29" s="302" t="s">
        <v>398</v>
      </c>
      <c r="F29" s="258" t="s">
        <v>399</v>
      </c>
      <c r="G29" s="258" t="s">
        <v>379</v>
      </c>
      <c r="H29" s="258" t="s">
        <v>398</v>
      </c>
      <c r="I29" s="265" t="s">
        <v>400</v>
      </c>
      <c r="J29" s="303" t="s">
        <v>158</v>
      </c>
      <c r="K29" s="304" t="s">
        <v>380</v>
      </c>
      <c r="L29" s="304" t="s">
        <v>380</v>
      </c>
      <c r="M29" s="304" t="s">
        <v>380</v>
      </c>
      <c r="N29" s="304"/>
      <c r="O29" s="304" t="s">
        <v>380</v>
      </c>
      <c r="P29" s="304" t="s">
        <v>380</v>
      </c>
      <c r="Q29" s="304" t="s">
        <v>158</v>
      </c>
      <c r="R29" s="304" t="s">
        <v>380</v>
      </c>
      <c r="S29" s="262"/>
      <c r="T29" s="262"/>
      <c r="U29" s="262"/>
      <c r="V29" s="262"/>
      <c r="W29" s="262"/>
      <c r="X29" s="262"/>
      <c r="Y29" s="262"/>
      <c r="Z29" s="262"/>
      <c r="AA29" s="262"/>
      <c r="AB29" s="262"/>
      <c r="AC29" s="262"/>
    </row>
    <row r="30" spans="2:29" ht="14">
      <c r="B30" s="262"/>
      <c r="C30" s="271" t="s">
        <v>401</v>
      </c>
      <c r="D30" s="305"/>
      <c r="E30" s="306">
        <v>17</v>
      </c>
      <c r="F30" s="307">
        <v>72.400000000000006</v>
      </c>
      <c r="G30" s="362">
        <v>72.400000000000006</v>
      </c>
      <c r="H30" s="308">
        <v>1.8</v>
      </c>
      <c r="I30" s="309"/>
      <c r="J30" s="365">
        <v>0.90400000000000003</v>
      </c>
      <c r="K30" s="310">
        <v>16.739999999999998</v>
      </c>
      <c r="L30" s="376">
        <v>5.3000000000000001E-5</v>
      </c>
      <c r="M30" s="379">
        <v>7.3800000000000004E-2</v>
      </c>
      <c r="N30" s="311"/>
      <c r="O30" s="368"/>
      <c r="P30" s="310">
        <v>7.22</v>
      </c>
      <c r="Q30" s="351">
        <v>0</v>
      </c>
      <c r="R30" s="372">
        <v>23.96</v>
      </c>
      <c r="S30" s="262"/>
      <c r="T30" s="262"/>
      <c r="U30" s="262"/>
      <c r="V30" s="262"/>
      <c r="W30" s="262"/>
      <c r="X30" s="262"/>
      <c r="Y30" s="262"/>
      <c r="Z30" s="262"/>
      <c r="AA30" s="262"/>
      <c r="AB30" s="262"/>
      <c r="AC30" s="262"/>
    </row>
    <row r="31" spans="2:29" ht="14">
      <c r="B31" s="262"/>
      <c r="C31" s="273" t="s">
        <v>402</v>
      </c>
      <c r="D31" s="312"/>
      <c r="E31" s="313">
        <v>19</v>
      </c>
      <c r="F31" s="313">
        <v>10.6</v>
      </c>
      <c r="G31" s="363">
        <v>10.6</v>
      </c>
      <c r="H31" s="314">
        <v>1.8</v>
      </c>
      <c r="I31" s="315"/>
      <c r="J31" s="366">
        <v>0.91400000000000003</v>
      </c>
      <c r="K31" s="316">
        <v>9.26</v>
      </c>
      <c r="L31" s="377">
        <v>4.6999999999999997E-5</v>
      </c>
      <c r="M31" s="380">
        <v>6.6000000000000003E-2</v>
      </c>
      <c r="N31" s="317"/>
      <c r="O31" s="369"/>
      <c r="P31" s="316">
        <v>9.44</v>
      </c>
      <c r="Q31" s="352">
        <v>0</v>
      </c>
      <c r="R31" s="373">
        <v>18.7</v>
      </c>
      <c r="S31" s="262"/>
      <c r="T31" s="262"/>
      <c r="U31" s="262"/>
      <c r="V31" s="262"/>
      <c r="W31" s="262"/>
      <c r="X31" s="262"/>
      <c r="Y31" s="262"/>
      <c r="Z31" s="262"/>
      <c r="AA31" s="262"/>
      <c r="AB31" s="262"/>
      <c r="AC31" s="262"/>
    </row>
    <row r="32" spans="2:29" ht="14">
      <c r="B32" s="262"/>
      <c r="C32" s="273" t="s">
        <v>403</v>
      </c>
      <c r="D32" s="312"/>
      <c r="E32" s="313">
        <v>14.5</v>
      </c>
      <c r="F32" s="313">
        <v>40.9</v>
      </c>
      <c r="G32" s="363">
        <v>40.9</v>
      </c>
      <c r="H32" s="314">
        <v>0.53</v>
      </c>
      <c r="I32" s="318"/>
      <c r="J32" s="366">
        <v>0.96499999999999997</v>
      </c>
      <c r="K32" s="316">
        <v>2.5099999999999998</v>
      </c>
      <c r="L32" s="377">
        <v>1.8E-5</v>
      </c>
      <c r="M32" s="380">
        <v>2.53E-2</v>
      </c>
      <c r="N32" s="317"/>
      <c r="O32" s="369"/>
      <c r="P32" s="316">
        <v>9.25</v>
      </c>
      <c r="Q32" s="352">
        <v>0</v>
      </c>
      <c r="R32" s="374">
        <v>11.76</v>
      </c>
      <c r="S32" s="262"/>
      <c r="T32" s="262"/>
      <c r="U32" s="262"/>
      <c r="V32" s="262"/>
      <c r="W32" s="262"/>
      <c r="X32" s="262"/>
      <c r="Y32" s="262"/>
      <c r="Z32" s="262"/>
      <c r="AA32" s="262"/>
      <c r="AB32" s="262"/>
      <c r="AC32" s="262"/>
    </row>
    <row r="33" spans="2:29" ht="14">
      <c r="B33" s="262"/>
      <c r="C33" s="273" t="s">
        <v>404</v>
      </c>
      <c r="D33" s="312"/>
      <c r="E33" s="313">
        <v>27</v>
      </c>
      <c r="F33" s="313">
        <v>101.7</v>
      </c>
      <c r="G33" s="363">
        <v>101.7</v>
      </c>
      <c r="H33" s="314">
        <v>6.23</v>
      </c>
      <c r="I33" s="318"/>
      <c r="J33" s="366">
        <v>0.81200000000000006</v>
      </c>
      <c r="K33" s="316">
        <v>35.880000000000003</v>
      </c>
      <c r="L33" s="377">
        <v>1.15E-4</v>
      </c>
      <c r="M33" s="380">
        <v>0.161</v>
      </c>
      <c r="N33" s="317"/>
      <c r="O33" s="369"/>
      <c r="P33" s="316">
        <v>32.61</v>
      </c>
      <c r="Q33" s="352">
        <v>0</v>
      </c>
      <c r="R33" s="373">
        <v>68.489999999999995</v>
      </c>
      <c r="S33" s="262"/>
      <c r="T33" s="262"/>
      <c r="U33" s="262"/>
      <c r="V33" s="262"/>
      <c r="W33" s="262"/>
      <c r="X33" s="262"/>
      <c r="Y33" s="262"/>
      <c r="Z33" s="262"/>
      <c r="AA33" s="262"/>
      <c r="AB33" s="262"/>
      <c r="AC33" s="262"/>
    </row>
    <row r="34" spans="2:29" s="404" customFormat="1" ht="14">
      <c r="B34" s="445"/>
      <c r="C34" s="448" t="s">
        <v>635</v>
      </c>
      <c r="D34" s="456"/>
      <c r="E34" s="457">
        <v>37</v>
      </c>
      <c r="F34" s="457">
        <v>148.80000000000001</v>
      </c>
      <c r="G34" s="464">
        <v>148.80000000000001</v>
      </c>
      <c r="H34" s="458">
        <v>9.67</v>
      </c>
      <c r="I34" s="461"/>
      <c r="J34" s="465">
        <v>0.79300000000000004</v>
      </c>
      <c r="K34" s="459">
        <v>48.61</v>
      </c>
      <c r="L34" s="467">
        <v>0</v>
      </c>
      <c r="M34" s="468">
        <v>0</v>
      </c>
      <c r="N34" s="460"/>
      <c r="O34" s="369"/>
      <c r="P34" s="459">
        <v>50.6</v>
      </c>
      <c r="Q34" s="352">
        <v>0</v>
      </c>
      <c r="R34" s="466">
        <v>99.21</v>
      </c>
      <c r="S34" s="445"/>
      <c r="T34" s="445"/>
      <c r="U34" s="445"/>
      <c r="V34" s="445"/>
      <c r="W34" s="445"/>
      <c r="X34" s="445"/>
      <c r="Y34" s="445"/>
      <c r="Z34" s="445"/>
      <c r="AA34" s="445"/>
      <c r="AB34" s="445"/>
      <c r="AC34" s="445"/>
    </row>
    <row r="35" spans="2:29" ht="14">
      <c r="B35" s="262"/>
      <c r="C35" s="273" t="s">
        <v>405</v>
      </c>
      <c r="D35" s="312"/>
      <c r="E35" s="313">
        <v>39.5</v>
      </c>
      <c r="F35" s="313">
        <v>69.8</v>
      </c>
      <c r="G35" s="363">
        <v>69.8</v>
      </c>
      <c r="H35" s="314">
        <v>6.71</v>
      </c>
      <c r="I35" s="318"/>
      <c r="J35" s="366">
        <v>0.85499999999999998</v>
      </c>
      <c r="K35" s="316">
        <v>13</v>
      </c>
      <c r="L35" s="377">
        <v>7.2999999999999999E-5</v>
      </c>
      <c r="M35" s="380">
        <v>9.4000000000000004E-3</v>
      </c>
      <c r="N35" s="317"/>
      <c r="O35" s="369"/>
      <c r="P35" s="316">
        <v>0</v>
      </c>
      <c r="Q35" s="352">
        <v>0</v>
      </c>
      <c r="R35" s="373">
        <v>13</v>
      </c>
      <c r="S35" s="262"/>
      <c r="T35" s="262"/>
      <c r="U35" s="356">
        <v>4.5999999999999999E-2</v>
      </c>
    </row>
    <row r="36" spans="2:29" ht="14">
      <c r="B36" s="262"/>
      <c r="C36" s="319" t="s">
        <v>406</v>
      </c>
      <c r="D36" s="312"/>
      <c r="E36" s="313">
        <v>17.399999999999999</v>
      </c>
      <c r="F36" s="313">
        <v>48.1</v>
      </c>
      <c r="G36" s="363">
        <v>48.1</v>
      </c>
      <c r="H36" s="314">
        <v>0.67</v>
      </c>
      <c r="I36" s="318"/>
      <c r="J36" s="366">
        <v>0.96299999999999997</v>
      </c>
      <c r="K36" s="316">
        <v>5.4</v>
      </c>
      <c r="L36" s="377">
        <v>1.9000000000000001E-5</v>
      </c>
      <c r="M36" s="380">
        <v>2.6800000000000001E-2</v>
      </c>
      <c r="N36" s="317"/>
      <c r="O36" s="369"/>
      <c r="P36" s="316">
        <v>-2.15</v>
      </c>
      <c r="Q36" s="352">
        <v>0</v>
      </c>
      <c r="R36" s="373">
        <v>3.25</v>
      </c>
      <c r="S36" s="262"/>
      <c r="T36" s="262"/>
      <c r="U36" s="262"/>
    </row>
    <row r="37" spans="2:29" ht="14">
      <c r="B37" s="262"/>
      <c r="C37" s="273" t="s">
        <v>407</v>
      </c>
      <c r="D37" s="312"/>
      <c r="E37" s="313">
        <v>17.399999999999999</v>
      </c>
      <c r="F37" s="313">
        <v>65.5</v>
      </c>
      <c r="G37" s="363">
        <v>65.5</v>
      </c>
      <c r="H37" s="314">
        <v>0.67</v>
      </c>
      <c r="I37" s="318"/>
      <c r="J37" s="366">
        <v>0.96299999999999997</v>
      </c>
      <c r="K37" s="316">
        <v>5.4</v>
      </c>
      <c r="L37" s="377">
        <v>1.9000000000000001E-5</v>
      </c>
      <c r="M37" s="380">
        <v>2.6800000000000001E-2</v>
      </c>
      <c r="N37" s="317"/>
      <c r="O37" s="369"/>
      <c r="P37" s="316">
        <v>-2.15</v>
      </c>
      <c r="Q37" s="352">
        <v>0</v>
      </c>
      <c r="R37" s="373">
        <v>3.25</v>
      </c>
      <c r="S37" s="262"/>
      <c r="T37" s="262"/>
      <c r="U37" s="262"/>
    </row>
    <row r="38" spans="2:29" ht="14">
      <c r="B38" s="262"/>
      <c r="C38" s="273" t="s">
        <v>408</v>
      </c>
      <c r="D38" s="312"/>
      <c r="E38" s="313">
        <v>1</v>
      </c>
      <c r="F38" s="313">
        <v>72.5</v>
      </c>
      <c r="G38" s="363">
        <v>72.5</v>
      </c>
      <c r="H38" s="314">
        <v>0.05</v>
      </c>
      <c r="I38" s="318"/>
      <c r="J38" s="366">
        <v>0.94899999999999995</v>
      </c>
      <c r="K38" s="316">
        <v>0.26</v>
      </c>
      <c r="L38" s="377">
        <v>2.6999999999999999E-5</v>
      </c>
      <c r="M38" s="380">
        <v>3.7499999999999999E-2</v>
      </c>
      <c r="N38" s="317"/>
      <c r="O38" s="370"/>
      <c r="P38" s="316">
        <v>0</v>
      </c>
      <c r="Q38" s="352">
        <v>0</v>
      </c>
      <c r="R38" s="373">
        <v>0.26</v>
      </c>
      <c r="S38" s="262"/>
      <c r="T38" s="262"/>
      <c r="U38" s="262"/>
    </row>
    <row r="39" spans="2:29" ht="14">
      <c r="B39" s="262"/>
      <c r="C39" s="273" t="s">
        <v>409</v>
      </c>
      <c r="D39" s="312"/>
      <c r="E39" s="313">
        <v>1</v>
      </c>
      <c r="F39" s="313"/>
      <c r="G39" s="363">
        <v>72.5</v>
      </c>
      <c r="H39" s="314">
        <v>0.05</v>
      </c>
      <c r="I39" s="318"/>
      <c r="J39" s="366">
        <v>0.94899999999999995</v>
      </c>
      <c r="K39" s="316">
        <v>0.26</v>
      </c>
      <c r="L39" s="377">
        <v>2.6999999999999999E-5</v>
      </c>
      <c r="M39" s="380">
        <v>3.7499999999999999E-2</v>
      </c>
      <c r="N39" s="317"/>
      <c r="O39" s="370"/>
      <c r="P39" s="316">
        <v>0</v>
      </c>
      <c r="Q39" s="352">
        <v>0</v>
      </c>
      <c r="R39" s="373">
        <v>0.26</v>
      </c>
      <c r="S39" s="262"/>
      <c r="T39" s="262"/>
      <c r="U39" s="262"/>
    </row>
    <row r="40" spans="2:29" ht="14">
      <c r="B40" s="262"/>
      <c r="C40" s="273" t="s">
        <v>410</v>
      </c>
      <c r="D40" s="312"/>
      <c r="E40" s="313">
        <v>26.5</v>
      </c>
      <c r="F40" s="313">
        <v>20.2</v>
      </c>
      <c r="G40" s="363">
        <v>20.2</v>
      </c>
      <c r="H40" s="314">
        <v>2.36</v>
      </c>
      <c r="I40" s="318"/>
      <c r="J40" s="366">
        <v>0.91800000000000004</v>
      </c>
      <c r="K40" s="316">
        <v>15.32</v>
      </c>
      <c r="L40" s="377">
        <v>4.5000000000000003E-5</v>
      </c>
      <c r="M40" s="380">
        <v>6.2100000000000002E-2</v>
      </c>
      <c r="N40" s="317"/>
      <c r="O40" s="369"/>
      <c r="P40" s="316">
        <v>0</v>
      </c>
      <c r="Q40" s="352">
        <v>0</v>
      </c>
      <c r="R40" s="373">
        <v>15.32</v>
      </c>
      <c r="S40" s="262"/>
      <c r="T40" s="262"/>
      <c r="U40" s="262"/>
    </row>
    <row r="41" spans="2:29" ht="14">
      <c r="B41" s="262"/>
      <c r="C41" s="273" t="s">
        <v>411</v>
      </c>
      <c r="D41" s="312"/>
      <c r="E41" s="313">
        <v>43</v>
      </c>
      <c r="F41" s="313">
        <v>102.2</v>
      </c>
      <c r="G41" s="363">
        <v>102.2</v>
      </c>
      <c r="H41" s="314">
        <v>9.08</v>
      </c>
      <c r="I41" s="318"/>
      <c r="J41" s="366">
        <v>0.82599999999999996</v>
      </c>
      <c r="K41" s="316">
        <v>22.6</v>
      </c>
      <c r="L41" s="377">
        <v>1.06E-4</v>
      </c>
      <c r="M41" s="380">
        <v>0.14729999999999999</v>
      </c>
      <c r="N41" s="317"/>
      <c r="O41" s="369"/>
      <c r="P41" s="316">
        <v>0</v>
      </c>
      <c r="Q41" s="352">
        <v>0</v>
      </c>
      <c r="R41" s="373">
        <v>22.6</v>
      </c>
      <c r="S41" s="262"/>
      <c r="T41" s="262"/>
      <c r="U41" s="262"/>
    </row>
    <row r="42" spans="2:29" ht="14">
      <c r="B42" s="262"/>
      <c r="C42" s="273" t="s">
        <v>412</v>
      </c>
      <c r="D42" s="312"/>
      <c r="E42" s="313">
        <v>0.6</v>
      </c>
      <c r="F42" s="313">
        <v>47.2</v>
      </c>
      <c r="G42" s="363">
        <v>47.2</v>
      </c>
      <c r="H42" s="314">
        <v>0</v>
      </c>
      <c r="I42" s="318"/>
      <c r="J42" s="366">
        <v>1</v>
      </c>
      <c r="K42" s="316">
        <v>3.53</v>
      </c>
      <c r="L42" s="377">
        <v>0</v>
      </c>
      <c r="M42" s="380">
        <v>0</v>
      </c>
      <c r="N42" s="317"/>
      <c r="O42" s="369"/>
      <c r="P42" s="316">
        <v>0</v>
      </c>
      <c r="Q42" s="352">
        <v>0</v>
      </c>
      <c r="R42" s="373">
        <v>3.53</v>
      </c>
      <c r="S42" s="262"/>
      <c r="T42" s="262"/>
      <c r="U42" s="262"/>
    </row>
    <row r="43" spans="2:29" ht="14">
      <c r="B43" s="262"/>
      <c r="C43" s="273" t="s">
        <v>413</v>
      </c>
      <c r="D43" s="312"/>
      <c r="E43" s="313">
        <v>26.8</v>
      </c>
      <c r="F43" s="313">
        <v>207.6</v>
      </c>
      <c r="G43" s="363">
        <v>207.6</v>
      </c>
      <c r="H43" s="314">
        <v>4.7699999999999996</v>
      </c>
      <c r="I43" s="318"/>
      <c r="J43" s="366">
        <v>0.84899999999999998</v>
      </c>
      <c r="K43" s="316">
        <v>24.16</v>
      </c>
      <c r="L43" s="377">
        <v>7.7000000000000001E-5</v>
      </c>
      <c r="M43" s="380">
        <v>9.7999999999999997E-3</v>
      </c>
      <c r="N43" s="317"/>
      <c r="O43" s="370"/>
      <c r="P43" s="316">
        <v>0</v>
      </c>
      <c r="Q43" s="352">
        <v>0</v>
      </c>
      <c r="R43" s="373">
        <v>24.16</v>
      </c>
      <c r="S43" s="262"/>
      <c r="T43" s="262"/>
      <c r="U43" s="262"/>
    </row>
    <row r="44" spans="2:29" ht="14">
      <c r="B44" s="262"/>
      <c r="C44" s="272" t="s">
        <v>414</v>
      </c>
      <c r="D44" s="320"/>
      <c r="E44" s="321">
        <v>37</v>
      </c>
      <c r="F44" s="321">
        <v>162.9</v>
      </c>
      <c r="G44" s="364">
        <v>162.9</v>
      </c>
      <c r="H44" s="322">
        <v>11.14</v>
      </c>
      <c r="I44" s="323"/>
      <c r="J44" s="367">
        <v>0.76900000000000002</v>
      </c>
      <c r="K44" s="324">
        <v>67.930000000000007</v>
      </c>
      <c r="L44" s="378">
        <v>1.5100000000000001E-4</v>
      </c>
      <c r="M44" s="381">
        <v>0.21010000000000001</v>
      </c>
      <c r="N44" s="325"/>
      <c r="O44" s="371"/>
      <c r="P44" s="324">
        <v>0</v>
      </c>
      <c r="Q44" s="353">
        <v>0</v>
      </c>
      <c r="R44" s="375">
        <v>67.930000000000007</v>
      </c>
      <c r="S44" s="262"/>
      <c r="T44" s="262"/>
      <c r="U44" s="262"/>
    </row>
    <row r="45" spans="2:29">
      <c r="B45" s="262"/>
      <c r="C45" s="262" t="s">
        <v>636</v>
      </c>
      <c r="D45" s="263"/>
      <c r="E45" s="262"/>
      <c r="F45" s="262"/>
      <c r="G45" s="262"/>
      <c r="H45" s="262"/>
      <c r="I45" s="262"/>
      <c r="J45" s="262"/>
      <c r="K45" s="262"/>
      <c r="L45" s="262"/>
      <c r="M45" s="262"/>
      <c r="N45" s="262"/>
      <c r="O45" s="262"/>
      <c r="P45" s="262"/>
      <c r="Q45" s="262"/>
      <c r="R45" s="262"/>
      <c r="S45" s="262"/>
      <c r="T45" s="262"/>
      <c r="U45" s="262"/>
    </row>
    <row r="46" spans="2:29" ht="14">
      <c r="B46" s="252"/>
      <c r="C46" s="252"/>
      <c r="D46" s="252"/>
      <c r="E46" s="252"/>
      <c r="F46" s="252"/>
      <c r="G46" s="252"/>
      <c r="H46" s="252"/>
      <c r="I46" s="252"/>
      <c r="J46" s="252"/>
      <c r="K46" s="252"/>
      <c r="L46" s="252"/>
      <c r="M46" s="252"/>
      <c r="N46" s="252"/>
      <c r="O46" s="252"/>
      <c r="P46" s="252"/>
      <c r="Q46" s="252"/>
      <c r="R46" s="252"/>
      <c r="S46" s="252"/>
      <c r="T46" s="252"/>
      <c r="U46" s="252"/>
    </row>
    <row r="47" spans="2:29" ht="16">
      <c r="B47" s="253" t="s">
        <v>416</v>
      </c>
      <c r="C47" s="253"/>
      <c r="D47" s="253"/>
      <c r="E47" s="253"/>
      <c r="F47" s="253"/>
      <c r="G47" s="253"/>
      <c r="H47" s="253"/>
      <c r="I47" s="253"/>
      <c r="J47" s="253"/>
      <c r="K47" s="253"/>
      <c r="L47" s="253"/>
      <c r="M47" s="253"/>
      <c r="N47" s="253"/>
      <c r="O47" s="253"/>
      <c r="P47" s="253"/>
      <c r="Q47" s="253"/>
      <c r="R47" s="253"/>
      <c r="S47" s="253"/>
      <c r="T47" s="253"/>
      <c r="U47" s="253"/>
    </row>
    <row r="48" spans="2:29" ht="14">
      <c r="B48" s="252"/>
      <c r="C48" s="252"/>
      <c r="D48" s="252"/>
      <c r="E48" s="252"/>
      <c r="F48" s="252"/>
      <c r="G48" s="252"/>
      <c r="H48" s="252"/>
      <c r="I48" s="252"/>
      <c r="J48" s="252"/>
      <c r="K48" s="252"/>
      <c r="L48" s="252"/>
      <c r="M48" s="252"/>
      <c r="N48" s="252"/>
      <c r="O48" s="252"/>
      <c r="P48" s="252"/>
      <c r="Q48" s="252"/>
      <c r="R48" s="252"/>
      <c r="S48" s="252"/>
      <c r="T48" s="252"/>
      <c r="U48" s="252"/>
    </row>
    <row r="49" spans="2:21" ht="14">
      <c r="B49" s="254"/>
      <c r="C49" s="254"/>
      <c r="D49" s="254"/>
      <c r="E49" s="254"/>
      <c r="F49" s="254"/>
      <c r="G49" s="254"/>
      <c r="H49" s="254"/>
      <c r="I49" s="254"/>
      <c r="J49" s="254"/>
      <c r="K49" s="254"/>
      <c r="L49" s="254"/>
      <c r="M49" s="254"/>
      <c r="N49" s="254"/>
      <c r="O49" s="254"/>
      <c r="P49" s="254"/>
      <c r="Q49" s="254"/>
      <c r="R49" s="254"/>
      <c r="S49" s="254"/>
      <c r="T49" s="254"/>
      <c r="U49" s="254"/>
    </row>
    <row r="50" spans="2:21" ht="15">
      <c r="B50" s="254"/>
      <c r="C50" s="326" t="s">
        <v>417</v>
      </c>
      <c r="D50" s="254"/>
      <c r="E50" s="254"/>
      <c r="F50" s="254"/>
      <c r="G50" s="254"/>
      <c r="H50" s="254"/>
      <c r="I50" s="326" t="s">
        <v>418</v>
      </c>
      <c r="J50" s="254"/>
      <c r="K50" s="254"/>
      <c r="L50" s="254"/>
      <c r="M50" s="254"/>
      <c r="N50" s="254"/>
      <c r="O50" s="254"/>
      <c r="P50" s="254"/>
      <c r="Q50" s="254"/>
      <c r="R50" s="254"/>
      <c r="S50" s="254"/>
      <c r="T50" s="254"/>
      <c r="U50" s="254"/>
    </row>
    <row r="51" spans="2:21" ht="14">
      <c r="C51" s="281" t="s">
        <v>419</v>
      </c>
      <c r="D51" s="281" t="s">
        <v>6</v>
      </c>
      <c r="E51" s="291" t="s">
        <v>637</v>
      </c>
      <c r="F51" s="291" t="s">
        <v>420</v>
      </c>
      <c r="G51" s="291" t="s">
        <v>421</v>
      </c>
      <c r="H51" s="254"/>
      <c r="I51" s="260"/>
      <c r="J51" s="327" t="s">
        <v>422</v>
      </c>
      <c r="K51" s="328" t="s">
        <v>423</v>
      </c>
      <c r="L51" s="254"/>
      <c r="M51" s="254"/>
    </row>
    <row r="52" spans="2:21" ht="14">
      <c r="C52" s="260" t="s">
        <v>401</v>
      </c>
      <c r="D52" s="260" t="s">
        <v>380</v>
      </c>
      <c r="E52" s="329">
        <v>5.0000000000000002E-5</v>
      </c>
      <c r="F52" s="288">
        <v>7.0000000000000007E-2</v>
      </c>
      <c r="G52" s="284" t="s">
        <v>424</v>
      </c>
      <c r="H52" s="254"/>
      <c r="I52" s="292" t="s">
        <v>424</v>
      </c>
      <c r="J52" s="330">
        <v>0.5</v>
      </c>
      <c r="K52" s="310">
        <v>697.7</v>
      </c>
      <c r="L52" s="254"/>
      <c r="M52" s="261"/>
    </row>
    <row r="53" spans="2:21" ht="14">
      <c r="C53" s="260" t="s">
        <v>402</v>
      </c>
      <c r="D53" s="260" t="s">
        <v>380</v>
      </c>
      <c r="E53" s="329">
        <v>5.0000000000000002E-5</v>
      </c>
      <c r="F53" s="288">
        <v>7.0000000000000007E-2</v>
      </c>
      <c r="G53" s="284" t="s">
        <v>424</v>
      </c>
      <c r="H53" s="254"/>
      <c r="I53" s="293" t="s">
        <v>405</v>
      </c>
      <c r="J53" s="331">
        <v>0.43</v>
      </c>
      <c r="K53" s="316">
        <v>55</v>
      </c>
      <c r="L53" s="254"/>
      <c r="M53" s="261"/>
    </row>
    <row r="54" spans="2:21" ht="14">
      <c r="C54" s="260" t="s">
        <v>403</v>
      </c>
      <c r="D54" s="260" t="s">
        <v>380</v>
      </c>
      <c r="E54" s="329">
        <v>2.0000000000000002E-5</v>
      </c>
      <c r="F54" s="288">
        <v>0.03</v>
      </c>
      <c r="G54" s="284" t="s">
        <v>424</v>
      </c>
      <c r="H54" s="254"/>
      <c r="I54" s="282" t="s">
        <v>425</v>
      </c>
      <c r="J54" s="332">
        <v>0.5</v>
      </c>
      <c r="K54" s="324">
        <v>697.7</v>
      </c>
      <c r="L54" s="254"/>
      <c r="M54" s="261"/>
    </row>
    <row r="55" spans="2:21" ht="14">
      <c r="C55" s="260" t="s">
        <v>404</v>
      </c>
      <c r="D55" s="260" t="s">
        <v>380</v>
      </c>
      <c r="E55" s="329">
        <v>1.2E-4</v>
      </c>
      <c r="F55" s="288">
        <v>0.16</v>
      </c>
      <c r="G55" s="284" t="s">
        <v>424</v>
      </c>
      <c r="H55" s="254"/>
      <c r="I55" s="254"/>
      <c r="J55" s="254"/>
      <c r="K55" s="254"/>
      <c r="L55" s="254"/>
      <c r="M55" s="261"/>
    </row>
    <row r="56" spans="2:21" ht="14">
      <c r="C56" s="260" t="s">
        <v>426</v>
      </c>
      <c r="D56" s="260" t="s">
        <v>380</v>
      </c>
      <c r="E56" s="329"/>
      <c r="F56" s="288"/>
      <c r="G56" s="284"/>
      <c r="H56" s="254"/>
      <c r="I56" s="254"/>
      <c r="J56" s="254"/>
      <c r="K56" s="254"/>
      <c r="L56" s="254"/>
      <c r="M56" s="261"/>
    </row>
    <row r="57" spans="2:21" s="404" customFormat="1" ht="14">
      <c r="C57" s="443" t="s">
        <v>635</v>
      </c>
      <c r="D57" s="443" t="s">
        <v>380</v>
      </c>
      <c r="E57" s="462"/>
      <c r="F57" s="452"/>
      <c r="G57" s="450"/>
      <c r="H57" s="441"/>
      <c r="I57" s="441"/>
      <c r="J57" s="441"/>
      <c r="K57" s="441"/>
      <c r="L57" s="441"/>
      <c r="M57" s="444"/>
    </row>
    <row r="58" spans="2:21" ht="14">
      <c r="C58" s="260" t="s">
        <v>405</v>
      </c>
      <c r="D58" s="260" t="s">
        <v>380</v>
      </c>
      <c r="E58" s="329">
        <v>6.9999999999999994E-5</v>
      </c>
      <c r="F58" s="288">
        <v>0.01</v>
      </c>
      <c r="G58" s="284" t="s">
        <v>405</v>
      </c>
      <c r="H58" s="254"/>
      <c r="I58" s="254"/>
      <c r="J58" s="254"/>
      <c r="K58" s="254"/>
      <c r="L58" s="254"/>
      <c r="M58" s="261"/>
    </row>
    <row r="59" spans="2:21" ht="14">
      <c r="C59" s="260" t="s">
        <v>406</v>
      </c>
      <c r="D59" s="260" t="s">
        <v>380</v>
      </c>
      <c r="E59" s="329">
        <v>2.0000000000000002E-5</v>
      </c>
      <c r="F59" s="288">
        <v>0.03</v>
      </c>
      <c r="G59" s="284" t="s">
        <v>424</v>
      </c>
      <c r="H59" s="254"/>
      <c r="I59" s="254"/>
      <c r="J59" s="254"/>
      <c r="K59" s="254"/>
      <c r="L59" s="254"/>
      <c r="M59" s="261"/>
    </row>
    <row r="60" spans="2:21" ht="14">
      <c r="C60" s="260" t="s">
        <v>407</v>
      </c>
      <c r="D60" s="260" t="s">
        <v>380</v>
      </c>
      <c r="E60" s="329">
        <v>2.0000000000000002E-5</v>
      </c>
      <c r="F60" s="288">
        <v>0.03</v>
      </c>
      <c r="G60" s="284" t="s">
        <v>424</v>
      </c>
      <c r="H60" s="254"/>
      <c r="I60" s="254"/>
      <c r="J60" s="254"/>
      <c r="K60" s="254"/>
      <c r="L60" s="254"/>
      <c r="M60" s="261"/>
    </row>
    <row r="61" spans="2:21" ht="14">
      <c r="C61" s="260" t="s">
        <v>408</v>
      </c>
      <c r="D61" s="260" t="s">
        <v>380</v>
      </c>
      <c r="E61" s="329">
        <v>3.0000000000000001E-5</v>
      </c>
      <c r="F61" s="288">
        <v>0.04</v>
      </c>
      <c r="G61" s="284" t="s">
        <v>424</v>
      </c>
      <c r="H61" s="254"/>
      <c r="I61" s="254"/>
      <c r="J61" s="254"/>
      <c r="K61" s="254"/>
      <c r="L61" s="254"/>
      <c r="M61" s="261"/>
    </row>
    <row r="62" spans="2:21" ht="14">
      <c r="C62" s="260" t="s">
        <v>409</v>
      </c>
      <c r="D62" s="260" t="s">
        <v>380</v>
      </c>
      <c r="E62" s="329">
        <v>3.0000000000000001E-5</v>
      </c>
      <c r="F62" s="288">
        <v>0.04</v>
      </c>
      <c r="G62" s="284" t="s">
        <v>424</v>
      </c>
      <c r="H62" s="254"/>
      <c r="I62" s="254"/>
      <c r="J62" s="254"/>
      <c r="K62" s="254"/>
      <c r="L62" s="254"/>
      <c r="M62" s="261"/>
    </row>
    <row r="63" spans="2:21" ht="14">
      <c r="C63" s="260" t="s">
        <v>410</v>
      </c>
      <c r="D63" s="260" t="s">
        <v>380</v>
      </c>
      <c r="E63" s="329">
        <v>4.0000000000000003E-5</v>
      </c>
      <c r="F63" s="288">
        <v>0.06</v>
      </c>
      <c r="G63" s="284" t="s">
        <v>424</v>
      </c>
      <c r="H63" s="254"/>
      <c r="I63" s="254"/>
      <c r="J63" s="254"/>
      <c r="K63" s="254"/>
      <c r="L63" s="254"/>
      <c r="M63" s="261"/>
    </row>
    <row r="64" spans="2:21" ht="14">
      <c r="C64" s="260" t="s">
        <v>411</v>
      </c>
      <c r="D64" s="260" t="s">
        <v>380</v>
      </c>
      <c r="E64" s="329">
        <v>1.1E-4</v>
      </c>
      <c r="F64" s="288">
        <v>0.15</v>
      </c>
      <c r="G64" s="284" t="s">
        <v>425</v>
      </c>
      <c r="H64" s="254"/>
      <c r="I64" s="254"/>
      <c r="J64" s="254"/>
      <c r="K64" s="254"/>
      <c r="L64" s="254"/>
      <c r="M64" s="261"/>
    </row>
    <row r="65" spans="3:13" ht="14">
      <c r="C65" s="260" t="s">
        <v>412</v>
      </c>
      <c r="D65" s="260" t="s">
        <v>380</v>
      </c>
      <c r="E65" s="329">
        <v>0</v>
      </c>
      <c r="F65" s="288">
        <v>0</v>
      </c>
      <c r="G65" s="284" t="s">
        <v>424</v>
      </c>
      <c r="H65" s="254"/>
      <c r="I65" s="254"/>
      <c r="J65" s="254"/>
      <c r="K65" s="254"/>
      <c r="L65" s="254"/>
      <c r="M65" s="261"/>
    </row>
    <row r="66" spans="3:13" ht="14">
      <c r="C66" s="260" t="s">
        <v>413</v>
      </c>
      <c r="D66" s="260" t="s">
        <v>380</v>
      </c>
      <c r="E66" s="329">
        <v>8.0000000000000007E-5</v>
      </c>
      <c r="F66" s="288">
        <v>0.01</v>
      </c>
      <c r="G66" s="284" t="s">
        <v>405</v>
      </c>
      <c r="H66" s="254"/>
      <c r="I66" s="254"/>
      <c r="J66" s="254"/>
      <c r="K66" s="254"/>
      <c r="L66" s="254"/>
      <c r="M66" s="261"/>
    </row>
    <row r="67" spans="3:13" ht="14">
      <c r="C67" s="260" t="s">
        <v>414</v>
      </c>
      <c r="D67" s="260" t="s">
        <v>380</v>
      </c>
      <c r="E67" s="329">
        <v>1.4999999999999999E-4</v>
      </c>
      <c r="F67" s="288">
        <v>0.21</v>
      </c>
      <c r="G67" s="284" t="s">
        <v>424</v>
      </c>
      <c r="H67" s="254"/>
      <c r="I67" s="254"/>
      <c r="J67" s="254"/>
      <c r="K67" s="254"/>
      <c r="L67" s="254"/>
      <c r="M67" s="261"/>
    </row>
    <row r="68" spans="3:13" ht="14">
      <c r="C68" s="254"/>
      <c r="D68" s="254"/>
      <c r="E68" s="254"/>
      <c r="F68" s="254"/>
      <c r="G68" s="254"/>
      <c r="H68" s="254"/>
      <c r="I68" s="254"/>
      <c r="J68" s="254"/>
      <c r="K68" s="254"/>
    </row>
    <row r="69" spans="3:13" ht="15">
      <c r="C69" s="326" t="s">
        <v>427</v>
      </c>
      <c r="D69" s="254"/>
      <c r="E69" s="254"/>
      <c r="F69" s="254"/>
      <c r="G69" s="254"/>
      <c r="H69" s="254"/>
      <c r="I69" s="254"/>
      <c r="J69" s="254"/>
      <c r="K69" s="254"/>
    </row>
    <row r="70" spans="3:13" ht="14">
      <c r="C70" s="281" t="s">
        <v>419</v>
      </c>
      <c r="D70" s="281" t="s">
        <v>6</v>
      </c>
      <c r="E70" s="281" t="s">
        <v>428</v>
      </c>
      <c r="F70" s="281">
        <v>2015</v>
      </c>
      <c r="G70" s="281">
        <v>2020</v>
      </c>
      <c r="H70" s="281">
        <v>2035</v>
      </c>
      <c r="I70" s="281">
        <v>2050</v>
      </c>
      <c r="J70" s="281" t="s">
        <v>429</v>
      </c>
      <c r="K70" s="281" t="s">
        <v>319</v>
      </c>
    </row>
    <row r="71" spans="3:13" ht="14">
      <c r="C71" s="260" t="s">
        <v>401</v>
      </c>
      <c r="D71" s="260" t="s">
        <v>430</v>
      </c>
      <c r="E71" s="288">
        <v>1.8</v>
      </c>
      <c r="F71" s="284">
        <v>1.8</v>
      </c>
      <c r="G71" s="284">
        <v>1.8</v>
      </c>
      <c r="H71" s="284">
        <v>1.8</v>
      </c>
      <c r="I71" s="284">
        <v>1.8</v>
      </c>
      <c r="J71" s="260"/>
      <c r="K71" s="289" t="s">
        <v>431</v>
      </c>
    </row>
    <row r="72" spans="3:13" ht="14">
      <c r="C72" s="260" t="s">
        <v>402</v>
      </c>
      <c r="D72" s="260" t="s">
        <v>430</v>
      </c>
      <c r="E72" s="288">
        <v>1.8</v>
      </c>
      <c r="F72" s="333">
        <v>1.8</v>
      </c>
      <c r="G72" s="333">
        <v>1.8</v>
      </c>
      <c r="H72" s="333">
        <v>1.8</v>
      </c>
      <c r="I72" s="333">
        <v>1.8</v>
      </c>
      <c r="J72" s="334" t="s">
        <v>432</v>
      </c>
      <c r="K72" s="335" t="s">
        <v>433</v>
      </c>
    </row>
    <row r="73" spans="3:13" ht="14">
      <c r="C73" s="260" t="s">
        <v>403</v>
      </c>
      <c r="D73" s="260" t="s">
        <v>430</v>
      </c>
      <c r="E73" s="288">
        <v>0.53</v>
      </c>
      <c r="F73" s="284">
        <v>0.53</v>
      </c>
      <c r="G73" s="284">
        <v>0.53</v>
      </c>
      <c r="H73" s="284">
        <v>0.53</v>
      </c>
      <c r="I73" s="284">
        <v>0.53</v>
      </c>
      <c r="J73" s="260"/>
      <c r="K73" s="289" t="s">
        <v>638</v>
      </c>
    </row>
    <row r="74" spans="3:13" ht="14">
      <c r="C74" s="260" t="s">
        <v>404</v>
      </c>
      <c r="D74" s="260" t="s">
        <v>430</v>
      </c>
      <c r="E74" s="288">
        <v>6.23</v>
      </c>
      <c r="F74" s="285">
        <v>6.23</v>
      </c>
      <c r="G74" s="285">
        <v>6.23</v>
      </c>
      <c r="H74" s="285">
        <v>6.23</v>
      </c>
      <c r="I74" s="285">
        <v>6.23</v>
      </c>
      <c r="J74" s="260"/>
      <c r="K74" s="289" t="s">
        <v>638</v>
      </c>
    </row>
    <row r="75" spans="3:13" ht="14">
      <c r="C75" s="260" t="s">
        <v>426</v>
      </c>
      <c r="D75" s="260"/>
      <c r="E75" s="288"/>
      <c r="F75" s="285"/>
      <c r="G75" s="285"/>
      <c r="H75" s="285"/>
      <c r="I75" s="285"/>
      <c r="J75" s="260"/>
      <c r="K75" s="289"/>
    </row>
    <row r="76" spans="3:13" s="404" customFormat="1" ht="14">
      <c r="C76" s="443" t="s">
        <v>635</v>
      </c>
      <c r="D76" s="443" t="s">
        <v>430</v>
      </c>
      <c r="E76" s="452">
        <v>9.67</v>
      </c>
      <c r="F76" s="451">
        <v>9.67</v>
      </c>
      <c r="G76" s="451">
        <v>9.67</v>
      </c>
      <c r="H76" s="451">
        <v>9.67</v>
      </c>
      <c r="I76" s="451">
        <v>9.67</v>
      </c>
      <c r="J76" s="443" t="s">
        <v>639</v>
      </c>
      <c r="K76" s="453" t="s">
        <v>638</v>
      </c>
    </row>
    <row r="77" spans="3:13" ht="14">
      <c r="C77" s="260" t="s">
        <v>405</v>
      </c>
      <c r="D77" s="260" t="s">
        <v>435</v>
      </c>
      <c r="E77" s="288">
        <v>6.71</v>
      </c>
      <c r="F77" s="284">
        <v>6.71</v>
      </c>
      <c r="G77" s="284">
        <v>6.71</v>
      </c>
      <c r="H77" s="284">
        <v>6.71</v>
      </c>
      <c r="I77" s="284">
        <v>6.71</v>
      </c>
      <c r="J77" s="260" t="s">
        <v>640</v>
      </c>
      <c r="K77" s="289" t="s">
        <v>638</v>
      </c>
    </row>
    <row r="78" spans="3:13" ht="14">
      <c r="C78" s="260" t="s">
        <v>406</v>
      </c>
      <c r="D78" s="260" t="s">
        <v>430</v>
      </c>
      <c r="E78" s="288">
        <v>0.67</v>
      </c>
      <c r="F78" s="285">
        <v>0.67</v>
      </c>
      <c r="G78" s="285">
        <v>0.67</v>
      </c>
      <c r="H78" s="285">
        <v>0.67</v>
      </c>
      <c r="I78" s="285">
        <v>0.67</v>
      </c>
      <c r="J78" s="260" t="s">
        <v>436</v>
      </c>
      <c r="K78" s="289" t="s">
        <v>431</v>
      </c>
    </row>
    <row r="79" spans="3:13" ht="14">
      <c r="C79" s="260" t="s">
        <v>407</v>
      </c>
      <c r="D79" s="260" t="s">
        <v>430</v>
      </c>
      <c r="E79" s="288">
        <v>0.67</v>
      </c>
      <c r="F79" s="336">
        <v>0.67</v>
      </c>
      <c r="G79" s="336">
        <v>0.67</v>
      </c>
      <c r="H79" s="336">
        <v>0.67</v>
      </c>
      <c r="I79" s="336">
        <v>0.67</v>
      </c>
      <c r="J79" s="337" t="s">
        <v>437</v>
      </c>
      <c r="K79" s="286"/>
    </row>
    <row r="80" spans="3:13" ht="14">
      <c r="C80" s="260" t="s">
        <v>408</v>
      </c>
      <c r="D80" s="260" t="s">
        <v>438</v>
      </c>
      <c r="E80" s="288">
        <v>0.05</v>
      </c>
      <c r="F80" s="284">
        <v>0.05</v>
      </c>
      <c r="G80" s="284">
        <v>0.05</v>
      </c>
      <c r="H80" s="284">
        <v>0.05</v>
      </c>
      <c r="I80" s="284">
        <v>0.05</v>
      </c>
      <c r="J80" s="338"/>
      <c r="K80" s="290" t="s">
        <v>641</v>
      </c>
    </row>
    <row r="81" spans="3:23" ht="14">
      <c r="C81" s="260" t="s">
        <v>409</v>
      </c>
      <c r="D81" s="260" t="s">
        <v>438</v>
      </c>
      <c r="E81" s="288">
        <v>0.05</v>
      </c>
      <c r="F81" s="284">
        <v>0.05</v>
      </c>
      <c r="G81" s="284">
        <v>0.05</v>
      </c>
      <c r="H81" s="284">
        <v>0.05</v>
      </c>
      <c r="I81" s="284">
        <v>0.05</v>
      </c>
      <c r="J81" s="338"/>
      <c r="K81" s="290" t="s">
        <v>641</v>
      </c>
    </row>
    <row r="82" spans="3:23" ht="14">
      <c r="C82" s="260" t="s">
        <v>410</v>
      </c>
      <c r="D82" s="260" t="s">
        <v>430</v>
      </c>
      <c r="E82" s="288">
        <v>2.36</v>
      </c>
      <c r="F82" s="285">
        <v>2.36</v>
      </c>
      <c r="G82" s="285">
        <v>2.36</v>
      </c>
      <c r="H82" s="285">
        <v>2.36</v>
      </c>
      <c r="I82" s="285">
        <v>2.36</v>
      </c>
      <c r="J82" s="260"/>
      <c r="K82" s="290" t="s">
        <v>642</v>
      </c>
    </row>
    <row r="83" spans="3:23" ht="14">
      <c r="C83" s="260" t="s">
        <v>411</v>
      </c>
      <c r="D83" s="260" t="s">
        <v>430</v>
      </c>
      <c r="E83" s="288">
        <v>9.08</v>
      </c>
      <c r="F83" s="285">
        <v>9.08</v>
      </c>
      <c r="G83" s="285">
        <v>9.18</v>
      </c>
      <c r="H83" s="285">
        <v>8.8699999999999992</v>
      </c>
      <c r="I83" s="285">
        <v>8.26</v>
      </c>
      <c r="J83" s="260"/>
      <c r="K83" s="289"/>
    </row>
    <row r="84" spans="3:23" ht="14">
      <c r="C84" s="260" t="s">
        <v>412</v>
      </c>
      <c r="D84" s="260" t="s">
        <v>430</v>
      </c>
      <c r="E84" s="288">
        <v>0</v>
      </c>
      <c r="F84" s="391"/>
      <c r="G84" s="391"/>
      <c r="H84" s="391"/>
      <c r="I84" s="391"/>
      <c r="J84" s="260"/>
      <c r="K84" s="289"/>
    </row>
    <row r="85" spans="3:23" ht="14">
      <c r="C85" s="260" t="s">
        <v>413</v>
      </c>
      <c r="D85" s="260" t="s">
        <v>430</v>
      </c>
      <c r="E85" s="288">
        <v>4.7699999999999996</v>
      </c>
      <c r="F85" s="284">
        <v>4.7699999999999996</v>
      </c>
      <c r="G85" s="284">
        <v>4.7699999999999996</v>
      </c>
      <c r="H85" s="284">
        <v>4.7699999999999996</v>
      </c>
      <c r="I85" s="284">
        <v>4.7699999999999996</v>
      </c>
      <c r="J85" s="260" t="s">
        <v>439</v>
      </c>
      <c r="K85" s="290" t="s">
        <v>431</v>
      </c>
      <c r="L85" s="254"/>
      <c r="M85" s="254"/>
      <c r="N85" s="254"/>
      <c r="O85" s="254"/>
      <c r="P85" s="254"/>
      <c r="Q85" s="254"/>
      <c r="R85" s="254"/>
      <c r="S85" s="254"/>
      <c r="T85" s="254"/>
      <c r="U85" s="254"/>
      <c r="V85" s="254"/>
      <c r="W85" s="254"/>
    </row>
    <row r="86" spans="3:23" ht="14">
      <c r="C86" s="260" t="s">
        <v>414</v>
      </c>
      <c r="D86" s="260" t="s">
        <v>430</v>
      </c>
      <c r="E86" s="288">
        <v>11.14</v>
      </c>
      <c r="F86" s="284">
        <v>11.14</v>
      </c>
      <c r="G86" s="284">
        <v>11.14</v>
      </c>
      <c r="H86" s="284">
        <v>11.14</v>
      </c>
      <c r="I86" s="284">
        <v>11.14</v>
      </c>
      <c r="J86" s="260" t="s">
        <v>440</v>
      </c>
      <c r="K86" s="290" t="s">
        <v>431</v>
      </c>
      <c r="L86" s="254"/>
      <c r="M86" s="254"/>
      <c r="N86" s="254"/>
      <c r="O86" s="254"/>
      <c r="P86" s="254"/>
      <c r="Q86" s="254"/>
      <c r="R86" s="254"/>
      <c r="S86" s="254"/>
      <c r="T86" s="254"/>
      <c r="U86" s="254"/>
      <c r="V86" s="254"/>
      <c r="W86" s="254"/>
    </row>
    <row r="87" spans="3:23" ht="14">
      <c r="C87" s="254"/>
      <c r="D87" s="254"/>
      <c r="E87" s="254"/>
      <c r="F87" s="254"/>
      <c r="G87" s="254"/>
      <c r="H87" s="254"/>
      <c r="I87" s="254"/>
      <c r="J87" s="254"/>
      <c r="K87" s="254"/>
      <c r="L87" s="254"/>
      <c r="M87" s="254"/>
      <c r="N87" s="254"/>
      <c r="O87" s="254"/>
      <c r="P87" s="254"/>
      <c r="Q87" s="254"/>
      <c r="R87" s="254"/>
      <c r="S87" s="254"/>
      <c r="T87" s="254"/>
      <c r="U87" s="254"/>
      <c r="V87" s="254"/>
      <c r="W87" s="254"/>
    </row>
    <row r="88" spans="3:23" ht="15">
      <c r="C88" s="326" t="s">
        <v>643</v>
      </c>
      <c r="D88" s="254"/>
      <c r="E88" s="254"/>
      <c r="F88" s="254"/>
      <c r="G88" s="254"/>
      <c r="H88" s="254"/>
      <c r="I88" s="254"/>
      <c r="J88" s="254"/>
      <c r="K88" s="254"/>
      <c r="L88" s="254"/>
      <c r="M88" s="254"/>
      <c r="N88" s="254"/>
      <c r="O88" s="254"/>
      <c r="P88" s="254"/>
      <c r="Q88" s="254"/>
      <c r="R88" s="254"/>
      <c r="S88" s="254"/>
      <c r="T88" s="254"/>
      <c r="U88" s="254"/>
      <c r="V88" s="254"/>
      <c r="W88" s="254"/>
    </row>
    <row r="89" spans="3:23" ht="14">
      <c r="C89" s="281" t="s">
        <v>419</v>
      </c>
      <c r="D89" s="281" t="s">
        <v>6</v>
      </c>
      <c r="E89" s="281" t="s">
        <v>428</v>
      </c>
      <c r="F89" s="281">
        <v>2015</v>
      </c>
      <c r="G89" s="281">
        <v>2020</v>
      </c>
      <c r="H89" s="281">
        <v>2035</v>
      </c>
      <c r="I89" s="281">
        <v>2050</v>
      </c>
      <c r="J89" s="281" t="s">
        <v>429</v>
      </c>
      <c r="K89" s="281" t="s">
        <v>319</v>
      </c>
      <c r="L89" s="254"/>
      <c r="M89" s="254"/>
      <c r="N89" s="254"/>
      <c r="O89" s="254"/>
      <c r="P89" s="254"/>
      <c r="Q89" s="254"/>
      <c r="R89" s="254"/>
      <c r="S89" s="254"/>
      <c r="T89" s="254"/>
      <c r="U89" s="254"/>
      <c r="V89" s="254"/>
      <c r="W89" s="254"/>
    </row>
    <row r="90" spans="3:23" ht="14">
      <c r="C90" s="260" t="s">
        <v>401</v>
      </c>
      <c r="D90" s="260" t="s">
        <v>380</v>
      </c>
      <c r="E90" s="288">
        <v>16.739999999999998</v>
      </c>
      <c r="F90" s="283">
        <v>17</v>
      </c>
      <c r="G90" s="283">
        <v>17</v>
      </c>
      <c r="H90" s="283">
        <v>17</v>
      </c>
      <c r="I90" s="283">
        <v>17</v>
      </c>
      <c r="J90" s="260" t="s">
        <v>434</v>
      </c>
      <c r="K90" s="289" t="s">
        <v>431</v>
      </c>
      <c r="L90" s="254"/>
      <c r="M90" s="254"/>
      <c r="N90" s="254"/>
      <c r="O90" s="254"/>
      <c r="P90" s="254"/>
      <c r="Q90" s="254"/>
      <c r="R90" s="254"/>
      <c r="S90" s="254"/>
      <c r="T90" s="254"/>
      <c r="U90" s="254"/>
      <c r="V90" s="254"/>
      <c r="W90" s="295"/>
    </row>
    <row r="91" spans="3:23" ht="14">
      <c r="C91" s="260" t="s">
        <v>402</v>
      </c>
      <c r="D91" s="260" t="s">
        <v>380</v>
      </c>
      <c r="E91" s="288">
        <v>9.26</v>
      </c>
      <c r="F91" s="294">
        <v>9</v>
      </c>
      <c r="G91" s="294">
        <v>9</v>
      </c>
      <c r="H91" s="294">
        <v>9</v>
      </c>
      <c r="I91" s="294">
        <v>9</v>
      </c>
      <c r="J91" s="334"/>
      <c r="K91" s="289" t="s">
        <v>431</v>
      </c>
      <c r="L91" s="254"/>
      <c r="M91" s="254"/>
      <c r="N91" s="254"/>
      <c r="O91" s="254"/>
      <c r="P91" s="254"/>
      <c r="Q91" s="254"/>
      <c r="R91" s="254"/>
      <c r="S91" s="254"/>
      <c r="T91" s="254"/>
      <c r="U91" s="254"/>
      <c r="V91" s="254"/>
      <c r="W91" s="295"/>
    </row>
    <row r="92" spans="3:23" ht="14">
      <c r="C92" s="260" t="s">
        <v>403</v>
      </c>
      <c r="D92" s="260" t="s">
        <v>380</v>
      </c>
      <c r="E92" s="288">
        <v>2.5099999999999998</v>
      </c>
      <c r="F92" s="284">
        <v>2.5099999999999998</v>
      </c>
      <c r="G92" s="284">
        <v>2.5099999999999998</v>
      </c>
      <c r="H92" s="284">
        <v>2.5099999999999998</v>
      </c>
      <c r="I92" s="284">
        <v>2.5099999999999998</v>
      </c>
      <c r="J92" s="260"/>
      <c r="K92" s="289" t="s">
        <v>638</v>
      </c>
      <c r="L92" s="254"/>
      <c r="M92" s="254"/>
      <c r="N92" s="254"/>
      <c r="O92" s="254"/>
      <c r="P92" s="254"/>
      <c r="Q92" s="254"/>
      <c r="R92" s="254"/>
      <c r="S92" s="254"/>
      <c r="T92" s="254"/>
      <c r="U92" s="254"/>
      <c r="V92" s="254"/>
      <c r="W92" s="295"/>
    </row>
    <row r="93" spans="3:23" ht="14">
      <c r="C93" s="260" t="s">
        <v>404</v>
      </c>
      <c r="D93" s="260" t="s">
        <v>380</v>
      </c>
      <c r="E93" s="288">
        <v>35.880000000000003</v>
      </c>
      <c r="F93" s="285">
        <v>35.880000000000003</v>
      </c>
      <c r="G93" s="285">
        <v>35.880000000000003</v>
      </c>
      <c r="H93" s="285">
        <v>35.880000000000003</v>
      </c>
      <c r="I93" s="285">
        <v>35.880000000000003</v>
      </c>
      <c r="J93" s="260"/>
      <c r="K93" s="289" t="s">
        <v>638</v>
      </c>
      <c r="L93" s="254"/>
      <c r="M93" s="254"/>
      <c r="N93" s="254"/>
      <c r="O93" s="254"/>
      <c r="P93" s="254"/>
      <c r="Q93" s="254"/>
      <c r="R93" s="254"/>
      <c r="S93" s="254"/>
      <c r="T93" s="254"/>
      <c r="U93" s="254"/>
      <c r="V93" s="254"/>
      <c r="W93" s="295"/>
    </row>
    <row r="94" spans="3:23" ht="14">
      <c r="C94" s="260" t="s">
        <v>426</v>
      </c>
      <c r="D94" s="260"/>
      <c r="E94" s="288"/>
      <c r="F94" s="285"/>
      <c r="G94" s="285"/>
      <c r="H94" s="285"/>
      <c r="I94" s="285"/>
      <c r="J94" s="260"/>
      <c r="K94" s="289"/>
      <c r="L94" s="254"/>
      <c r="M94" s="254"/>
      <c r="N94" s="254"/>
      <c r="O94" s="254"/>
      <c r="P94" s="254"/>
      <c r="Q94" s="254"/>
      <c r="R94" s="254"/>
      <c r="S94" s="254"/>
      <c r="T94" s="254"/>
      <c r="U94" s="254"/>
      <c r="V94" s="254"/>
      <c r="W94" s="295"/>
    </row>
    <row r="95" spans="3:23" s="404" customFormat="1" ht="14">
      <c r="C95" s="443" t="s">
        <v>635</v>
      </c>
      <c r="D95" s="443" t="s">
        <v>380</v>
      </c>
      <c r="E95" s="452">
        <v>48.61</v>
      </c>
      <c r="F95" s="451">
        <v>48.61</v>
      </c>
      <c r="G95" s="451">
        <v>48.61</v>
      </c>
      <c r="H95" s="451">
        <v>48.61</v>
      </c>
      <c r="I95" s="451">
        <v>48.61</v>
      </c>
      <c r="J95" s="443" t="s">
        <v>440</v>
      </c>
      <c r="K95" s="453" t="s">
        <v>638</v>
      </c>
      <c r="L95" s="441"/>
      <c r="M95" s="441"/>
      <c r="N95" s="441"/>
      <c r="O95" s="441"/>
      <c r="P95" s="441"/>
      <c r="Q95" s="441"/>
      <c r="R95" s="441"/>
      <c r="S95" s="441"/>
      <c r="T95" s="441"/>
      <c r="U95" s="441"/>
      <c r="V95" s="441"/>
      <c r="W95" s="455"/>
    </row>
    <row r="96" spans="3:23" ht="14">
      <c r="C96" s="260" t="s">
        <v>405</v>
      </c>
      <c r="D96" s="260" t="s">
        <v>380</v>
      </c>
      <c r="E96" s="288">
        <v>13</v>
      </c>
      <c r="F96" s="285">
        <v>13</v>
      </c>
      <c r="G96" s="285">
        <v>13</v>
      </c>
      <c r="H96" s="285">
        <v>13</v>
      </c>
      <c r="I96" s="285">
        <v>13</v>
      </c>
      <c r="J96" s="260" t="s">
        <v>640</v>
      </c>
      <c r="K96" s="289" t="s">
        <v>638</v>
      </c>
      <c r="L96" s="254"/>
      <c r="M96" s="254"/>
      <c r="N96" s="254"/>
      <c r="O96" s="254"/>
      <c r="P96" s="254"/>
      <c r="Q96" s="254"/>
      <c r="R96" s="254"/>
      <c r="S96" s="254"/>
      <c r="T96" s="254"/>
      <c r="U96" s="254"/>
      <c r="V96" s="254"/>
      <c r="W96" s="295"/>
    </row>
    <row r="97" spans="3:37" ht="14">
      <c r="C97" s="260" t="s">
        <v>406</v>
      </c>
      <c r="D97" s="260" t="s">
        <v>380</v>
      </c>
      <c r="E97" s="288">
        <v>5.4</v>
      </c>
      <c r="F97" s="285">
        <v>5.4</v>
      </c>
      <c r="G97" s="285">
        <v>5.4</v>
      </c>
      <c r="H97" s="285">
        <v>5.4</v>
      </c>
      <c r="I97" s="285">
        <v>5.4</v>
      </c>
      <c r="J97" s="260" t="s">
        <v>436</v>
      </c>
      <c r="K97" s="289" t="s">
        <v>431</v>
      </c>
      <c r="L97" s="254"/>
      <c r="M97" s="254"/>
      <c r="N97" s="254"/>
      <c r="O97" s="254"/>
      <c r="P97" s="254"/>
      <c r="Q97" s="254"/>
      <c r="R97" s="254"/>
      <c r="S97" s="254"/>
      <c r="T97" s="254"/>
      <c r="U97" s="254"/>
      <c r="V97" s="254"/>
      <c r="W97" s="295"/>
    </row>
    <row r="98" spans="3:37" ht="14">
      <c r="C98" s="260" t="s">
        <v>407</v>
      </c>
      <c r="D98" s="260" t="s">
        <v>380</v>
      </c>
      <c r="E98" s="288">
        <v>5.4</v>
      </c>
      <c r="F98" s="336">
        <v>5.4</v>
      </c>
      <c r="G98" s="336">
        <v>5.4</v>
      </c>
      <c r="H98" s="336">
        <v>5.4</v>
      </c>
      <c r="I98" s="336">
        <v>5.4</v>
      </c>
      <c r="J98" s="337" t="s">
        <v>441</v>
      </c>
      <c r="K98" s="286"/>
      <c r="L98" s="254"/>
      <c r="M98" s="254"/>
      <c r="N98" s="254"/>
      <c r="O98" s="254"/>
      <c r="P98" s="254"/>
      <c r="Q98" s="254"/>
      <c r="R98" s="254"/>
      <c r="S98" s="254"/>
      <c r="T98" s="254"/>
      <c r="U98" s="254"/>
      <c r="V98" s="254"/>
      <c r="W98" s="295"/>
    </row>
    <row r="99" spans="3:37" ht="14">
      <c r="C99" s="260" t="s">
        <v>408</v>
      </c>
      <c r="D99" s="260" t="s">
        <v>380</v>
      </c>
      <c r="E99" s="288">
        <v>0.26</v>
      </c>
      <c r="F99" s="288">
        <v>0.26</v>
      </c>
      <c r="G99" s="288">
        <v>0.23</v>
      </c>
      <c r="H99" s="288">
        <v>0.22</v>
      </c>
      <c r="I99" s="288">
        <v>0</v>
      </c>
      <c r="J99" s="338" t="s">
        <v>442</v>
      </c>
      <c r="K99" s="290" t="s">
        <v>641</v>
      </c>
      <c r="L99" s="254"/>
      <c r="M99" s="254"/>
      <c r="N99" s="254"/>
      <c r="O99" s="254"/>
      <c r="P99" s="254"/>
      <c r="Q99" s="254"/>
      <c r="R99" s="254"/>
      <c r="S99" s="254"/>
      <c r="T99" s="254"/>
      <c r="U99" s="254"/>
      <c r="V99" s="254"/>
      <c r="W99" s="295"/>
    </row>
    <row r="100" spans="3:37" ht="14">
      <c r="C100" s="260" t="s">
        <v>409</v>
      </c>
      <c r="D100" s="260" t="s">
        <v>380</v>
      </c>
      <c r="E100" s="288">
        <v>0.26</v>
      </c>
      <c r="F100" s="288">
        <v>0.26</v>
      </c>
      <c r="G100" s="288">
        <v>0.23</v>
      </c>
      <c r="H100" s="288">
        <v>0.22</v>
      </c>
      <c r="I100" s="288">
        <v>0</v>
      </c>
      <c r="J100" s="338" t="s">
        <v>442</v>
      </c>
      <c r="K100" s="290" t="s">
        <v>641</v>
      </c>
      <c r="L100" s="254"/>
      <c r="M100" s="254"/>
      <c r="N100" s="254"/>
      <c r="O100" s="254"/>
      <c r="P100" s="254"/>
      <c r="Q100" s="254"/>
      <c r="R100" s="254"/>
      <c r="S100" s="254"/>
      <c r="T100" s="254"/>
      <c r="U100" s="254"/>
      <c r="V100" s="254"/>
      <c r="W100" s="295"/>
    </row>
    <row r="101" spans="3:37" ht="14">
      <c r="C101" s="260" t="s">
        <v>410</v>
      </c>
      <c r="D101" s="260" t="s">
        <v>380</v>
      </c>
      <c r="E101" s="288">
        <v>15.32</v>
      </c>
      <c r="F101" s="285">
        <v>15.32</v>
      </c>
      <c r="G101" s="285">
        <v>15.32</v>
      </c>
      <c r="H101" s="285">
        <v>15.32</v>
      </c>
      <c r="I101" s="285">
        <v>15.32</v>
      </c>
      <c r="J101" s="260"/>
      <c r="K101" s="290" t="s">
        <v>642</v>
      </c>
      <c r="L101" s="254"/>
      <c r="M101" s="254"/>
      <c r="N101" s="254"/>
      <c r="O101" s="254"/>
      <c r="P101" s="254"/>
      <c r="Q101" s="254"/>
      <c r="R101" s="254"/>
      <c r="S101" s="254"/>
      <c r="T101" s="254"/>
      <c r="U101" s="254"/>
      <c r="V101" s="254"/>
      <c r="W101" s="295"/>
    </row>
    <row r="102" spans="3:37" ht="14">
      <c r="C102" s="260" t="s">
        <v>411</v>
      </c>
      <c r="D102" s="260" t="s">
        <v>380</v>
      </c>
      <c r="E102" s="288">
        <v>22.6</v>
      </c>
      <c r="F102" s="285">
        <v>22.6</v>
      </c>
      <c r="G102" s="285">
        <v>23.19</v>
      </c>
      <c r="H102" s="285">
        <v>21.56</v>
      </c>
      <c r="I102" s="285">
        <v>19.3</v>
      </c>
      <c r="J102" s="260"/>
      <c r="K102" s="289"/>
      <c r="L102" s="254"/>
      <c r="M102" s="254"/>
      <c r="N102" s="254"/>
      <c r="O102" s="254"/>
      <c r="P102" s="254"/>
      <c r="Q102" s="254"/>
      <c r="R102" s="254"/>
      <c r="S102" s="254"/>
      <c r="T102" s="254"/>
      <c r="U102" s="254"/>
      <c r="V102" s="254"/>
      <c r="W102" s="295"/>
      <c r="X102" s="254"/>
      <c r="Y102" s="254"/>
      <c r="Z102" s="254"/>
      <c r="AA102" s="254"/>
      <c r="AB102" s="254"/>
      <c r="AC102" s="254"/>
      <c r="AD102" s="254"/>
      <c r="AE102" s="254"/>
      <c r="AF102" s="254"/>
      <c r="AG102" s="254"/>
      <c r="AH102" s="254"/>
      <c r="AI102" s="254"/>
      <c r="AJ102" s="254"/>
      <c r="AK102" s="254"/>
    </row>
    <row r="103" spans="3:37" ht="14">
      <c r="C103" s="260" t="s">
        <v>412</v>
      </c>
      <c r="D103" s="260" t="s">
        <v>380</v>
      </c>
      <c r="E103" s="288">
        <v>3.53</v>
      </c>
      <c r="F103" s="339">
        <v>3.53</v>
      </c>
      <c r="G103" s="339">
        <v>3.53</v>
      </c>
      <c r="H103" s="339">
        <v>3.53</v>
      </c>
      <c r="I103" s="339">
        <v>3.53</v>
      </c>
      <c r="J103" s="338" t="s">
        <v>443</v>
      </c>
      <c r="K103" s="340"/>
      <c r="L103" s="254"/>
      <c r="M103" s="254"/>
      <c r="N103" s="254"/>
      <c r="O103" s="254"/>
      <c r="P103" s="254"/>
      <c r="Q103" s="254"/>
      <c r="R103" s="254"/>
      <c r="S103" s="254"/>
      <c r="T103" s="254"/>
      <c r="U103" s="254"/>
      <c r="V103" s="254"/>
      <c r="W103" s="295"/>
      <c r="X103" s="254"/>
      <c r="Y103" s="254"/>
      <c r="Z103" s="254"/>
      <c r="AA103" s="254"/>
      <c r="AB103" s="254"/>
      <c r="AC103" s="254"/>
      <c r="AD103" s="254"/>
      <c r="AE103" s="254"/>
      <c r="AF103" s="254"/>
      <c r="AG103" s="254"/>
      <c r="AH103" s="254"/>
      <c r="AI103" s="254"/>
      <c r="AJ103" s="254"/>
      <c r="AK103" s="254"/>
    </row>
    <row r="104" spans="3:37" ht="14">
      <c r="C104" s="260" t="s">
        <v>413</v>
      </c>
      <c r="D104" s="260" t="s">
        <v>380</v>
      </c>
      <c r="E104" s="288">
        <v>24.16</v>
      </c>
      <c r="F104" s="284">
        <v>24.16</v>
      </c>
      <c r="G104" s="284">
        <v>24.16</v>
      </c>
      <c r="H104" s="284">
        <v>24.16</v>
      </c>
      <c r="I104" s="284">
        <v>24.16</v>
      </c>
      <c r="J104" s="338" t="s">
        <v>444</v>
      </c>
      <c r="K104" s="290" t="s">
        <v>431</v>
      </c>
      <c r="L104" s="254"/>
      <c r="M104" s="254"/>
      <c r="N104" s="254"/>
      <c r="O104" s="254"/>
      <c r="P104" s="254"/>
      <c r="Q104" s="254"/>
      <c r="R104" s="254"/>
      <c r="S104" s="254"/>
      <c r="T104" s="254"/>
      <c r="U104" s="254"/>
      <c r="V104" s="254"/>
      <c r="W104" s="261"/>
      <c r="X104" s="254"/>
      <c r="Y104" s="254"/>
      <c r="Z104" s="254"/>
      <c r="AA104" s="254"/>
      <c r="AB104" s="254"/>
      <c r="AC104" s="254"/>
      <c r="AD104" s="254"/>
      <c r="AE104" s="254"/>
      <c r="AF104" s="254"/>
      <c r="AG104" s="254"/>
      <c r="AH104" s="254"/>
      <c r="AI104" s="254"/>
      <c r="AJ104" s="254"/>
      <c r="AK104" s="254"/>
    </row>
    <row r="105" spans="3:37" ht="14">
      <c r="C105" s="260" t="s">
        <v>414</v>
      </c>
      <c r="D105" s="260" t="s">
        <v>380</v>
      </c>
      <c r="E105" s="288">
        <v>67.930000000000007</v>
      </c>
      <c r="F105" s="284">
        <v>67.930000000000007</v>
      </c>
      <c r="G105" s="284">
        <v>67.930000000000007</v>
      </c>
      <c r="H105" s="284">
        <v>67.930000000000007</v>
      </c>
      <c r="I105" s="284">
        <v>67.930000000000007</v>
      </c>
      <c r="J105" s="260" t="s">
        <v>440</v>
      </c>
      <c r="K105" s="290" t="s">
        <v>431</v>
      </c>
      <c r="L105" s="254"/>
      <c r="M105" s="254"/>
      <c r="N105" s="254"/>
      <c r="O105" s="254"/>
      <c r="P105" s="254"/>
      <c r="Q105" s="254"/>
      <c r="R105" s="254"/>
      <c r="S105" s="254"/>
      <c r="T105" s="254"/>
      <c r="U105" s="254"/>
      <c r="V105" s="254"/>
      <c r="W105" s="295"/>
      <c r="X105" s="254"/>
      <c r="Y105" s="254"/>
      <c r="Z105" s="254"/>
      <c r="AA105" s="254"/>
      <c r="AB105" s="254"/>
      <c r="AC105" s="254"/>
      <c r="AD105" s="254"/>
      <c r="AE105" s="254"/>
      <c r="AF105" s="254"/>
      <c r="AG105" s="254"/>
      <c r="AH105" s="254"/>
      <c r="AI105" s="254"/>
      <c r="AJ105" s="254"/>
      <c r="AK105" s="254"/>
    </row>
    <row r="106" spans="3:37" ht="14">
      <c r="C106" s="254"/>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6"/>
      <c r="AA106" s="256"/>
      <c r="AB106" s="256"/>
      <c r="AC106" s="256"/>
      <c r="AD106" s="256"/>
      <c r="AE106" s="256"/>
      <c r="AF106" s="256"/>
      <c r="AG106" s="256"/>
      <c r="AH106" s="256"/>
      <c r="AI106" s="256"/>
      <c r="AJ106" s="256"/>
      <c r="AK106" s="256"/>
    </row>
    <row r="107" spans="3:37" ht="15">
      <c r="C107" s="326" t="s">
        <v>445</v>
      </c>
      <c r="D107" s="254"/>
      <c r="E107" s="254"/>
      <c r="F107" s="254"/>
      <c r="G107" s="254" t="s">
        <v>446</v>
      </c>
      <c r="H107" s="254" t="s">
        <v>446</v>
      </c>
      <c r="I107" s="254" t="s">
        <v>447</v>
      </c>
      <c r="J107" s="254" t="s">
        <v>447</v>
      </c>
      <c r="K107" s="254" t="s">
        <v>448</v>
      </c>
      <c r="L107" s="254"/>
      <c r="M107" s="254"/>
      <c r="N107" s="254"/>
      <c r="O107" s="254"/>
      <c r="P107" s="254"/>
      <c r="Q107" s="254"/>
      <c r="R107" s="254"/>
      <c r="S107" s="254"/>
      <c r="T107" s="254"/>
      <c r="U107" s="254"/>
      <c r="V107" s="254"/>
      <c r="W107" s="254"/>
      <c r="X107" s="254"/>
      <c r="Y107" s="254"/>
      <c r="Z107" s="256"/>
      <c r="AA107" s="256"/>
      <c r="AB107" s="256"/>
      <c r="AC107" s="256"/>
      <c r="AD107" s="256"/>
      <c r="AE107" s="256"/>
      <c r="AF107" s="256"/>
      <c r="AG107" s="256"/>
      <c r="AH107" s="256"/>
      <c r="AI107" s="256"/>
      <c r="AJ107" s="256"/>
      <c r="AK107" s="256"/>
    </row>
    <row r="108" spans="3:37" ht="15">
      <c r="C108" s="281" t="s">
        <v>419</v>
      </c>
      <c r="D108" s="281" t="s">
        <v>6</v>
      </c>
      <c r="E108" s="281" t="s">
        <v>428</v>
      </c>
      <c r="F108" s="281" t="s">
        <v>449</v>
      </c>
      <c r="G108" s="291" t="s">
        <v>450</v>
      </c>
      <c r="H108" s="291" t="s">
        <v>451</v>
      </c>
      <c r="I108" s="281" t="s">
        <v>450</v>
      </c>
      <c r="J108" s="281" t="s">
        <v>451</v>
      </c>
      <c r="K108" s="281" t="s">
        <v>450</v>
      </c>
      <c r="L108" s="281" t="s">
        <v>451</v>
      </c>
      <c r="M108" s="281" t="s">
        <v>429</v>
      </c>
      <c r="N108" s="281" t="s">
        <v>319</v>
      </c>
      <c r="O108" s="254"/>
      <c r="P108" s="254"/>
      <c r="Q108" s="254"/>
      <c r="R108" s="254"/>
      <c r="S108" s="254"/>
      <c r="T108" s="254"/>
      <c r="U108" s="254"/>
      <c r="V108" s="254"/>
      <c r="W108" s="254"/>
      <c r="X108" s="254"/>
      <c r="Y108" s="254"/>
      <c r="Z108" s="256"/>
      <c r="AA108" s="361"/>
      <c r="AB108" s="256"/>
      <c r="AC108" s="256"/>
      <c r="AD108" s="256"/>
      <c r="AE108" s="256"/>
      <c r="AF108" s="256"/>
      <c r="AG108" s="256"/>
      <c r="AH108" s="256"/>
      <c r="AI108" s="256"/>
      <c r="AJ108" s="256"/>
      <c r="AK108" s="256"/>
    </row>
    <row r="109" spans="3:37" ht="14">
      <c r="C109" s="260" t="s">
        <v>401</v>
      </c>
      <c r="D109" s="260" t="s">
        <v>452</v>
      </c>
      <c r="E109" s="288">
        <v>9.2799999999999994</v>
      </c>
      <c r="F109" s="283">
        <v>0</v>
      </c>
      <c r="G109" s="283">
        <v>21</v>
      </c>
      <c r="H109" s="283">
        <v>154</v>
      </c>
      <c r="I109" s="290">
        <v>87</v>
      </c>
      <c r="J109" s="290">
        <v>329</v>
      </c>
      <c r="K109" s="290">
        <v>9</v>
      </c>
      <c r="L109" s="290">
        <v>21</v>
      </c>
      <c r="M109" s="260"/>
      <c r="N109" s="289" t="s">
        <v>453</v>
      </c>
      <c r="O109" s="254"/>
      <c r="P109" s="254"/>
      <c r="Q109" s="254"/>
      <c r="R109" s="254"/>
      <c r="S109" s="254"/>
      <c r="T109" s="254"/>
      <c r="U109" s="254"/>
      <c r="V109" s="254"/>
      <c r="W109" s="254"/>
      <c r="X109" s="254"/>
      <c r="Y109" s="254"/>
      <c r="Z109" s="256"/>
      <c r="AA109" s="270"/>
      <c r="AB109" s="270"/>
      <c r="AC109" s="270"/>
      <c r="AD109" s="270"/>
      <c r="AE109" s="270"/>
      <c r="AF109" s="270"/>
      <c r="AG109" s="256"/>
      <c r="AH109" s="256"/>
      <c r="AI109" s="256"/>
      <c r="AJ109" s="256"/>
      <c r="AK109" s="256"/>
    </row>
    <row r="110" spans="3:37" ht="14">
      <c r="C110" s="260" t="s">
        <v>402</v>
      </c>
      <c r="D110" s="260" t="s">
        <v>452</v>
      </c>
      <c r="E110" s="288">
        <v>8.94</v>
      </c>
      <c r="F110" s="283">
        <v>0</v>
      </c>
      <c r="G110" s="337">
        <v>21</v>
      </c>
      <c r="H110" s="337">
        <v>154</v>
      </c>
      <c r="I110" s="337">
        <v>87</v>
      </c>
      <c r="J110" s="337">
        <v>329</v>
      </c>
      <c r="K110" s="290">
        <v>9</v>
      </c>
      <c r="L110" s="290">
        <v>36</v>
      </c>
      <c r="M110" s="260"/>
      <c r="N110" s="286" t="s">
        <v>454</v>
      </c>
      <c r="O110" s="254"/>
      <c r="P110" s="254"/>
      <c r="Q110" s="254"/>
      <c r="R110" s="254"/>
      <c r="S110" s="254"/>
      <c r="T110" s="254"/>
      <c r="U110" s="254"/>
      <c r="V110" s="254"/>
      <c r="W110" s="254"/>
      <c r="X110" s="254"/>
      <c r="Y110" s="254"/>
      <c r="Z110" s="256"/>
      <c r="AA110" s="270"/>
      <c r="AB110" s="254"/>
      <c r="AC110" s="254"/>
      <c r="AD110" s="254"/>
      <c r="AE110" s="254"/>
      <c r="AF110" s="254"/>
      <c r="AG110" s="254"/>
      <c r="AH110" s="254"/>
      <c r="AI110" s="254"/>
      <c r="AJ110" s="254"/>
      <c r="AK110" s="254"/>
    </row>
    <row r="111" spans="3:37" ht="14">
      <c r="C111" s="260" t="s">
        <v>403</v>
      </c>
      <c r="D111" s="260" t="s">
        <v>452</v>
      </c>
      <c r="E111" s="288">
        <v>0</v>
      </c>
      <c r="F111" s="283">
        <v>0</v>
      </c>
      <c r="G111" s="283">
        <v>6</v>
      </c>
      <c r="H111" s="283">
        <v>6</v>
      </c>
      <c r="I111" s="290">
        <v>-4</v>
      </c>
      <c r="J111" s="290">
        <v>-4</v>
      </c>
      <c r="K111" s="337">
        <v>0</v>
      </c>
      <c r="L111" s="337"/>
      <c r="M111" s="260"/>
      <c r="N111" s="289" t="s">
        <v>455</v>
      </c>
      <c r="O111" s="254"/>
      <c r="P111" s="254"/>
      <c r="Q111" s="254"/>
      <c r="R111" s="254"/>
      <c r="S111" s="254"/>
      <c r="T111" s="254"/>
      <c r="U111" s="254"/>
      <c r="V111" s="254"/>
      <c r="W111" s="254"/>
      <c r="X111" s="254"/>
      <c r="Y111" s="254"/>
      <c r="Z111" s="256"/>
      <c r="AA111" s="270"/>
      <c r="AB111" s="254"/>
      <c r="AC111" s="254"/>
      <c r="AD111" s="254"/>
      <c r="AE111" s="254"/>
      <c r="AF111" s="254"/>
      <c r="AG111" s="254"/>
      <c r="AH111" s="254"/>
      <c r="AI111" s="254"/>
      <c r="AJ111" s="254"/>
      <c r="AK111" s="254"/>
    </row>
    <row r="112" spans="3:37" ht="14">
      <c r="C112" s="260" t="s">
        <v>404</v>
      </c>
      <c r="D112" s="260" t="s">
        <v>452</v>
      </c>
      <c r="E112" s="288">
        <v>33.049999999999997</v>
      </c>
      <c r="F112" s="283">
        <v>0</v>
      </c>
      <c r="G112" s="283">
        <v>22</v>
      </c>
      <c r="H112" s="283">
        <v>180</v>
      </c>
      <c r="I112" s="290">
        <v>97</v>
      </c>
      <c r="J112" s="290">
        <v>339</v>
      </c>
      <c r="K112" s="290">
        <v>33</v>
      </c>
      <c r="L112" s="290">
        <v>35</v>
      </c>
      <c r="M112" s="260"/>
      <c r="N112" s="289" t="s">
        <v>453</v>
      </c>
      <c r="O112" s="254"/>
      <c r="P112" s="254"/>
      <c r="Q112" s="254"/>
      <c r="R112" s="254"/>
      <c r="S112" s="254"/>
      <c r="T112" s="254"/>
      <c r="U112" s="254"/>
      <c r="V112" s="254"/>
      <c r="W112" s="254"/>
      <c r="X112" s="254"/>
      <c r="Y112" s="261"/>
      <c r="Z112" s="256"/>
      <c r="AA112" s="270"/>
      <c r="AB112" s="256"/>
      <c r="AC112" s="256"/>
      <c r="AD112" s="256"/>
      <c r="AE112" s="256"/>
      <c r="AF112" s="256"/>
      <c r="AG112" s="256"/>
      <c r="AH112" s="256"/>
      <c r="AI112" s="256"/>
      <c r="AJ112" s="256"/>
      <c r="AK112" s="256"/>
    </row>
    <row r="113" spans="3:37" ht="14">
      <c r="C113" s="260" t="s">
        <v>426</v>
      </c>
      <c r="D113" s="260"/>
      <c r="E113" s="288">
        <v>0</v>
      </c>
      <c r="F113" s="283"/>
      <c r="G113" s="283"/>
      <c r="H113" s="283"/>
      <c r="I113" s="290"/>
      <c r="J113" s="290"/>
      <c r="K113" s="290"/>
      <c r="L113" s="290"/>
      <c r="M113" s="260"/>
      <c r="N113" s="289"/>
      <c r="O113" s="254"/>
      <c r="P113" s="254"/>
      <c r="Q113" s="254"/>
      <c r="R113" s="254"/>
      <c r="S113" s="254"/>
      <c r="T113" s="254"/>
      <c r="U113" s="254"/>
      <c r="V113" s="254"/>
      <c r="W113" s="254"/>
      <c r="X113" s="254"/>
      <c r="Y113" s="261"/>
      <c r="Z113" s="256"/>
      <c r="AA113" s="270"/>
      <c r="AB113" s="256"/>
      <c r="AC113" s="256"/>
      <c r="AD113" s="256"/>
      <c r="AE113" s="256"/>
      <c r="AF113" s="256"/>
      <c r="AG113" s="256"/>
      <c r="AH113" s="256"/>
      <c r="AI113" s="256"/>
      <c r="AJ113" s="256"/>
      <c r="AK113" s="256"/>
    </row>
    <row r="114" spans="3:37" s="404" customFormat="1" ht="14">
      <c r="C114" s="443"/>
      <c r="D114" s="443"/>
      <c r="E114" s="452"/>
      <c r="F114" s="449"/>
      <c r="G114" s="449"/>
      <c r="H114" s="449"/>
      <c r="I114" s="454"/>
      <c r="J114" s="454"/>
      <c r="K114" s="454"/>
      <c r="L114" s="454"/>
      <c r="M114" s="443"/>
      <c r="N114" s="453"/>
      <c r="O114" s="441"/>
      <c r="P114" s="441"/>
      <c r="Q114" s="441"/>
      <c r="R114" s="441"/>
      <c r="S114" s="441"/>
      <c r="T114" s="441"/>
      <c r="U114" s="441"/>
      <c r="V114" s="441"/>
      <c r="W114" s="441"/>
      <c r="X114" s="441"/>
      <c r="Y114" s="444"/>
      <c r="Z114" s="442"/>
      <c r="AA114" s="447"/>
      <c r="AB114" s="442"/>
      <c r="AC114" s="442"/>
      <c r="AD114" s="442"/>
      <c r="AE114" s="442"/>
      <c r="AF114" s="442"/>
      <c r="AG114" s="442"/>
      <c r="AH114" s="442"/>
      <c r="AI114" s="442"/>
      <c r="AJ114" s="442"/>
      <c r="AK114" s="442"/>
    </row>
    <row r="115" spans="3:37" ht="14">
      <c r="C115" s="260" t="s">
        <v>405</v>
      </c>
      <c r="D115" s="260" t="s">
        <v>452</v>
      </c>
      <c r="E115" s="288">
        <v>0</v>
      </c>
      <c r="F115" s="283">
        <v>0</v>
      </c>
      <c r="G115" s="296"/>
      <c r="H115" s="296"/>
      <c r="I115" s="296"/>
      <c r="J115" s="296"/>
      <c r="K115" s="296"/>
      <c r="L115" s="296"/>
      <c r="M115" s="296" t="s">
        <v>456</v>
      </c>
      <c r="N115" s="341"/>
      <c r="O115" s="254"/>
      <c r="P115" s="254"/>
      <c r="Q115" s="254"/>
      <c r="R115" s="254"/>
      <c r="S115" s="254"/>
      <c r="T115" s="254"/>
      <c r="U115" s="254"/>
      <c r="V115" s="254"/>
      <c r="W115" s="254"/>
      <c r="X115" s="254"/>
      <c r="Y115" s="261"/>
      <c r="Z115" s="256"/>
      <c r="AA115" s="270"/>
      <c r="AB115" s="254"/>
      <c r="AC115" s="254"/>
      <c r="AD115" s="254"/>
      <c r="AE115" s="254"/>
      <c r="AF115" s="254"/>
      <c r="AG115" s="254"/>
      <c r="AH115" s="254"/>
      <c r="AI115" s="254"/>
      <c r="AJ115" s="254"/>
      <c r="AK115" s="254"/>
    </row>
    <row r="116" spans="3:37" ht="14">
      <c r="C116" s="260" t="s">
        <v>406</v>
      </c>
      <c r="D116" s="260" t="s">
        <v>452</v>
      </c>
      <c r="E116" s="288">
        <v>0</v>
      </c>
      <c r="F116" s="283">
        <v>0</v>
      </c>
      <c r="G116" s="337">
        <v>-17</v>
      </c>
      <c r="H116" s="337">
        <v>-17</v>
      </c>
      <c r="I116" s="290">
        <v>-17</v>
      </c>
      <c r="J116" s="290">
        <v>-17</v>
      </c>
      <c r="K116" s="337">
        <v>0</v>
      </c>
      <c r="L116" s="337">
        <v>0</v>
      </c>
      <c r="M116" s="260"/>
      <c r="N116" s="289" t="s">
        <v>455</v>
      </c>
      <c r="O116" s="254"/>
      <c r="P116" s="254"/>
      <c r="Q116" s="254"/>
      <c r="R116" s="254"/>
      <c r="S116" s="254"/>
      <c r="T116" s="254"/>
      <c r="U116" s="254"/>
      <c r="V116" s="254"/>
      <c r="W116" s="254"/>
      <c r="X116" s="254"/>
      <c r="Y116" s="254"/>
      <c r="Z116" s="256"/>
      <c r="AA116" s="270"/>
      <c r="AB116" s="254"/>
      <c r="AC116" s="254"/>
      <c r="AD116" s="254"/>
      <c r="AE116" s="254"/>
      <c r="AF116" s="254"/>
      <c r="AG116" s="254"/>
      <c r="AH116" s="254"/>
      <c r="AI116" s="254"/>
      <c r="AJ116" s="254"/>
      <c r="AK116" s="254"/>
    </row>
    <row r="117" spans="3:37" ht="14">
      <c r="C117" s="260" t="s">
        <v>407</v>
      </c>
      <c r="D117" s="260" t="s">
        <v>452</v>
      </c>
      <c r="E117" s="288">
        <v>0</v>
      </c>
      <c r="F117" s="283">
        <v>0</v>
      </c>
      <c r="G117" s="337">
        <v>-17</v>
      </c>
      <c r="H117" s="337">
        <v>-17</v>
      </c>
      <c r="I117" s="337">
        <v>-17</v>
      </c>
      <c r="J117" s="337">
        <v>-17</v>
      </c>
      <c r="K117" s="337">
        <v>0</v>
      </c>
      <c r="L117" s="337">
        <v>0</v>
      </c>
      <c r="M117" s="260"/>
      <c r="N117" s="289" t="s">
        <v>457</v>
      </c>
      <c r="O117" s="254"/>
      <c r="P117" s="254"/>
      <c r="Q117" s="254"/>
      <c r="R117" s="254"/>
      <c r="S117" s="254"/>
      <c r="T117" s="254"/>
      <c r="U117" s="254"/>
      <c r="V117" s="254"/>
      <c r="W117" s="254"/>
      <c r="X117" s="254"/>
      <c r="Y117" s="254"/>
      <c r="Z117" s="256"/>
      <c r="AA117" s="270"/>
      <c r="AB117" s="256"/>
      <c r="AC117" s="256"/>
      <c r="AD117" s="256"/>
      <c r="AE117" s="256"/>
      <c r="AF117" s="256"/>
      <c r="AG117" s="256"/>
      <c r="AH117" s="256"/>
      <c r="AI117" s="256"/>
      <c r="AJ117" s="256"/>
      <c r="AK117" s="256"/>
    </row>
    <row r="118" spans="3:37" ht="14">
      <c r="C118" s="260" t="s">
        <v>408</v>
      </c>
      <c r="D118" s="260" t="s">
        <v>452</v>
      </c>
      <c r="E118" s="288">
        <v>0</v>
      </c>
      <c r="F118" s="283">
        <v>0</v>
      </c>
      <c r="G118" s="296"/>
      <c r="H118" s="296"/>
      <c r="I118" s="296"/>
      <c r="J118" s="296"/>
      <c r="K118" s="296"/>
      <c r="L118" s="296"/>
      <c r="M118" s="296" t="s">
        <v>456</v>
      </c>
      <c r="N118" s="341"/>
      <c r="O118" s="254"/>
      <c r="P118" s="254"/>
      <c r="Q118" s="254"/>
      <c r="R118" s="254"/>
      <c r="S118" s="254"/>
      <c r="T118" s="254"/>
      <c r="U118" s="254"/>
      <c r="V118" s="254"/>
      <c r="W118" s="254"/>
      <c r="X118" s="254"/>
      <c r="Y118" s="254"/>
      <c r="Z118" s="256"/>
      <c r="AA118" s="270"/>
      <c r="AB118" s="256"/>
      <c r="AC118" s="256"/>
      <c r="AD118" s="256"/>
      <c r="AE118" s="256"/>
      <c r="AF118" s="256"/>
      <c r="AG118" s="256"/>
      <c r="AH118" s="256"/>
      <c r="AI118" s="256"/>
      <c r="AJ118" s="256"/>
      <c r="AK118" s="256"/>
    </row>
    <row r="119" spans="3:37" ht="14">
      <c r="C119" s="260" t="s">
        <v>409</v>
      </c>
      <c r="D119" s="260" t="s">
        <v>452</v>
      </c>
      <c r="E119" s="288">
        <v>0</v>
      </c>
      <c r="F119" s="283">
        <v>0</v>
      </c>
      <c r="G119" s="296"/>
      <c r="H119" s="296"/>
      <c r="I119" s="296"/>
      <c r="J119" s="296"/>
      <c r="K119" s="296"/>
      <c r="L119" s="296"/>
      <c r="M119" s="296" t="s">
        <v>456</v>
      </c>
      <c r="N119" s="341"/>
      <c r="O119" s="254"/>
      <c r="P119" s="254"/>
      <c r="Q119" s="254"/>
      <c r="R119" s="254"/>
      <c r="S119" s="254"/>
      <c r="T119" s="254"/>
      <c r="U119" s="254"/>
      <c r="V119" s="254"/>
      <c r="W119" s="254"/>
      <c r="X119" s="254"/>
      <c r="Y119" s="254"/>
      <c r="Z119" s="256"/>
      <c r="AA119" s="270"/>
      <c r="AB119" s="254"/>
      <c r="AC119" s="254"/>
      <c r="AD119" s="254"/>
      <c r="AE119" s="254"/>
      <c r="AF119" s="254"/>
      <c r="AG119" s="254"/>
      <c r="AH119" s="254"/>
      <c r="AI119" s="254"/>
      <c r="AJ119" s="254"/>
      <c r="AK119" s="254"/>
    </row>
    <row r="120" spans="3:37" ht="14">
      <c r="C120" s="260" t="s">
        <v>410</v>
      </c>
      <c r="D120" s="260" t="s">
        <v>452</v>
      </c>
      <c r="E120" s="288">
        <v>0</v>
      </c>
      <c r="F120" s="283">
        <v>0</v>
      </c>
      <c r="G120" s="296"/>
      <c r="H120" s="296"/>
      <c r="I120" s="296"/>
      <c r="J120" s="296"/>
      <c r="K120" s="296"/>
      <c r="L120" s="296"/>
      <c r="M120" s="296" t="s">
        <v>456</v>
      </c>
      <c r="N120" s="341"/>
      <c r="O120" s="254"/>
      <c r="P120" s="254"/>
      <c r="Q120" s="254"/>
      <c r="R120" s="254"/>
      <c r="S120" s="254"/>
      <c r="T120" s="254"/>
      <c r="U120" s="254"/>
      <c r="V120" s="254"/>
      <c r="W120" s="254"/>
      <c r="X120" s="254"/>
      <c r="Y120" s="254"/>
      <c r="Z120" s="256"/>
      <c r="AA120" s="270"/>
      <c r="AB120" s="254"/>
      <c r="AC120" s="254"/>
      <c r="AD120" s="254"/>
      <c r="AE120" s="254"/>
      <c r="AF120" s="254"/>
      <c r="AG120" s="254"/>
      <c r="AH120" s="254"/>
      <c r="AI120" s="254"/>
      <c r="AJ120" s="254"/>
      <c r="AK120" s="254"/>
    </row>
    <row r="121" spans="3:37" ht="14">
      <c r="C121" s="260" t="s">
        <v>411</v>
      </c>
      <c r="D121" s="260" t="s">
        <v>452</v>
      </c>
      <c r="E121" s="288">
        <v>0</v>
      </c>
      <c r="F121" s="283">
        <v>0</v>
      </c>
      <c r="G121" s="296"/>
      <c r="H121" s="296"/>
      <c r="I121" s="296"/>
      <c r="J121" s="296"/>
      <c r="K121" s="296"/>
      <c r="L121" s="296"/>
      <c r="M121" s="296" t="s">
        <v>456</v>
      </c>
      <c r="N121" s="341"/>
      <c r="O121" s="254"/>
      <c r="P121" s="254"/>
      <c r="Q121" s="254"/>
      <c r="R121" s="254"/>
      <c r="S121" s="254"/>
      <c r="T121" s="254"/>
      <c r="U121" s="254"/>
      <c r="V121" s="254"/>
      <c r="W121" s="254"/>
      <c r="X121" s="254"/>
      <c r="Y121" s="254"/>
      <c r="Z121" s="256"/>
      <c r="AA121" s="270"/>
      <c r="AB121" s="256"/>
      <c r="AC121" s="256"/>
      <c r="AD121" s="256"/>
      <c r="AE121" s="256"/>
      <c r="AF121" s="256"/>
      <c r="AG121" s="256"/>
      <c r="AH121" s="256"/>
      <c r="AI121" s="256"/>
      <c r="AJ121" s="256"/>
      <c r="AK121" s="256"/>
    </row>
    <row r="122" spans="3:37" ht="14">
      <c r="C122" s="260" t="s">
        <v>412</v>
      </c>
      <c r="D122" s="260" t="s">
        <v>452</v>
      </c>
      <c r="E122" s="288">
        <v>0</v>
      </c>
      <c r="F122" s="283">
        <v>0</v>
      </c>
      <c r="G122" s="296"/>
      <c r="H122" s="296"/>
      <c r="I122" s="296"/>
      <c r="J122" s="296"/>
      <c r="K122" s="296"/>
      <c r="L122" s="296"/>
      <c r="M122" s="260" t="s">
        <v>458</v>
      </c>
      <c r="N122" s="260"/>
      <c r="O122" s="254"/>
      <c r="P122" s="254"/>
      <c r="Q122" s="254"/>
      <c r="R122" s="254"/>
      <c r="S122" s="254"/>
      <c r="T122" s="254"/>
      <c r="U122" s="254"/>
      <c r="V122" s="254"/>
      <c r="W122" s="254"/>
      <c r="X122" s="254"/>
      <c r="Y122" s="254"/>
      <c r="Z122" s="256"/>
      <c r="AA122" s="270"/>
      <c r="AB122" s="256"/>
      <c r="AC122" s="256"/>
      <c r="AD122" s="256"/>
      <c r="AE122" s="256"/>
      <c r="AF122" s="256"/>
      <c r="AG122" s="256"/>
      <c r="AH122" s="256"/>
      <c r="AI122" s="256"/>
      <c r="AJ122" s="256"/>
      <c r="AK122" s="256"/>
    </row>
    <row r="123" spans="3:37" ht="14">
      <c r="C123" s="260" t="s">
        <v>413</v>
      </c>
      <c r="D123" s="260" t="s">
        <v>452</v>
      </c>
      <c r="E123" s="288">
        <v>0</v>
      </c>
      <c r="F123" s="283">
        <v>0</v>
      </c>
      <c r="G123" s="283">
        <v>18</v>
      </c>
      <c r="H123" s="283">
        <v>71</v>
      </c>
      <c r="I123" s="354">
        <v>18</v>
      </c>
      <c r="J123" s="354">
        <v>71</v>
      </c>
      <c r="K123" s="290">
        <v>0</v>
      </c>
      <c r="L123" s="290">
        <v>0</v>
      </c>
      <c r="M123" s="260"/>
      <c r="N123" s="289" t="s">
        <v>453</v>
      </c>
      <c r="O123" s="254"/>
      <c r="P123" s="254"/>
      <c r="Q123" s="254"/>
      <c r="R123" s="254"/>
      <c r="S123" s="254"/>
      <c r="T123" s="254"/>
      <c r="U123" s="254"/>
      <c r="V123" s="254"/>
      <c r="W123" s="254"/>
      <c r="X123" s="254"/>
      <c r="Y123" s="254"/>
      <c r="Z123" s="256"/>
      <c r="AA123" s="256"/>
      <c r="AB123" s="256"/>
      <c r="AC123" s="256"/>
      <c r="AD123" s="256"/>
      <c r="AE123" s="256"/>
      <c r="AF123" s="256"/>
      <c r="AG123" s="256"/>
      <c r="AH123" s="256"/>
      <c r="AI123" s="256"/>
      <c r="AJ123" s="256"/>
      <c r="AK123" s="256"/>
    </row>
    <row r="124" spans="3:37" ht="14">
      <c r="C124" s="260" t="s">
        <v>414</v>
      </c>
      <c r="D124" s="260" t="s">
        <v>452</v>
      </c>
      <c r="E124" s="288">
        <v>0</v>
      </c>
      <c r="F124" s="283">
        <v>0</v>
      </c>
      <c r="G124" s="283">
        <v>19</v>
      </c>
      <c r="H124" s="283">
        <v>160</v>
      </c>
      <c r="I124" s="354">
        <v>19</v>
      </c>
      <c r="J124" s="354">
        <v>160</v>
      </c>
      <c r="K124" s="290">
        <v>0</v>
      </c>
      <c r="L124" s="290">
        <v>0</v>
      </c>
      <c r="M124" s="260"/>
      <c r="N124" s="289" t="s">
        <v>453</v>
      </c>
      <c r="O124" s="254"/>
      <c r="P124" s="254"/>
      <c r="Q124" s="254"/>
      <c r="R124" s="254"/>
      <c r="S124" s="254"/>
      <c r="T124" s="254"/>
      <c r="U124" s="254"/>
      <c r="V124" s="254"/>
      <c r="W124" s="254"/>
      <c r="X124" s="254"/>
      <c r="Y124" s="254"/>
      <c r="Z124" s="256"/>
      <c r="AA124" s="256"/>
      <c r="AB124" s="256"/>
      <c r="AC124" s="256"/>
      <c r="AD124" s="256"/>
      <c r="AE124" s="256"/>
      <c r="AF124" s="256"/>
      <c r="AG124" s="256"/>
      <c r="AH124" s="256"/>
      <c r="AI124" s="256"/>
      <c r="AJ124" s="256"/>
      <c r="AK124" s="256"/>
    </row>
    <row r="125" spans="3:37" ht="14">
      <c r="C125" s="254" t="s">
        <v>459</v>
      </c>
      <c r="D125" s="254"/>
      <c r="E125" s="254"/>
      <c r="F125" s="254"/>
      <c r="G125" s="254"/>
      <c r="H125" s="254"/>
      <c r="I125" s="254"/>
      <c r="J125" s="254"/>
      <c r="K125" s="254"/>
      <c r="L125" s="254"/>
      <c r="M125" s="254"/>
      <c r="N125" s="254"/>
      <c r="O125" s="254"/>
      <c r="P125" s="254"/>
      <c r="Q125" s="254"/>
      <c r="R125" s="254"/>
      <c r="S125" s="254"/>
      <c r="T125" s="254"/>
      <c r="U125" s="254"/>
      <c r="V125" s="254"/>
      <c r="W125" s="254"/>
      <c r="X125" s="254"/>
      <c r="Y125" s="254"/>
      <c r="Z125" s="254"/>
      <c r="AA125" s="254"/>
      <c r="AB125" s="254"/>
      <c r="AC125" s="254"/>
      <c r="AD125" s="254"/>
      <c r="AE125" s="254"/>
      <c r="AF125" s="254"/>
      <c r="AG125" s="254"/>
      <c r="AH125" s="254"/>
      <c r="AI125" s="254"/>
      <c r="AJ125" s="254"/>
      <c r="AK125" s="254"/>
    </row>
    <row r="126" spans="3:37" ht="14">
      <c r="C126" s="254"/>
      <c r="D126" s="254"/>
      <c r="E126" s="254"/>
      <c r="F126" s="254"/>
      <c r="G126" s="254"/>
      <c r="H126" s="254"/>
      <c r="I126" s="254"/>
      <c r="J126" s="254"/>
      <c r="K126" s="254"/>
      <c r="L126" s="254"/>
      <c r="M126" s="254"/>
      <c r="N126" s="254"/>
      <c r="O126" s="254"/>
      <c r="P126" s="254"/>
      <c r="Q126" s="254"/>
      <c r="R126" s="254"/>
      <c r="S126" s="254"/>
      <c r="T126" s="254"/>
      <c r="U126" s="254"/>
      <c r="V126" s="254"/>
      <c r="W126" s="254"/>
      <c r="X126" s="254"/>
      <c r="Y126" s="254"/>
      <c r="Z126" s="254"/>
      <c r="AA126" s="254"/>
      <c r="AB126" s="254"/>
      <c r="AC126" s="254"/>
      <c r="AD126" s="254"/>
      <c r="AE126" s="254"/>
      <c r="AF126" s="254"/>
      <c r="AG126" s="254"/>
      <c r="AH126" s="254"/>
      <c r="AI126" s="254"/>
      <c r="AJ126" s="254"/>
      <c r="AK126" s="254"/>
    </row>
    <row r="127" spans="3:37" ht="14">
      <c r="C127" s="255" t="s">
        <v>460</v>
      </c>
      <c r="D127" s="254"/>
      <c r="E127" s="254"/>
      <c r="F127" s="254"/>
      <c r="G127" s="254"/>
      <c r="H127" s="254"/>
      <c r="I127" s="254"/>
      <c r="J127" s="254"/>
      <c r="K127" s="254"/>
      <c r="L127" s="254"/>
      <c r="M127" s="254"/>
      <c r="N127" s="254"/>
      <c r="O127" s="254"/>
      <c r="P127" s="254"/>
      <c r="Q127" s="254"/>
      <c r="R127" s="254"/>
      <c r="S127" s="254"/>
      <c r="T127" s="254"/>
      <c r="U127" s="254"/>
      <c r="V127" s="254"/>
      <c r="W127" s="254"/>
      <c r="X127" s="254"/>
      <c r="Y127" s="254"/>
      <c r="Z127" s="254"/>
      <c r="AA127" s="254"/>
      <c r="AB127" s="254"/>
      <c r="AC127" s="254"/>
      <c r="AD127" s="254"/>
      <c r="AE127" s="254"/>
      <c r="AF127" s="254"/>
      <c r="AG127" s="254"/>
      <c r="AH127" s="254"/>
      <c r="AI127" s="254"/>
      <c r="AJ127" s="254"/>
      <c r="AK127" s="254"/>
    </row>
    <row r="128" spans="3:37" ht="14">
      <c r="C128" s="260" t="s">
        <v>461</v>
      </c>
      <c r="D128" s="260" t="s">
        <v>452</v>
      </c>
      <c r="E128" s="355">
        <v>29</v>
      </c>
      <c r="F128" s="342" t="s">
        <v>462</v>
      </c>
      <c r="G128" s="254"/>
      <c r="H128" s="254"/>
      <c r="I128" s="254"/>
      <c r="J128" s="254"/>
      <c r="K128" s="254"/>
      <c r="L128" s="254"/>
      <c r="M128" s="254"/>
      <c r="N128" s="254"/>
      <c r="O128" s="254"/>
      <c r="P128" s="254"/>
      <c r="Q128" s="254"/>
      <c r="R128" s="254"/>
      <c r="S128" s="254"/>
      <c r="T128" s="254"/>
      <c r="U128" s="254"/>
      <c r="V128" s="254"/>
      <c r="W128" s="254"/>
      <c r="X128" s="254"/>
      <c r="Y128" s="254"/>
      <c r="Z128" s="254"/>
      <c r="AA128" s="254"/>
      <c r="AB128" s="254"/>
      <c r="AC128" s="254"/>
      <c r="AD128" s="254"/>
      <c r="AE128" s="254"/>
      <c r="AF128" s="254"/>
      <c r="AG128" s="254"/>
      <c r="AH128" s="254"/>
      <c r="AI128" s="254"/>
      <c r="AJ128" s="254"/>
      <c r="AK128" s="254"/>
    </row>
    <row r="129" spans="3:37" ht="14">
      <c r="C129" s="260" t="s">
        <v>364</v>
      </c>
      <c r="D129" s="260" t="s">
        <v>452</v>
      </c>
      <c r="E129" s="355">
        <v>29</v>
      </c>
      <c r="F129" s="342" t="s">
        <v>462</v>
      </c>
      <c r="G129" s="254"/>
      <c r="H129" s="254"/>
      <c r="I129" s="254"/>
      <c r="J129" s="254"/>
      <c r="K129" s="254"/>
      <c r="L129" s="254"/>
      <c r="M129" s="254"/>
      <c r="N129" s="254"/>
      <c r="O129" s="254"/>
      <c r="P129" s="254"/>
      <c r="Q129" s="254"/>
      <c r="R129" s="254"/>
      <c r="S129" s="254"/>
      <c r="T129" s="254"/>
      <c r="U129" s="254"/>
      <c r="V129" s="254"/>
      <c r="W129" s="254"/>
      <c r="X129" s="254"/>
      <c r="Y129" s="254"/>
      <c r="Z129" s="254"/>
      <c r="AA129" s="254"/>
      <c r="AB129" s="254"/>
      <c r="AC129" s="254"/>
      <c r="AD129" s="254"/>
      <c r="AE129" s="254"/>
      <c r="AF129" s="254"/>
      <c r="AG129" s="254"/>
      <c r="AH129" s="254"/>
      <c r="AI129" s="254"/>
      <c r="AJ129" s="254"/>
      <c r="AK129" s="254"/>
    </row>
    <row r="130" spans="3:37" ht="14">
      <c r="C130" s="260" t="s">
        <v>357</v>
      </c>
      <c r="D130" s="260" t="s">
        <v>452</v>
      </c>
      <c r="E130" s="355">
        <v>16.7</v>
      </c>
      <c r="F130" s="342" t="s">
        <v>463</v>
      </c>
      <c r="G130" s="254"/>
      <c r="H130" s="254"/>
      <c r="I130" s="254"/>
      <c r="J130" s="254"/>
      <c r="K130" s="254"/>
      <c r="L130" s="254"/>
      <c r="M130" s="254"/>
      <c r="N130" s="254"/>
      <c r="O130" s="254"/>
      <c r="P130" s="254"/>
      <c r="Q130" s="254"/>
      <c r="R130" s="254"/>
      <c r="S130" s="254"/>
      <c r="T130" s="254"/>
      <c r="U130" s="254"/>
      <c r="V130" s="254"/>
      <c r="W130" s="254"/>
      <c r="X130" s="254"/>
      <c r="Y130" s="254"/>
      <c r="Z130" s="254"/>
      <c r="AA130" s="254"/>
      <c r="AB130" s="254"/>
      <c r="AC130" s="254"/>
      <c r="AD130" s="254"/>
      <c r="AE130" s="254"/>
      <c r="AF130" s="254"/>
      <c r="AG130" s="254"/>
      <c r="AH130" s="254"/>
      <c r="AI130" s="254"/>
      <c r="AJ130" s="254"/>
      <c r="AK130" s="254"/>
    </row>
    <row r="131" spans="3:37" ht="14">
      <c r="C131" s="254"/>
      <c r="D131" s="254"/>
      <c r="E131" s="254"/>
      <c r="F131" s="254"/>
      <c r="G131" s="254"/>
      <c r="H131" s="254"/>
      <c r="I131" s="254"/>
      <c r="J131" s="254"/>
      <c r="K131" s="254"/>
      <c r="L131" s="254"/>
      <c r="M131" s="254"/>
      <c r="N131" s="254"/>
      <c r="O131" s="254"/>
      <c r="P131" s="254"/>
      <c r="Q131" s="254"/>
      <c r="R131" s="254"/>
      <c r="S131" s="254"/>
      <c r="T131" s="254"/>
      <c r="U131" s="254"/>
      <c r="V131" s="254"/>
      <c r="W131" s="254"/>
      <c r="X131" s="254"/>
      <c r="Y131" s="254"/>
      <c r="Z131" s="254"/>
      <c r="AA131" s="254"/>
      <c r="AB131" s="254"/>
      <c r="AC131" s="254"/>
      <c r="AD131" s="254"/>
      <c r="AE131" s="254"/>
      <c r="AF131" s="254"/>
      <c r="AG131" s="254"/>
      <c r="AH131" s="254"/>
      <c r="AI131" s="254"/>
      <c r="AJ131" s="254"/>
      <c r="AK131" s="254"/>
    </row>
    <row r="132" spans="3:37" ht="15">
      <c r="C132" s="274" t="s">
        <v>464</v>
      </c>
      <c r="D132" s="263"/>
      <c r="E132" s="262"/>
      <c r="F132" s="262"/>
      <c r="G132" s="262"/>
      <c r="H132" s="262"/>
      <c r="I132" s="262"/>
      <c r="J132" s="262"/>
      <c r="K132" s="262"/>
      <c r="L132" s="262"/>
      <c r="M132" s="262"/>
      <c r="N132" s="262"/>
      <c r="O132" s="262"/>
      <c r="P132" s="262"/>
      <c r="Q132" s="262"/>
      <c r="R132" s="262"/>
      <c r="S132" s="262"/>
      <c r="T132" s="262"/>
      <c r="U132" s="262"/>
      <c r="V132" s="262"/>
      <c r="W132" s="262"/>
      <c r="X132" s="262"/>
      <c r="Y132" s="262"/>
      <c r="Z132" s="262"/>
      <c r="AA132" s="262"/>
      <c r="AB132" s="262"/>
      <c r="AC132" s="262"/>
      <c r="AD132" s="262"/>
      <c r="AE132" s="262"/>
      <c r="AF132" s="262"/>
      <c r="AG132" s="262"/>
      <c r="AH132" s="262"/>
      <c r="AI132" s="262"/>
      <c r="AJ132" s="262"/>
      <c r="AK132" s="262"/>
    </row>
    <row r="133" spans="3:37" ht="14">
      <c r="C133" s="260"/>
      <c r="D133" s="260" t="s">
        <v>465</v>
      </c>
      <c r="E133" s="260" t="s">
        <v>428</v>
      </c>
      <c r="F133" s="260">
        <v>2012</v>
      </c>
      <c r="G133" s="260">
        <v>2020</v>
      </c>
      <c r="H133" s="260">
        <v>2035</v>
      </c>
      <c r="I133" s="260">
        <v>2050</v>
      </c>
      <c r="J133" s="262"/>
      <c r="K133" s="262"/>
      <c r="L133" s="262"/>
      <c r="M133" s="262"/>
      <c r="N133" s="262"/>
      <c r="O133" s="262"/>
      <c r="P133" s="262"/>
      <c r="Q133" s="262"/>
      <c r="R133" s="262"/>
      <c r="S133" s="262"/>
      <c r="T133" s="262"/>
      <c r="U133" s="262"/>
      <c r="V133" s="262"/>
      <c r="W133" s="262"/>
      <c r="X133" s="262"/>
      <c r="Y133" s="262"/>
      <c r="Z133" s="262"/>
      <c r="AA133" s="262"/>
      <c r="AB133" s="262"/>
      <c r="AC133" s="262"/>
      <c r="AD133" s="262"/>
      <c r="AE133" s="262"/>
      <c r="AF133" s="262"/>
      <c r="AG133" s="262"/>
      <c r="AH133" s="262"/>
      <c r="AI133" s="262"/>
      <c r="AJ133" s="262"/>
      <c r="AK133" s="262"/>
    </row>
    <row r="134" spans="3:37" ht="14">
      <c r="C134" s="343" t="s">
        <v>466</v>
      </c>
      <c r="D134" s="343" t="s">
        <v>379</v>
      </c>
      <c r="E134" s="343">
        <v>-11</v>
      </c>
      <c r="F134" s="344">
        <v>-11.2</v>
      </c>
      <c r="G134" s="344">
        <v>-11.2</v>
      </c>
      <c r="H134" s="344">
        <v>16.2</v>
      </c>
      <c r="I134" s="344">
        <v>13.4</v>
      </c>
      <c r="J134" s="262"/>
      <c r="K134" s="262"/>
      <c r="L134" s="262"/>
      <c r="M134" s="262"/>
      <c r="N134" s="262"/>
      <c r="O134" s="262"/>
      <c r="P134" s="262"/>
      <c r="Q134" s="262"/>
      <c r="R134" s="262"/>
      <c r="S134" s="262"/>
      <c r="T134" s="262"/>
      <c r="U134" s="262"/>
      <c r="V134" s="262"/>
      <c r="W134" s="262"/>
      <c r="X134" s="262"/>
      <c r="Y134" s="262"/>
      <c r="Z134" s="262"/>
      <c r="AA134" s="262"/>
      <c r="AB134" s="262"/>
      <c r="AC134" s="262"/>
      <c r="AD134" s="262"/>
      <c r="AE134" s="262"/>
      <c r="AF134" s="262"/>
      <c r="AG134" s="262"/>
      <c r="AH134" s="262"/>
      <c r="AI134" s="262"/>
      <c r="AJ134" s="262"/>
      <c r="AK134" s="262"/>
    </row>
    <row r="135" spans="3:37" ht="14">
      <c r="C135" s="343" t="s">
        <v>71</v>
      </c>
      <c r="D135" s="343" t="s">
        <v>379</v>
      </c>
      <c r="E135" s="343">
        <v>-11</v>
      </c>
      <c r="F135" s="345">
        <v>-11.2</v>
      </c>
      <c r="G135" s="345">
        <v>-11.2</v>
      </c>
      <c r="H135" s="345">
        <v>16.2</v>
      </c>
      <c r="I135" s="345">
        <v>13.4</v>
      </c>
      <c r="J135" s="262" t="s">
        <v>467</v>
      </c>
    </row>
    <row r="136" spans="3:37">
      <c r="C136" s="262"/>
      <c r="D136" s="263"/>
      <c r="E136" s="262"/>
      <c r="F136" s="262"/>
      <c r="G136" s="262"/>
      <c r="H136" s="262"/>
      <c r="I136" s="262"/>
      <c r="J136" s="262"/>
    </row>
    <row r="137" spans="3:37" ht="15">
      <c r="C137" s="274" t="s">
        <v>468</v>
      </c>
      <c r="D137" s="263"/>
      <c r="E137" s="262"/>
      <c r="F137" s="262"/>
      <c r="G137" s="262"/>
      <c r="H137" s="262"/>
      <c r="I137" s="262"/>
      <c r="J137" s="262"/>
    </row>
    <row r="138" spans="3:37" ht="14">
      <c r="C138" s="260"/>
      <c r="D138" s="259">
        <v>2020</v>
      </c>
      <c r="E138" s="259">
        <v>2035</v>
      </c>
      <c r="F138" s="259">
        <v>2040</v>
      </c>
      <c r="G138" s="259">
        <v>2050</v>
      </c>
      <c r="H138" s="262"/>
      <c r="I138" s="262"/>
      <c r="J138" s="262"/>
    </row>
    <row r="139" spans="3:37" ht="14">
      <c r="C139" s="260" t="s">
        <v>469</v>
      </c>
      <c r="D139" s="287">
        <v>8.99</v>
      </c>
      <c r="E139" s="287">
        <v>30.75</v>
      </c>
      <c r="F139" s="287">
        <v>26.9</v>
      </c>
      <c r="G139" s="346">
        <v>13.42</v>
      </c>
      <c r="H139" s="262"/>
      <c r="I139" s="262"/>
      <c r="J139" s="262"/>
    </row>
    <row r="140" spans="3:37" ht="14">
      <c r="C140" s="260" t="s">
        <v>470</v>
      </c>
      <c r="D140" s="287">
        <v>13.78</v>
      </c>
      <c r="E140" s="287">
        <v>30.69</v>
      </c>
      <c r="F140" s="346">
        <v>16.16</v>
      </c>
      <c r="G140" s="287">
        <v>0.33</v>
      </c>
      <c r="H140" s="262"/>
      <c r="I140" s="262"/>
      <c r="J140" s="262"/>
    </row>
    <row r="141" spans="3:37" ht="14">
      <c r="C141" s="260" t="s">
        <v>471</v>
      </c>
      <c r="D141" s="287">
        <v>-15.42</v>
      </c>
      <c r="E141" s="287">
        <v>-2.35</v>
      </c>
      <c r="F141" s="287">
        <v>4.63</v>
      </c>
      <c r="G141" s="287">
        <v>5.84</v>
      </c>
      <c r="H141" s="262"/>
      <c r="I141" s="262"/>
      <c r="J141" s="262"/>
    </row>
    <row r="142" spans="3:37" ht="14">
      <c r="C142" s="260" t="s">
        <v>472</v>
      </c>
      <c r="D142" s="346">
        <v>-11.24</v>
      </c>
      <c r="E142" s="287">
        <v>-3.52</v>
      </c>
      <c r="F142" s="287">
        <v>-3.65</v>
      </c>
      <c r="G142" s="287">
        <v>-1.79</v>
      </c>
      <c r="H142" s="262"/>
      <c r="I142" s="262"/>
      <c r="J142" s="262"/>
    </row>
    <row r="143" spans="3:37">
      <c r="C143" s="262" t="s">
        <v>473</v>
      </c>
      <c r="D143" s="263"/>
      <c r="E143" s="262"/>
      <c r="F143" s="262"/>
      <c r="G143" s="262"/>
      <c r="H143" s="262"/>
      <c r="I143" s="262"/>
      <c r="J143" s="262"/>
    </row>
    <row r="144" spans="3:37">
      <c r="C144" s="262"/>
      <c r="D144" s="263"/>
      <c r="E144" s="262"/>
      <c r="F144" s="262"/>
      <c r="G144" s="262"/>
      <c r="H144" s="262"/>
      <c r="I144" s="262"/>
      <c r="J144" s="262"/>
    </row>
    <row r="145" spans="2:10" ht="14">
      <c r="C145" s="257"/>
      <c r="D145" s="257"/>
      <c r="E145" s="257"/>
      <c r="F145" s="257"/>
      <c r="G145" s="257"/>
      <c r="H145" s="257"/>
      <c r="I145" s="262"/>
      <c r="J145" s="262"/>
    </row>
    <row r="146" spans="2:10" ht="15">
      <c r="C146" s="274" t="s">
        <v>474</v>
      </c>
      <c r="D146" s="257"/>
      <c r="E146" s="257"/>
      <c r="F146" s="257"/>
      <c r="G146" s="257"/>
      <c r="H146" s="257"/>
      <c r="I146" s="262"/>
      <c r="J146" s="262"/>
    </row>
    <row r="147" spans="2:10" ht="14">
      <c r="C147" s="343"/>
      <c r="D147" s="343"/>
      <c r="E147" s="343"/>
      <c r="F147" s="343"/>
      <c r="G147" s="343"/>
      <c r="H147" s="343"/>
      <c r="I147" s="262"/>
      <c r="J147" s="262"/>
    </row>
    <row r="148" spans="2:10" ht="14">
      <c r="C148" s="343"/>
      <c r="D148" s="343"/>
      <c r="E148" s="347" t="s">
        <v>475</v>
      </c>
      <c r="F148" s="347"/>
      <c r="G148" s="343" t="s">
        <v>476</v>
      </c>
      <c r="H148" s="343" t="s">
        <v>477</v>
      </c>
      <c r="I148" s="262"/>
      <c r="J148" s="262"/>
    </row>
    <row r="149" spans="2:10" ht="14">
      <c r="C149" s="343"/>
      <c r="D149" s="343" t="s">
        <v>478</v>
      </c>
      <c r="E149" s="343" t="s">
        <v>479</v>
      </c>
      <c r="F149" s="343" t="s">
        <v>480</v>
      </c>
      <c r="G149" s="343" t="s">
        <v>481</v>
      </c>
      <c r="H149" s="343" t="s">
        <v>481</v>
      </c>
      <c r="I149" s="262"/>
      <c r="J149" s="262"/>
    </row>
    <row r="150" spans="2:10" ht="14">
      <c r="C150" s="343" t="s">
        <v>482</v>
      </c>
      <c r="D150" s="343" t="s">
        <v>483</v>
      </c>
      <c r="E150" s="283">
        <v>210</v>
      </c>
      <c r="F150" s="283">
        <v>-32</v>
      </c>
      <c r="G150" s="348">
        <v>-5.0000000000000001E-3</v>
      </c>
      <c r="H150" s="348">
        <v>0</v>
      </c>
      <c r="I150" s="262"/>
      <c r="J150" s="262"/>
    </row>
    <row r="151" spans="2:10" ht="14">
      <c r="B151" s="262"/>
      <c r="C151" s="343" t="s">
        <v>484</v>
      </c>
      <c r="D151" s="343" t="s">
        <v>483</v>
      </c>
      <c r="E151" s="283">
        <v>342</v>
      </c>
      <c r="F151" s="283">
        <v>100</v>
      </c>
      <c r="G151" s="348">
        <v>0</v>
      </c>
      <c r="H151" s="348">
        <v>0</v>
      </c>
      <c r="I151" s="262"/>
    </row>
    <row r="152" spans="2:10" ht="14">
      <c r="B152" s="262"/>
      <c r="C152" s="343" t="s">
        <v>485</v>
      </c>
      <c r="D152" s="343" t="s">
        <v>483</v>
      </c>
      <c r="E152" s="283">
        <v>346</v>
      </c>
      <c r="F152" s="283">
        <v>104</v>
      </c>
      <c r="G152" s="348">
        <v>2.1999999999999999E-2</v>
      </c>
      <c r="H152" s="348">
        <v>7.0000000000000001E-3</v>
      </c>
      <c r="I152" s="262"/>
    </row>
    <row r="153" spans="2:10" ht="14">
      <c r="B153" s="262"/>
      <c r="C153" s="343" t="s">
        <v>486</v>
      </c>
      <c r="D153" s="343" t="s">
        <v>483</v>
      </c>
      <c r="E153" s="283">
        <v>333</v>
      </c>
      <c r="F153" s="283">
        <v>91</v>
      </c>
      <c r="G153" s="348">
        <v>2.7E-2</v>
      </c>
      <c r="H153" s="348">
        <v>6.0000000000000001E-3</v>
      </c>
      <c r="I153" s="262"/>
    </row>
    <row r="154" spans="2:10" ht="14">
      <c r="B154" s="262"/>
      <c r="C154" s="343" t="s">
        <v>487</v>
      </c>
      <c r="D154" s="343" t="s">
        <v>483</v>
      </c>
      <c r="E154" s="283">
        <v>323</v>
      </c>
      <c r="F154" s="283">
        <v>80</v>
      </c>
      <c r="G154" s="348">
        <v>8.9999999999999993E-3</v>
      </c>
      <c r="H154" s="348">
        <v>-4.2999999999999997E-2</v>
      </c>
      <c r="I154" s="262"/>
    </row>
    <row r="155" spans="2:10" ht="14">
      <c r="B155" s="262"/>
      <c r="C155" s="343" t="s">
        <v>488</v>
      </c>
      <c r="D155" s="343" t="s">
        <v>483</v>
      </c>
      <c r="E155" s="283">
        <v>368</v>
      </c>
      <c r="F155" s="283">
        <v>126</v>
      </c>
      <c r="G155" s="348">
        <v>0.06</v>
      </c>
      <c r="H155" s="348">
        <v>-6.0000000000000001E-3</v>
      </c>
      <c r="I155" s="262"/>
    </row>
    <row r="156" spans="2:10" ht="14">
      <c r="B156" s="262"/>
      <c r="C156" s="343" t="s">
        <v>489</v>
      </c>
      <c r="D156" s="343" t="s">
        <v>490</v>
      </c>
      <c r="E156" s="358">
        <v>1.63</v>
      </c>
      <c r="F156" s="358">
        <v>1.63</v>
      </c>
      <c r="G156" s="359">
        <v>1.2E-2</v>
      </c>
      <c r="H156" s="359">
        <v>3.0000000000000001E-3</v>
      </c>
      <c r="I156" s="262"/>
    </row>
    <row r="157" spans="2:10" ht="14">
      <c r="B157" s="262"/>
      <c r="C157" s="343" t="s">
        <v>357</v>
      </c>
      <c r="D157" s="343" t="s">
        <v>491</v>
      </c>
      <c r="E157" s="349">
        <v>346</v>
      </c>
      <c r="F157" s="349">
        <v>104</v>
      </c>
      <c r="G157" s="350">
        <v>2.1999999999999999E-2</v>
      </c>
      <c r="H157" s="350">
        <v>7.0000000000000001E-3</v>
      </c>
      <c r="I157" s="262" t="s">
        <v>492</v>
      </c>
    </row>
    <row r="158" spans="2:10" ht="14">
      <c r="B158" s="262"/>
      <c r="C158" s="343" t="s">
        <v>493</v>
      </c>
      <c r="D158" s="343" t="s">
        <v>491</v>
      </c>
      <c r="E158" s="349">
        <v>368</v>
      </c>
      <c r="F158" s="349">
        <v>126</v>
      </c>
      <c r="G158" s="350">
        <v>0.06</v>
      </c>
      <c r="H158" s="350">
        <v>-6.0000000000000001E-3</v>
      </c>
      <c r="I158" s="262" t="s">
        <v>494</v>
      </c>
    </row>
    <row r="159" spans="2:10">
      <c r="B159" s="262"/>
      <c r="C159" s="262" t="s">
        <v>495</v>
      </c>
      <c r="D159" s="263"/>
      <c r="E159" s="262"/>
      <c r="F159" s="262"/>
      <c r="G159" s="262"/>
      <c r="H159" s="262"/>
      <c r="I159" s="262"/>
    </row>
    <row r="161" spans="2:21" ht="21">
      <c r="B161" s="251" t="s">
        <v>502</v>
      </c>
      <c r="C161" s="250"/>
      <c r="D161" s="250"/>
      <c r="E161" s="250"/>
      <c r="F161" s="250"/>
      <c r="G161" s="250"/>
      <c r="H161" s="250"/>
      <c r="I161" s="250"/>
      <c r="J161" s="250"/>
      <c r="K161" s="250"/>
      <c r="L161" s="250"/>
      <c r="M161" s="250"/>
      <c r="N161" s="250"/>
      <c r="O161" s="250"/>
      <c r="P161" s="250"/>
      <c r="Q161" s="250"/>
      <c r="R161" s="250"/>
      <c r="S161" s="250"/>
      <c r="T161" s="250"/>
      <c r="U161" s="250"/>
    </row>
    <row r="162" spans="2:21">
      <c r="B162" s="249" t="s">
        <v>503</v>
      </c>
      <c r="C162" s="249"/>
      <c r="D162" s="249"/>
      <c r="E162" s="249"/>
      <c r="F162" s="249"/>
      <c r="G162" s="249"/>
      <c r="H162" s="249"/>
      <c r="I162" s="249"/>
      <c r="J162" s="249"/>
      <c r="K162" s="249"/>
      <c r="L162" s="249"/>
      <c r="M162" s="249"/>
      <c r="N162" s="249"/>
      <c r="O162" s="249"/>
      <c r="P162" s="249"/>
      <c r="Q162" s="249"/>
      <c r="R162" s="249"/>
      <c r="S162" s="249"/>
      <c r="T162" s="249"/>
      <c r="U162" s="249"/>
    </row>
    <row r="163" spans="2:21" ht="14" thickBot="1">
      <c r="B163" s="249"/>
      <c r="C163" s="249"/>
      <c r="D163" s="249"/>
      <c r="E163" s="249" t="s">
        <v>504</v>
      </c>
      <c r="F163" s="249"/>
      <c r="G163" s="249"/>
      <c r="H163" s="249"/>
      <c r="I163" s="249"/>
      <c r="J163" s="249"/>
      <c r="K163" s="249"/>
      <c r="L163" s="249" t="s">
        <v>505</v>
      </c>
      <c r="M163" s="249"/>
      <c r="N163" s="249"/>
      <c r="O163" s="249"/>
      <c r="P163" s="249"/>
      <c r="Q163" s="249"/>
      <c r="R163" s="249"/>
      <c r="S163" s="249"/>
      <c r="T163" s="249"/>
      <c r="U163" s="249"/>
    </row>
    <row r="164" spans="2:21">
      <c r="B164" s="249"/>
      <c r="C164" s="248" t="s">
        <v>506</v>
      </c>
      <c r="D164" s="247" t="s">
        <v>104</v>
      </c>
      <c r="E164" s="247">
        <v>2015</v>
      </c>
      <c r="F164" s="247">
        <v>2020</v>
      </c>
      <c r="G164" s="247">
        <v>2035</v>
      </c>
      <c r="H164" s="247">
        <v>2050</v>
      </c>
      <c r="I164" s="247" t="s">
        <v>507</v>
      </c>
      <c r="J164" s="247" t="s">
        <v>508</v>
      </c>
      <c r="K164" s="247" t="s">
        <v>509</v>
      </c>
      <c r="L164" s="247" t="s">
        <v>510</v>
      </c>
      <c r="M164" s="247" t="s">
        <v>511</v>
      </c>
      <c r="N164" s="247">
        <v>2015</v>
      </c>
      <c r="O164" s="247">
        <v>2020</v>
      </c>
      <c r="P164" s="247">
        <v>2035</v>
      </c>
      <c r="Q164" s="247">
        <v>2050</v>
      </c>
      <c r="R164" s="224" t="s">
        <v>428</v>
      </c>
      <c r="S164" s="247" t="s">
        <v>512</v>
      </c>
      <c r="T164" s="246" t="s">
        <v>513</v>
      </c>
      <c r="U164" s="249"/>
    </row>
    <row r="165" spans="2:21" ht="14">
      <c r="B165" s="249"/>
      <c r="C165" s="245" t="s">
        <v>514</v>
      </c>
      <c r="D165" s="244" t="s">
        <v>515</v>
      </c>
      <c r="E165" s="275">
        <v>55.2</v>
      </c>
      <c r="F165" s="275">
        <v>78.900000000000006</v>
      </c>
      <c r="G165" s="275">
        <v>314.39999999999998</v>
      </c>
      <c r="H165" s="269">
        <v>314.39999999999998</v>
      </c>
      <c r="I165" s="357">
        <v>2015</v>
      </c>
      <c r="J165" s="266">
        <v>1</v>
      </c>
      <c r="K165" s="266">
        <v>1</v>
      </c>
      <c r="L165" s="243">
        <v>1</v>
      </c>
      <c r="M165" s="242">
        <v>0</v>
      </c>
      <c r="N165" s="241">
        <v>55.2</v>
      </c>
      <c r="O165" s="241">
        <v>78.900000000000006</v>
      </c>
      <c r="P165" s="241">
        <v>314.39999999999998</v>
      </c>
      <c r="Q165" s="241">
        <v>314.39999999999998</v>
      </c>
      <c r="R165" s="241">
        <v>55.2</v>
      </c>
      <c r="S165" s="244"/>
      <c r="T165" s="388" t="s">
        <v>644</v>
      </c>
      <c r="U165" s="249"/>
    </row>
    <row r="166" spans="2:21" ht="14">
      <c r="B166" s="249"/>
      <c r="C166" s="245" t="s">
        <v>516</v>
      </c>
      <c r="D166" s="244" t="s">
        <v>517</v>
      </c>
      <c r="E166" s="275">
        <v>266.10000000000002</v>
      </c>
      <c r="F166" s="240">
        <v>331.2</v>
      </c>
      <c r="G166" s="240">
        <v>573.1</v>
      </c>
      <c r="H166" s="269">
        <v>573.1</v>
      </c>
      <c r="I166" s="357">
        <v>2015</v>
      </c>
      <c r="J166" s="266">
        <v>1</v>
      </c>
      <c r="K166" s="266">
        <v>1</v>
      </c>
      <c r="L166" s="243">
        <v>1</v>
      </c>
      <c r="M166" s="242">
        <v>0</v>
      </c>
      <c r="N166" s="241">
        <v>266.10000000000002</v>
      </c>
      <c r="O166" s="241">
        <v>331.2</v>
      </c>
      <c r="P166" s="241">
        <v>573.1</v>
      </c>
      <c r="Q166" s="241">
        <v>573.1</v>
      </c>
      <c r="R166" s="241">
        <v>266.10000000000002</v>
      </c>
      <c r="S166" s="239"/>
      <c r="T166" s="388" t="s">
        <v>644</v>
      </c>
      <c r="U166" s="249"/>
    </row>
    <row r="167" spans="2:21" ht="14">
      <c r="B167" s="249"/>
      <c r="C167" s="245" t="s">
        <v>518</v>
      </c>
      <c r="D167" s="244" t="s">
        <v>517</v>
      </c>
      <c r="E167" s="275">
        <v>445.5</v>
      </c>
      <c r="F167" s="240">
        <v>513.29999999999995</v>
      </c>
      <c r="G167" s="240">
        <v>769.9</v>
      </c>
      <c r="H167" s="269">
        <v>769.9</v>
      </c>
      <c r="I167" s="357">
        <v>2015</v>
      </c>
      <c r="J167" s="266">
        <v>1</v>
      </c>
      <c r="K167" s="266">
        <v>1</v>
      </c>
      <c r="L167" s="243">
        <v>1</v>
      </c>
      <c r="M167" s="242">
        <v>0</v>
      </c>
      <c r="N167" s="241">
        <v>445.5</v>
      </c>
      <c r="O167" s="241">
        <v>513.29999999999995</v>
      </c>
      <c r="P167" s="241">
        <v>769.9</v>
      </c>
      <c r="Q167" s="241">
        <v>769.9</v>
      </c>
      <c r="R167" s="241">
        <v>445.5</v>
      </c>
      <c r="S167" s="239"/>
      <c r="T167" s="388" t="s">
        <v>644</v>
      </c>
      <c r="U167" s="244"/>
    </row>
    <row r="168" spans="2:21" ht="14">
      <c r="B168" s="249"/>
      <c r="C168" s="245" t="s">
        <v>519</v>
      </c>
      <c r="D168" s="244" t="s">
        <v>379</v>
      </c>
      <c r="E168" s="275">
        <v>72</v>
      </c>
      <c r="F168" s="275">
        <v>73.3</v>
      </c>
      <c r="G168" s="275">
        <v>78.3</v>
      </c>
      <c r="H168" s="269">
        <v>78.3</v>
      </c>
      <c r="I168" s="357">
        <v>2015</v>
      </c>
      <c r="J168" s="266">
        <v>1</v>
      </c>
      <c r="K168" s="266">
        <v>1</v>
      </c>
      <c r="L168" s="243">
        <v>1</v>
      </c>
      <c r="M168" s="242">
        <v>0</v>
      </c>
      <c r="N168" s="241">
        <v>72</v>
      </c>
      <c r="O168" s="241">
        <v>73.3</v>
      </c>
      <c r="P168" s="241">
        <v>78.3</v>
      </c>
      <c r="Q168" s="241">
        <v>78.3</v>
      </c>
      <c r="R168" s="241">
        <v>72</v>
      </c>
      <c r="S168" s="244"/>
      <c r="T168" s="388" t="s">
        <v>644</v>
      </c>
      <c r="U168" s="249"/>
    </row>
    <row r="169" spans="2:21" ht="14">
      <c r="B169" s="249"/>
      <c r="C169" s="245" t="s">
        <v>520</v>
      </c>
      <c r="D169" s="244" t="s">
        <v>517</v>
      </c>
      <c r="E169" s="275">
        <v>485.5</v>
      </c>
      <c r="F169" s="240">
        <v>553.29999999999995</v>
      </c>
      <c r="G169" s="240">
        <v>809.9</v>
      </c>
      <c r="H169" s="269">
        <v>809.9</v>
      </c>
      <c r="I169" s="357">
        <v>2015</v>
      </c>
      <c r="J169" s="266">
        <v>1</v>
      </c>
      <c r="K169" s="266">
        <v>1</v>
      </c>
      <c r="L169" s="243">
        <v>1</v>
      </c>
      <c r="M169" s="242">
        <v>0</v>
      </c>
      <c r="N169" s="241">
        <v>485.5</v>
      </c>
      <c r="O169" s="241">
        <v>553.29999999999995</v>
      </c>
      <c r="P169" s="241">
        <v>809.9</v>
      </c>
      <c r="Q169" s="241">
        <v>809.9</v>
      </c>
      <c r="R169" s="241">
        <v>485.5</v>
      </c>
      <c r="S169" s="239"/>
      <c r="T169" s="388" t="s">
        <v>644</v>
      </c>
      <c r="U169" s="249"/>
    </row>
    <row r="170" spans="2:21" ht="14">
      <c r="B170" s="249"/>
      <c r="C170" s="238" t="s">
        <v>521</v>
      </c>
      <c r="D170" s="244" t="s">
        <v>379</v>
      </c>
      <c r="E170" s="275">
        <v>102.2</v>
      </c>
      <c r="F170" s="275">
        <v>119.9</v>
      </c>
      <c r="G170" s="275">
        <v>135.30000000000001</v>
      </c>
      <c r="H170" s="269">
        <v>135.30000000000001</v>
      </c>
      <c r="I170" s="357">
        <v>2015</v>
      </c>
      <c r="J170" s="266">
        <v>1</v>
      </c>
      <c r="K170" s="266">
        <v>1</v>
      </c>
      <c r="L170" s="243">
        <v>1</v>
      </c>
      <c r="M170" s="242">
        <v>0</v>
      </c>
      <c r="N170" s="241">
        <v>102.2</v>
      </c>
      <c r="O170" s="241">
        <v>119.9</v>
      </c>
      <c r="P170" s="241">
        <v>135.30000000000001</v>
      </c>
      <c r="Q170" s="241">
        <v>135.30000000000001</v>
      </c>
      <c r="R170" s="241">
        <v>102.2</v>
      </c>
      <c r="S170" s="244"/>
      <c r="T170" s="388" t="s">
        <v>644</v>
      </c>
      <c r="U170" s="249"/>
    </row>
    <row r="171" spans="2:21" ht="14">
      <c r="B171" s="249"/>
      <c r="C171" s="245" t="s">
        <v>522</v>
      </c>
      <c r="D171" s="244" t="s">
        <v>379</v>
      </c>
      <c r="E171" s="275">
        <v>20.2</v>
      </c>
      <c r="F171" s="275">
        <v>24.9</v>
      </c>
      <c r="G171" s="275">
        <v>25.8</v>
      </c>
      <c r="H171" s="269">
        <v>25.8</v>
      </c>
      <c r="I171" s="357">
        <v>2015</v>
      </c>
      <c r="J171" s="266">
        <v>1</v>
      </c>
      <c r="K171" s="266">
        <v>1</v>
      </c>
      <c r="L171" s="243">
        <v>1</v>
      </c>
      <c r="M171" s="279">
        <v>0</v>
      </c>
      <c r="N171" s="241">
        <v>20.2</v>
      </c>
      <c r="O171" s="241">
        <v>24.9</v>
      </c>
      <c r="P171" s="241">
        <v>25.8</v>
      </c>
      <c r="Q171" s="241">
        <v>25.8</v>
      </c>
      <c r="R171" s="241">
        <v>20.2</v>
      </c>
      <c r="S171" s="244"/>
      <c r="T171" s="388" t="s">
        <v>644</v>
      </c>
      <c r="U171" s="249"/>
    </row>
    <row r="172" spans="2:21" ht="14">
      <c r="B172" s="249"/>
      <c r="C172" s="245" t="s">
        <v>523</v>
      </c>
      <c r="D172" s="244" t="s">
        <v>379</v>
      </c>
      <c r="E172" s="275">
        <v>69.8</v>
      </c>
      <c r="F172" s="275">
        <v>71.099999999999994</v>
      </c>
      <c r="G172" s="275">
        <v>76.099999999999994</v>
      </c>
      <c r="H172" s="269">
        <v>76.099999999999994</v>
      </c>
      <c r="I172" s="357">
        <v>2015</v>
      </c>
      <c r="J172" s="266">
        <v>1</v>
      </c>
      <c r="K172" s="266">
        <v>1</v>
      </c>
      <c r="L172" s="243">
        <v>1</v>
      </c>
      <c r="M172" s="242">
        <v>0</v>
      </c>
      <c r="N172" s="241">
        <v>69.8</v>
      </c>
      <c r="O172" s="241">
        <v>71.099999999999994</v>
      </c>
      <c r="P172" s="241">
        <v>76.099999999999994</v>
      </c>
      <c r="Q172" s="241">
        <v>76.099999999999994</v>
      </c>
      <c r="R172" s="241">
        <v>69.8</v>
      </c>
      <c r="S172" s="244"/>
      <c r="T172" s="388" t="s">
        <v>644</v>
      </c>
      <c r="U172" s="249"/>
    </row>
    <row r="173" spans="2:21" ht="14">
      <c r="B173" s="249"/>
      <c r="C173" s="238" t="s">
        <v>524</v>
      </c>
      <c r="D173" s="244" t="s">
        <v>379</v>
      </c>
      <c r="E173" s="275">
        <v>119.6</v>
      </c>
      <c r="F173" s="275">
        <v>138.4</v>
      </c>
      <c r="G173" s="276">
        <v>154.6</v>
      </c>
      <c r="H173" s="269">
        <v>154.6</v>
      </c>
      <c r="I173" s="357">
        <v>2015</v>
      </c>
      <c r="J173" s="266">
        <v>1</v>
      </c>
      <c r="K173" s="266">
        <v>1</v>
      </c>
      <c r="L173" s="243">
        <v>1</v>
      </c>
      <c r="M173" s="242">
        <v>0</v>
      </c>
      <c r="N173" s="241">
        <v>119.6</v>
      </c>
      <c r="O173" s="241">
        <v>138.4</v>
      </c>
      <c r="P173" s="241">
        <v>154.6</v>
      </c>
      <c r="Q173" s="241">
        <v>154.6</v>
      </c>
      <c r="R173" s="241">
        <v>119.6</v>
      </c>
      <c r="S173" s="244"/>
      <c r="T173" s="388" t="s">
        <v>644</v>
      </c>
      <c r="U173" s="249"/>
    </row>
    <row r="174" spans="2:21" ht="14">
      <c r="B174" s="249"/>
      <c r="C174" s="238" t="s">
        <v>525</v>
      </c>
      <c r="D174" s="244" t="s">
        <v>379</v>
      </c>
      <c r="E174" s="275">
        <v>118.5</v>
      </c>
      <c r="F174" s="275">
        <v>137.19999999999999</v>
      </c>
      <c r="G174" s="276">
        <v>153.4</v>
      </c>
      <c r="H174" s="269">
        <v>153.4</v>
      </c>
      <c r="I174" s="357">
        <v>2015</v>
      </c>
      <c r="J174" s="266">
        <v>1</v>
      </c>
      <c r="K174" s="266">
        <v>1</v>
      </c>
      <c r="L174" s="243">
        <v>1</v>
      </c>
      <c r="M174" s="242">
        <v>0</v>
      </c>
      <c r="N174" s="241">
        <v>118.5</v>
      </c>
      <c r="O174" s="241">
        <v>137.19999999999999</v>
      </c>
      <c r="P174" s="241">
        <v>153.4</v>
      </c>
      <c r="Q174" s="241">
        <v>153.4</v>
      </c>
      <c r="R174" s="241">
        <v>118.5</v>
      </c>
      <c r="S174" s="244"/>
      <c r="T174" s="388" t="s">
        <v>644</v>
      </c>
      <c r="U174" s="249"/>
    </row>
    <row r="175" spans="2:21" ht="14">
      <c r="B175" s="249"/>
      <c r="C175" s="238" t="s">
        <v>526</v>
      </c>
      <c r="D175" s="244" t="s">
        <v>379</v>
      </c>
      <c r="E175" s="275">
        <v>115.7</v>
      </c>
      <c r="F175" s="275">
        <v>134.4</v>
      </c>
      <c r="G175" s="275">
        <v>150.6</v>
      </c>
      <c r="H175" s="269">
        <v>150.6</v>
      </c>
      <c r="I175" s="357">
        <v>2015</v>
      </c>
      <c r="J175" s="266">
        <v>1</v>
      </c>
      <c r="K175" s="266">
        <v>1</v>
      </c>
      <c r="L175" s="243">
        <v>1</v>
      </c>
      <c r="M175" s="242">
        <v>0</v>
      </c>
      <c r="N175" s="241">
        <v>115.7</v>
      </c>
      <c r="O175" s="241">
        <v>134.4</v>
      </c>
      <c r="P175" s="241">
        <v>150.6</v>
      </c>
      <c r="Q175" s="241">
        <v>150.6</v>
      </c>
      <c r="R175" s="241">
        <v>115.7</v>
      </c>
      <c r="S175" s="244"/>
      <c r="T175" s="388" t="s">
        <v>644</v>
      </c>
      <c r="U175" s="249"/>
    </row>
    <row r="176" spans="2:21" ht="14">
      <c r="B176" s="249"/>
      <c r="C176" s="238" t="s">
        <v>527</v>
      </c>
      <c r="D176" s="244" t="s">
        <v>379</v>
      </c>
      <c r="E176" s="275">
        <v>89.8</v>
      </c>
      <c r="F176" s="275">
        <v>108.5</v>
      </c>
      <c r="G176" s="275">
        <v>124.7</v>
      </c>
      <c r="H176" s="269">
        <v>124.7</v>
      </c>
      <c r="I176" s="357">
        <v>2015</v>
      </c>
      <c r="J176" s="266">
        <v>1</v>
      </c>
      <c r="K176" s="266">
        <v>1</v>
      </c>
      <c r="L176" s="243">
        <v>1</v>
      </c>
      <c r="M176" s="242">
        <v>0</v>
      </c>
      <c r="N176" s="241">
        <v>89.8</v>
      </c>
      <c r="O176" s="241">
        <v>108.5</v>
      </c>
      <c r="P176" s="241">
        <v>124.7</v>
      </c>
      <c r="Q176" s="241">
        <v>124.7</v>
      </c>
      <c r="R176" s="241">
        <v>89.8</v>
      </c>
      <c r="S176" s="244"/>
      <c r="T176" s="388" t="s">
        <v>644</v>
      </c>
      <c r="U176" s="249"/>
    </row>
    <row r="177" spans="2:21" ht="14">
      <c r="B177" s="249"/>
      <c r="C177" s="245" t="s">
        <v>528</v>
      </c>
      <c r="D177" s="244" t="s">
        <v>379</v>
      </c>
      <c r="E177" s="275">
        <v>34.799999999999997</v>
      </c>
      <c r="F177" s="275">
        <v>34.799999999999997</v>
      </c>
      <c r="G177" s="275">
        <v>34.799999999999997</v>
      </c>
      <c r="H177" s="269">
        <v>34.799999999999997</v>
      </c>
      <c r="I177" s="357">
        <v>2015</v>
      </c>
      <c r="J177" s="266">
        <v>1</v>
      </c>
      <c r="K177" s="266">
        <v>1</v>
      </c>
      <c r="L177" s="243">
        <v>1</v>
      </c>
      <c r="M177" s="279">
        <v>0</v>
      </c>
      <c r="N177" s="241">
        <v>34.799999999999997</v>
      </c>
      <c r="O177" s="241">
        <v>34.799999999999997</v>
      </c>
      <c r="P177" s="241">
        <v>34.799999999999997</v>
      </c>
      <c r="Q177" s="241">
        <v>34.799999999999997</v>
      </c>
      <c r="R177" s="241">
        <v>34.799999999999997</v>
      </c>
      <c r="S177" s="244"/>
      <c r="T177" s="388" t="s">
        <v>644</v>
      </c>
      <c r="U177" s="249"/>
    </row>
    <row r="178" spans="2:21" ht="14">
      <c r="B178" s="249"/>
      <c r="C178" s="245" t="s">
        <v>529</v>
      </c>
      <c r="D178" s="244" t="s">
        <v>379</v>
      </c>
      <c r="E178" s="275">
        <v>28.7</v>
      </c>
      <c r="F178" s="275">
        <v>28.7</v>
      </c>
      <c r="G178" s="275">
        <v>28.7</v>
      </c>
      <c r="H178" s="269">
        <v>28.7</v>
      </c>
      <c r="I178" s="357">
        <v>2015</v>
      </c>
      <c r="J178" s="266">
        <v>1</v>
      </c>
      <c r="K178" s="266">
        <v>1</v>
      </c>
      <c r="L178" s="243">
        <v>1</v>
      </c>
      <c r="M178" s="279">
        <v>0</v>
      </c>
      <c r="N178" s="241">
        <v>28.7</v>
      </c>
      <c r="O178" s="241">
        <v>28.7</v>
      </c>
      <c r="P178" s="241">
        <v>28.7</v>
      </c>
      <c r="Q178" s="241">
        <v>28.7</v>
      </c>
      <c r="R178" s="241">
        <v>28.7</v>
      </c>
      <c r="S178" s="244"/>
      <c r="T178" s="388" t="s">
        <v>644</v>
      </c>
      <c r="U178" s="249"/>
    </row>
    <row r="179" spans="2:21" ht="14">
      <c r="B179" s="249"/>
      <c r="C179" s="245" t="s">
        <v>530</v>
      </c>
      <c r="D179" s="244" t="s">
        <v>379</v>
      </c>
      <c r="E179" s="275">
        <v>2.2000000000000002</v>
      </c>
      <c r="F179" s="275">
        <v>2.2000000000000002</v>
      </c>
      <c r="G179" s="275">
        <v>2.2000000000000002</v>
      </c>
      <c r="H179" s="269">
        <v>2.2000000000000002</v>
      </c>
      <c r="I179" s="357">
        <v>2015</v>
      </c>
      <c r="J179" s="266">
        <v>1</v>
      </c>
      <c r="K179" s="266">
        <v>1</v>
      </c>
      <c r="L179" s="243">
        <v>1</v>
      </c>
      <c r="M179" s="279">
        <v>0</v>
      </c>
      <c r="N179" s="241">
        <v>2.2000000000000002</v>
      </c>
      <c r="O179" s="241">
        <v>2.2000000000000002</v>
      </c>
      <c r="P179" s="241">
        <v>2.2000000000000002</v>
      </c>
      <c r="Q179" s="241">
        <v>2.2000000000000002</v>
      </c>
      <c r="R179" s="241">
        <v>2.2000000000000002</v>
      </c>
      <c r="S179" s="244"/>
      <c r="T179" s="388" t="s">
        <v>644</v>
      </c>
      <c r="U179" s="249"/>
    </row>
    <row r="180" spans="2:21" ht="14">
      <c r="B180" s="249"/>
      <c r="C180" s="245" t="s">
        <v>531</v>
      </c>
      <c r="D180" s="244" t="s">
        <v>379</v>
      </c>
      <c r="E180" s="280">
        <v>61</v>
      </c>
      <c r="F180" s="280">
        <v>61.7</v>
      </c>
      <c r="G180" s="280">
        <v>65.8</v>
      </c>
      <c r="H180" s="269">
        <v>65.8</v>
      </c>
      <c r="I180" s="357">
        <v>2015</v>
      </c>
      <c r="J180" s="266">
        <v>1</v>
      </c>
      <c r="K180" s="266">
        <v>1</v>
      </c>
      <c r="L180" s="243">
        <v>1</v>
      </c>
      <c r="M180" s="242">
        <v>0</v>
      </c>
      <c r="N180" s="241">
        <v>61</v>
      </c>
      <c r="O180" s="241">
        <v>61.7</v>
      </c>
      <c r="P180" s="241">
        <v>65.8</v>
      </c>
      <c r="Q180" s="241">
        <v>65.8</v>
      </c>
      <c r="R180" s="241">
        <v>61</v>
      </c>
      <c r="S180" s="244" t="s">
        <v>532</v>
      </c>
      <c r="T180" s="388" t="s">
        <v>644</v>
      </c>
      <c r="U180" s="249"/>
    </row>
    <row r="181" spans="2:21" ht="14">
      <c r="B181" s="249"/>
      <c r="C181" s="245" t="s">
        <v>533</v>
      </c>
      <c r="D181" s="244" t="s">
        <v>379</v>
      </c>
      <c r="E181" s="280">
        <v>49.8</v>
      </c>
      <c r="F181" s="280">
        <v>50.6</v>
      </c>
      <c r="G181" s="280">
        <v>54.7</v>
      </c>
      <c r="H181" s="269">
        <v>54.7</v>
      </c>
      <c r="I181" s="357">
        <v>2015</v>
      </c>
      <c r="J181" s="266">
        <v>1</v>
      </c>
      <c r="K181" s="266">
        <v>1</v>
      </c>
      <c r="L181" s="243">
        <v>1</v>
      </c>
      <c r="M181" s="242">
        <v>0</v>
      </c>
      <c r="N181" s="241">
        <v>49.8</v>
      </c>
      <c r="O181" s="241">
        <v>50.6</v>
      </c>
      <c r="P181" s="241">
        <v>54.7</v>
      </c>
      <c r="Q181" s="241">
        <v>54.7</v>
      </c>
      <c r="R181" s="241">
        <v>49.8</v>
      </c>
      <c r="S181" s="244" t="s">
        <v>532</v>
      </c>
      <c r="T181" s="388" t="s">
        <v>644</v>
      </c>
      <c r="U181" s="249"/>
    </row>
    <row r="182" spans="2:21" ht="14">
      <c r="B182" s="249"/>
      <c r="C182" s="245" t="s">
        <v>534</v>
      </c>
      <c r="D182" s="244" t="s">
        <v>379</v>
      </c>
      <c r="E182" s="275">
        <v>7</v>
      </c>
      <c r="F182" s="275">
        <v>7</v>
      </c>
      <c r="G182" s="275">
        <v>7</v>
      </c>
      <c r="H182" s="269">
        <v>7</v>
      </c>
      <c r="I182" s="357">
        <v>2015</v>
      </c>
      <c r="J182" s="266">
        <v>1</v>
      </c>
      <c r="K182" s="266">
        <v>1</v>
      </c>
      <c r="L182" s="243">
        <v>1</v>
      </c>
      <c r="M182" s="279">
        <v>0</v>
      </c>
      <c r="N182" s="241">
        <v>7</v>
      </c>
      <c r="O182" s="241">
        <v>7</v>
      </c>
      <c r="P182" s="241">
        <v>7</v>
      </c>
      <c r="Q182" s="241">
        <v>7</v>
      </c>
      <c r="R182" s="241">
        <v>7</v>
      </c>
      <c r="S182" s="244"/>
      <c r="T182" s="388" t="s">
        <v>644</v>
      </c>
      <c r="U182" s="249"/>
    </row>
    <row r="183" spans="2:21" ht="14">
      <c r="B183" s="249"/>
      <c r="C183" s="245" t="s">
        <v>535</v>
      </c>
      <c r="D183" s="244" t="s">
        <v>379</v>
      </c>
      <c r="E183" s="275">
        <v>30.2</v>
      </c>
      <c r="F183" s="275">
        <v>30.2</v>
      </c>
      <c r="G183" s="275">
        <v>30.2</v>
      </c>
      <c r="H183" s="269">
        <v>30.2</v>
      </c>
      <c r="I183" s="357">
        <v>2015</v>
      </c>
      <c r="J183" s="266">
        <v>1</v>
      </c>
      <c r="K183" s="266">
        <v>1</v>
      </c>
      <c r="L183" s="243">
        <v>1</v>
      </c>
      <c r="M183" s="279">
        <v>0</v>
      </c>
      <c r="N183" s="241">
        <v>30.2</v>
      </c>
      <c r="O183" s="241">
        <v>30.2</v>
      </c>
      <c r="P183" s="241">
        <v>30.2</v>
      </c>
      <c r="Q183" s="241">
        <v>30.2</v>
      </c>
      <c r="R183" s="241">
        <v>30.2</v>
      </c>
      <c r="S183" s="244"/>
      <c r="T183" s="388" t="s">
        <v>644</v>
      </c>
      <c r="U183" s="249"/>
    </row>
    <row r="184" spans="2:21" ht="14">
      <c r="B184" s="249"/>
      <c r="C184" s="245" t="s">
        <v>68</v>
      </c>
      <c r="D184" s="244" t="s">
        <v>379</v>
      </c>
      <c r="E184" s="382">
        <v>143.69999999999999</v>
      </c>
      <c r="F184" s="382">
        <v>146.4</v>
      </c>
      <c r="G184" s="382">
        <v>156.80000000000001</v>
      </c>
      <c r="H184" s="382">
        <v>156.80000000000001</v>
      </c>
      <c r="I184" s="357">
        <v>2015</v>
      </c>
      <c r="J184" s="266">
        <v>1</v>
      </c>
      <c r="K184" s="266">
        <v>1</v>
      </c>
      <c r="L184" s="243">
        <v>1</v>
      </c>
      <c r="M184" s="242">
        <v>0</v>
      </c>
      <c r="N184" s="241">
        <v>143.69999999999999</v>
      </c>
      <c r="O184" s="241">
        <v>146.4</v>
      </c>
      <c r="P184" s="241">
        <v>156.80000000000001</v>
      </c>
      <c r="Q184" s="241">
        <v>156.80000000000001</v>
      </c>
      <c r="R184" s="241">
        <v>143.69999999999999</v>
      </c>
      <c r="S184" s="244" t="s">
        <v>536</v>
      </c>
      <c r="T184" s="388"/>
      <c r="U184" s="249"/>
    </row>
    <row r="185" spans="2:21" ht="14">
      <c r="B185" s="249"/>
      <c r="C185" s="245" t="s">
        <v>537</v>
      </c>
      <c r="D185" s="244" t="s">
        <v>379</v>
      </c>
      <c r="E185" s="275">
        <v>67</v>
      </c>
      <c r="F185" s="275">
        <v>66.2</v>
      </c>
      <c r="G185" s="275">
        <v>73.3</v>
      </c>
      <c r="H185" s="269">
        <v>73.3</v>
      </c>
      <c r="I185" s="357">
        <v>2011</v>
      </c>
      <c r="J185" s="266">
        <v>1</v>
      </c>
      <c r="K185" s="266">
        <v>1.0640000000000001</v>
      </c>
      <c r="L185" s="243">
        <v>1.0640000000000001</v>
      </c>
      <c r="M185" s="242">
        <v>0</v>
      </c>
      <c r="N185" s="241">
        <v>71.3</v>
      </c>
      <c r="O185" s="241">
        <v>70.400000000000006</v>
      </c>
      <c r="P185" s="241">
        <v>78</v>
      </c>
      <c r="Q185" s="241">
        <v>78</v>
      </c>
      <c r="R185" s="241">
        <v>71.3</v>
      </c>
      <c r="S185" s="244" t="s">
        <v>538</v>
      </c>
      <c r="T185" s="388" t="s">
        <v>645</v>
      </c>
      <c r="U185" s="249"/>
    </row>
    <row r="186" spans="2:21" ht="14">
      <c r="B186" s="249"/>
      <c r="C186" s="245" t="s">
        <v>401</v>
      </c>
      <c r="D186" s="244" t="s">
        <v>379</v>
      </c>
      <c r="E186" s="383">
        <v>69.7</v>
      </c>
      <c r="F186" s="383">
        <v>76.8</v>
      </c>
      <c r="G186" s="383">
        <v>77</v>
      </c>
      <c r="H186" s="383">
        <v>77</v>
      </c>
      <c r="I186" s="357">
        <v>2013</v>
      </c>
      <c r="J186" s="266">
        <v>1</v>
      </c>
      <c r="K186" s="266">
        <v>1.038</v>
      </c>
      <c r="L186" s="243">
        <v>1.038</v>
      </c>
      <c r="M186" s="242">
        <v>0</v>
      </c>
      <c r="N186" s="241">
        <v>72.400000000000006</v>
      </c>
      <c r="O186" s="241">
        <v>79.7</v>
      </c>
      <c r="P186" s="241">
        <v>79.900000000000006</v>
      </c>
      <c r="Q186" s="241">
        <v>79.900000000000006</v>
      </c>
      <c r="R186" s="241">
        <v>72.400000000000006</v>
      </c>
      <c r="S186" s="237" t="s">
        <v>539</v>
      </c>
      <c r="T186" s="388" t="s">
        <v>646</v>
      </c>
      <c r="U186" s="249"/>
    </row>
    <row r="187" spans="2:21" ht="14">
      <c r="B187" s="249"/>
      <c r="C187" s="245" t="s">
        <v>402</v>
      </c>
      <c r="D187" s="244" t="s">
        <v>379</v>
      </c>
      <c r="E187" s="384">
        <v>10.3</v>
      </c>
      <c r="F187" s="384">
        <v>10.3</v>
      </c>
      <c r="G187" s="384">
        <v>10.3</v>
      </c>
      <c r="H187" s="384">
        <v>10.3</v>
      </c>
      <c r="I187" s="357">
        <v>2014</v>
      </c>
      <c r="J187" s="266">
        <v>1</v>
      </c>
      <c r="K187" s="266">
        <v>1.0249999999999999</v>
      </c>
      <c r="L187" s="243">
        <v>1.0249999999999999</v>
      </c>
      <c r="M187" s="242">
        <v>0</v>
      </c>
      <c r="N187" s="241">
        <v>10.6</v>
      </c>
      <c r="O187" s="241">
        <v>10.6</v>
      </c>
      <c r="P187" s="241">
        <v>10.6</v>
      </c>
      <c r="Q187" s="241">
        <v>10.6</v>
      </c>
      <c r="R187" s="241">
        <v>10.6</v>
      </c>
      <c r="S187" s="237"/>
      <c r="T187" s="388" t="s">
        <v>540</v>
      </c>
      <c r="U187" s="249"/>
    </row>
    <row r="188" spans="2:21" ht="14">
      <c r="B188" s="249"/>
      <c r="C188" s="245" t="s">
        <v>403</v>
      </c>
      <c r="D188" s="244" t="s">
        <v>379</v>
      </c>
      <c r="E188" s="269">
        <v>38.6</v>
      </c>
      <c r="F188" s="269">
        <v>41.2</v>
      </c>
      <c r="G188" s="269">
        <v>46.9</v>
      </c>
      <c r="H188" s="269">
        <v>51.9</v>
      </c>
      <c r="I188" s="357">
        <v>2012</v>
      </c>
      <c r="J188" s="266">
        <v>1</v>
      </c>
      <c r="K188" s="266">
        <v>1.0589999999999999</v>
      </c>
      <c r="L188" s="243">
        <v>1.0589999999999999</v>
      </c>
      <c r="M188" s="242"/>
      <c r="N188" s="241">
        <v>40.9</v>
      </c>
      <c r="O188" s="241">
        <v>43.6</v>
      </c>
      <c r="P188" s="241">
        <v>49.6</v>
      </c>
      <c r="Q188" s="241">
        <v>55</v>
      </c>
      <c r="R188" s="241">
        <v>40.9</v>
      </c>
      <c r="S188" s="237"/>
      <c r="T188" s="388" t="s">
        <v>647</v>
      </c>
      <c r="U188" s="249"/>
    </row>
    <row r="189" spans="2:21" ht="14">
      <c r="B189" s="249"/>
      <c r="C189" s="245" t="s">
        <v>404</v>
      </c>
      <c r="D189" s="244" t="s">
        <v>379</v>
      </c>
      <c r="E189" s="385">
        <v>101.7</v>
      </c>
      <c r="F189" s="385">
        <v>112.5</v>
      </c>
      <c r="G189" s="385">
        <v>118.1</v>
      </c>
      <c r="H189" s="385">
        <v>118.1</v>
      </c>
      <c r="I189" s="357">
        <v>2015</v>
      </c>
      <c r="J189" s="266">
        <v>1</v>
      </c>
      <c r="K189" s="266">
        <v>1</v>
      </c>
      <c r="L189" s="243">
        <v>1</v>
      </c>
      <c r="M189" s="242"/>
      <c r="N189" s="241">
        <v>101.7</v>
      </c>
      <c r="O189" s="241">
        <v>112.5</v>
      </c>
      <c r="P189" s="241">
        <v>118.1</v>
      </c>
      <c r="Q189" s="241">
        <v>118.1</v>
      </c>
      <c r="R189" s="241">
        <v>101.7</v>
      </c>
      <c r="S189" s="237" t="s">
        <v>541</v>
      </c>
      <c r="T189" s="388" t="s">
        <v>646</v>
      </c>
      <c r="U189" s="249"/>
    </row>
    <row r="190" spans="2:21" ht="14">
      <c r="B190" s="249"/>
      <c r="C190" s="245" t="s">
        <v>426</v>
      </c>
      <c r="D190" s="244" t="s">
        <v>379</v>
      </c>
      <c r="E190" s="385">
        <v>91.8</v>
      </c>
      <c r="F190" s="385">
        <v>102.2</v>
      </c>
      <c r="G190" s="385">
        <v>114.4</v>
      </c>
      <c r="H190" s="385">
        <v>114.4</v>
      </c>
      <c r="I190" s="357">
        <v>2015</v>
      </c>
      <c r="J190" s="266">
        <v>1</v>
      </c>
      <c r="K190" s="266">
        <v>1</v>
      </c>
      <c r="L190" s="243">
        <v>1</v>
      </c>
      <c r="M190" s="242"/>
      <c r="N190" s="241">
        <v>91.8</v>
      </c>
      <c r="O190" s="241">
        <v>102.2</v>
      </c>
      <c r="P190" s="241">
        <v>114.4</v>
      </c>
      <c r="Q190" s="241">
        <v>114.4</v>
      </c>
      <c r="R190" s="241">
        <v>91.8</v>
      </c>
      <c r="S190" s="237"/>
      <c r="T190" s="388"/>
      <c r="U190" s="249"/>
    </row>
    <row r="191" spans="2:21" s="404" customFormat="1" ht="14">
      <c r="B191" s="249"/>
      <c r="C191" s="245" t="s">
        <v>635</v>
      </c>
      <c r="D191" s="244" t="s">
        <v>379</v>
      </c>
      <c r="E191" s="469">
        <v>148.80000000000001</v>
      </c>
      <c r="F191" s="469">
        <v>176.4</v>
      </c>
      <c r="G191" s="469">
        <v>187.5</v>
      </c>
      <c r="H191" s="469">
        <v>187.5</v>
      </c>
      <c r="I191" s="463">
        <v>2015</v>
      </c>
      <c r="J191" s="446">
        <v>1</v>
      </c>
      <c r="K191" s="446">
        <v>1</v>
      </c>
      <c r="L191" s="243">
        <v>1</v>
      </c>
      <c r="M191" s="242">
        <v>0</v>
      </c>
      <c r="N191" s="241">
        <v>148.80000000000001</v>
      </c>
      <c r="O191" s="241">
        <v>176.4</v>
      </c>
      <c r="P191" s="241">
        <v>187.5</v>
      </c>
      <c r="Q191" s="241">
        <v>187.5</v>
      </c>
      <c r="R191" s="241">
        <v>148.80000000000001</v>
      </c>
      <c r="S191" s="237"/>
      <c r="T191" s="470" t="s">
        <v>648</v>
      </c>
      <c r="U191" s="249"/>
    </row>
    <row r="192" spans="2:21" ht="14">
      <c r="B192" s="249"/>
      <c r="C192" s="245" t="s">
        <v>406</v>
      </c>
      <c r="D192" s="244" t="s">
        <v>379</v>
      </c>
      <c r="E192" s="269">
        <v>45.4</v>
      </c>
      <c r="F192" s="269">
        <v>48.4</v>
      </c>
      <c r="G192" s="269">
        <v>55.1</v>
      </c>
      <c r="H192" s="269">
        <v>61.1</v>
      </c>
      <c r="I192" s="357">
        <v>2012</v>
      </c>
      <c r="J192" s="266">
        <v>1</v>
      </c>
      <c r="K192" s="266">
        <v>1.0589999999999999</v>
      </c>
      <c r="L192" s="243">
        <v>1.0589999999999999</v>
      </c>
      <c r="M192" s="242"/>
      <c r="N192" s="241">
        <v>48.1</v>
      </c>
      <c r="O192" s="241">
        <v>51.3</v>
      </c>
      <c r="P192" s="241">
        <v>58.4</v>
      </c>
      <c r="Q192" s="241">
        <v>64.7</v>
      </c>
      <c r="R192" s="241">
        <v>48.1</v>
      </c>
      <c r="S192" s="237" t="s">
        <v>542</v>
      </c>
      <c r="T192" s="388" t="s">
        <v>647</v>
      </c>
      <c r="U192" s="249"/>
    </row>
    <row r="193" spans="2:21" ht="14">
      <c r="B193" s="249"/>
      <c r="C193" s="245" t="s">
        <v>407</v>
      </c>
      <c r="D193" s="244" t="s">
        <v>379</v>
      </c>
      <c r="E193" s="386">
        <v>61.8</v>
      </c>
      <c r="F193" s="386">
        <v>63.3</v>
      </c>
      <c r="G193" s="386">
        <v>67.8</v>
      </c>
      <c r="H193" s="386">
        <v>71.5</v>
      </c>
      <c r="I193" s="357">
        <v>2012</v>
      </c>
      <c r="J193" s="266">
        <v>1</v>
      </c>
      <c r="K193" s="266">
        <v>1.0589999999999999</v>
      </c>
      <c r="L193" s="243">
        <v>1.0589999999999999</v>
      </c>
      <c r="M193" s="242"/>
      <c r="N193" s="241">
        <v>65.5</v>
      </c>
      <c r="O193" s="241">
        <v>67.099999999999994</v>
      </c>
      <c r="P193" s="241">
        <v>71.8</v>
      </c>
      <c r="Q193" s="241">
        <v>75.7</v>
      </c>
      <c r="R193" s="241">
        <v>65.5</v>
      </c>
      <c r="S193" s="237" t="s">
        <v>542</v>
      </c>
      <c r="T193" s="388" t="s">
        <v>647</v>
      </c>
      <c r="U193" s="249"/>
    </row>
    <row r="194" spans="2:21" ht="14">
      <c r="B194" s="249"/>
      <c r="C194" s="245" t="s">
        <v>408</v>
      </c>
      <c r="D194" s="244" t="s">
        <v>379</v>
      </c>
      <c r="E194" s="314">
        <v>72.5</v>
      </c>
      <c r="F194" s="314">
        <v>91.24</v>
      </c>
      <c r="G194" s="314">
        <v>157.88999999999999</v>
      </c>
      <c r="H194" s="314">
        <v>157.88999999999999</v>
      </c>
      <c r="I194" s="357">
        <v>2015</v>
      </c>
      <c r="J194" s="266">
        <v>1</v>
      </c>
      <c r="K194" s="266">
        <v>1</v>
      </c>
      <c r="L194" s="243">
        <v>1</v>
      </c>
      <c r="M194" s="242"/>
      <c r="N194" s="241">
        <v>72.5</v>
      </c>
      <c r="O194" s="241">
        <v>91.2</v>
      </c>
      <c r="P194" s="241">
        <v>157.9</v>
      </c>
      <c r="Q194" s="241">
        <v>157.9</v>
      </c>
      <c r="R194" s="241">
        <v>72.5</v>
      </c>
      <c r="S194" s="237"/>
      <c r="T194" s="388" t="s">
        <v>645</v>
      </c>
      <c r="U194" s="249"/>
    </row>
    <row r="195" spans="2:21" ht="14">
      <c r="B195" s="249"/>
      <c r="C195" s="245" t="s">
        <v>409</v>
      </c>
      <c r="D195" s="244" t="s">
        <v>379</v>
      </c>
      <c r="E195" s="314">
        <v>72.5</v>
      </c>
      <c r="F195" s="314">
        <v>91.24</v>
      </c>
      <c r="G195" s="314">
        <v>157.88999999999999</v>
      </c>
      <c r="H195" s="314">
        <v>157.88999999999999</v>
      </c>
      <c r="I195" s="357">
        <v>2015</v>
      </c>
      <c r="J195" s="266">
        <v>1</v>
      </c>
      <c r="K195" s="266">
        <v>1</v>
      </c>
      <c r="L195" s="243">
        <v>1</v>
      </c>
      <c r="M195" s="242"/>
      <c r="N195" s="241">
        <v>72.5</v>
      </c>
      <c r="O195" s="241">
        <v>91.2</v>
      </c>
      <c r="P195" s="241">
        <v>157.9</v>
      </c>
      <c r="Q195" s="241">
        <v>157.9</v>
      </c>
      <c r="R195" s="241">
        <v>72.5</v>
      </c>
      <c r="S195" s="237" t="s">
        <v>543</v>
      </c>
      <c r="T195" s="388" t="s">
        <v>645</v>
      </c>
      <c r="U195" s="249"/>
    </row>
    <row r="196" spans="2:21" ht="14">
      <c r="B196" s="249"/>
      <c r="C196" s="245" t="s">
        <v>412</v>
      </c>
      <c r="D196" s="244" t="s">
        <v>379</v>
      </c>
      <c r="E196" s="387">
        <v>44.31</v>
      </c>
      <c r="F196" s="387">
        <v>44.31</v>
      </c>
      <c r="G196" s="387">
        <v>44.31</v>
      </c>
      <c r="H196" s="387">
        <v>44.31</v>
      </c>
      <c r="I196" s="357">
        <v>2011</v>
      </c>
      <c r="J196" s="266">
        <v>1</v>
      </c>
      <c r="K196" s="266">
        <v>1.0640000000000001</v>
      </c>
      <c r="L196" s="243">
        <v>1.0640000000000001</v>
      </c>
      <c r="M196" s="242"/>
      <c r="N196" s="241">
        <v>47.2</v>
      </c>
      <c r="O196" s="241">
        <v>47.2</v>
      </c>
      <c r="P196" s="241">
        <v>47.2</v>
      </c>
      <c r="Q196" s="241">
        <v>47.2</v>
      </c>
      <c r="R196" s="241">
        <v>47.2</v>
      </c>
      <c r="S196" s="237"/>
      <c r="T196" s="389" t="s">
        <v>649</v>
      </c>
      <c r="U196" s="249"/>
    </row>
    <row r="197" spans="2:21" ht="14">
      <c r="B197" s="249"/>
      <c r="C197" s="245" t="s">
        <v>413</v>
      </c>
      <c r="D197" s="244" t="s">
        <v>379</v>
      </c>
      <c r="E197" s="384">
        <v>187</v>
      </c>
      <c r="F197" s="384">
        <v>186.2</v>
      </c>
      <c r="G197" s="384">
        <v>205</v>
      </c>
      <c r="H197" s="384">
        <v>205</v>
      </c>
      <c r="I197" s="357">
        <v>2010</v>
      </c>
      <c r="J197" s="266">
        <v>1</v>
      </c>
      <c r="K197" s="266">
        <v>1.1100000000000001</v>
      </c>
      <c r="L197" s="243">
        <v>1.1100000000000001</v>
      </c>
      <c r="M197" s="242"/>
      <c r="N197" s="241">
        <v>207.6</v>
      </c>
      <c r="O197" s="241">
        <v>206.6</v>
      </c>
      <c r="P197" s="241">
        <v>227.6</v>
      </c>
      <c r="Q197" s="241">
        <v>227.6</v>
      </c>
      <c r="R197" s="241">
        <v>207.6</v>
      </c>
      <c r="S197" s="237" t="s">
        <v>544</v>
      </c>
      <c r="T197" s="390" t="s">
        <v>650</v>
      </c>
      <c r="U197" s="249"/>
    </row>
    <row r="198" spans="2:21" ht="14">
      <c r="B198" s="249"/>
      <c r="C198" s="245" t="s">
        <v>414</v>
      </c>
      <c r="D198" s="244" t="s">
        <v>379</v>
      </c>
      <c r="E198" s="384">
        <v>146.80000000000001</v>
      </c>
      <c r="F198" s="384">
        <v>146.1</v>
      </c>
      <c r="G198" s="384">
        <v>160.9</v>
      </c>
      <c r="H198" s="384">
        <v>160.9</v>
      </c>
      <c r="I198" s="357">
        <v>2010</v>
      </c>
      <c r="J198" s="266">
        <v>1</v>
      </c>
      <c r="K198" s="266">
        <v>1.1100000000000001</v>
      </c>
      <c r="L198" s="243">
        <v>1.1100000000000001</v>
      </c>
      <c r="M198" s="242"/>
      <c r="N198" s="241">
        <v>162.9</v>
      </c>
      <c r="O198" s="241">
        <v>162.19999999999999</v>
      </c>
      <c r="P198" s="241">
        <v>178.6</v>
      </c>
      <c r="Q198" s="241">
        <v>178.6</v>
      </c>
      <c r="R198" s="241">
        <v>162.9</v>
      </c>
      <c r="S198" s="237" t="s">
        <v>544</v>
      </c>
      <c r="T198" s="390" t="s">
        <v>650</v>
      </c>
      <c r="U198" s="249"/>
    </row>
    <row r="199" spans="2:21" ht="14">
      <c r="B199" s="249"/>
      <c r="C199" s="245" t="s">
        <v>364</v>
      </c>
      <c r="D199" s="244" t="s">
        <v>379</v>
      </c>
      <c r="E199" s="385">
        <v>80</v>
      </c>
      <c r="F199" s="385">
        <v>94.8</v>
      </c>
      <c r="G199" s="385">
        <v>100.8</v>
      </c>
      <c r="H199" s="385">
        <v>100.8</v>
      </c>
      <c r="I199" s="357">
        <v>2013</v>
      </c>
      <c r="J199" s="266">
        <v>1</v>
      </c>
      <c r="K199" s="266">
        <v>1.038</v>
      </c>
      <c r="L199" s="243">
        <v>1.038</v>
      </c>
      <c r="M199" s="242"/>
      <c r="N199" s="241">
        <v>83.1</v>
      </c>
      <c r="O199" s="241">
        <v>98.5</v>
      </c>
      <c r="P199" s="241">
        <v>104.7</v>
      </c>
      <c r="Q199" s="241">
        <v>104.7</v>
      </c>
      <c r="R199" s="241">
        <v>83.1</v>
      </c>
      <c r="S199" s="244"/>
      <c r="T199" s="236"/>
      <c r="U199" s="249"/>
    </row>
    <row r="200" spans="2:21" ht="14">
      <c r="B200" s="249"/>
      <c r="C200" s="245" t="s">
        <v>545</v>
      </c>
      <c r="D200" s="244" t="s">
        <v>546</v>
      </c>
      <c r="E200" s="384">
        <v>0</v>
      </c>
      <c r="F200" s="384">
        <v>0</v>
      </c>
      <c r="G200" s="384">
        <v>0</v>
      </c>
      <c r="H200" s="384">
        <v>0</v>
      </c>
      <c r="I200" s="357">
        <v>2010</v>
      </c>
      <c r="J200" s="266">
        <v>1</v>
      </c>
      <c r="K200" s="266">
        <v>1.1100000000000001</v>
      </c>
      <c r="L200" s="243">
        <v>1.1100000000000001</v>
      </c>
      <c r="M200" s="242"/>
      <c r="N200" s="241">
        <v>0.1</v>
      </c>
      <c r="O200" s="241">
        <v>0.1</v>
      </c>
      <c r="P200" s="241">
        <v>0.1</v>
      </c>
      <c r="Q200" s="241">
        <v>0.1</v>
      </c>
      <c r="R200" s="243">
        <v>5.2999999999999999E-2</v>
      </c>
      <c r="S200" s="244"/>
      <c r="T200" s="390" t="s">
        <v>556</v>
      </c>
      <c r="U200" s="249"/>
    </row>
    <row r="201" spans="2:21" ht="14">
      <c r="B201" s="249"/>
      <c r="C201" s="245" t="s">
        <v>547</v>
      </c>
      <c r="D201" s="244" t="s">
        <v>546</v>
      </c>
      <c r="E201" s="384">
        <v>0</v>
      </c>
      <c r="F201" s="384">
        <v>0</v>
      </c>
      <c r="G201" s="384">
        <v>0</v>
      </c>
      <c r="H201" s="384">
        <v>0</v>
      </c>
      <c r="I201" s="357">
        <v>2010</v>
      </c>
      <c r="J201" s="266">
        <v>1</v>
      </c>
      <c r="K201" s="266">
        <v>1.1100000000000001</v>
      </c>
      <c r="L201" s="243">
        <v>1.1100000000000001</v>
      </c>
      <c r="M201" s="242"/>
      <c r="N201" s="241">
        <v>0.1</v>
      </c>
      <c r="O201" s="241">
        <v>0.1</v>
      </c>
      <c r="P201" s="241">
        <v>0.1</v>
      </c>
      <c r="Q201" s="241">
        <v>0.1</v>
      </c>
      <c r="R201" s="243">
        <v>5.2999999999999999E-2</v>
      </c>
      <c r="S201" s="244"/>
      <c r="T201" s="390" t="s">
        <v>556</v>
      </c>
      <c r="U201" s="249"/>
    </row>
    <row r="202" spans="2:21" ht="14">
      <c r="B202" s="249"/>
      <c r="C202" s="245" t="s">
        <v>548</v>
      </c>
      <c r="D202" s="244" t="s">
        <v>546</v>
      </c>
      <c r="E202" s="384">
        <v>0</v>
      </c>
      <c r="F202" s="384">
        <v>0</v>
      </c>
      <c r="G202" s="384">
        <v>0</v>
      </c>
      <c r="H202" s="384">
        <v>0</v>
      </c>
      <c r="I202" s="357">
        <v>2010</v>
      </c>
      <c r="J202" s="266">
        <v>1</v>
      </c>
      <c r="K202" s="266">
        <v>1.1100000000000001</v>
      </c>
      <c r="L202" s="243">
        <v>1.1100000000000001</v>
      </c>
      <c r="M202" s="242"/>
      <c r="N202" s="241">
        <v>0</v>
      </c>
      <c r="O202" s="241">
        <v>0</v>
      </c>
      <c r="P202" s="241">
        <v>0</v>
      </c>
      <c r="Q202" s="241">
        <v>0</v>
      </c>
      <c r="R202" s="243">
        <v>0.02</v>
      </c>
      <c r="S202" s="244"/>
      <c r="T202" s="390" t="s">
        <v>556</v>
      </c>
      <c r="U202" s="249"/>
    </row>
    <row r="203" spans="2:21" ht="14">
      <c r="B203" s="249"/>
      <c r="C203" s="245" t="s">
        <v>549</v>
      </c>
      <c r="D203" s="244" t="s">
        <v>546</v>
      </c>
      <c r="E203" s="384">
        <v>0.1</v>
      </c>
      <c r="F203" s="384">
        <v>0.1</v>
      </c>
      <c r="G203" s="384">
        <v>0.1</v>
      </c>
      <c r="H203" s="384">
        <v>0.1</v>
      </c>
      <c r="I203" s="357">
        <v>2010</v>
      </c>
      <c r="J203" s="266">
        <v>1</v>
      </c>
      <c r="K203" s="266">
        <v>1.1100000000000001</v>
      </c>
      <c r="L203" s="243">
        <v>1.1100000000000001</v>
      </c>
      <c r="M203" s="242"/>
      <c r="N203" s="241">
        <v>0.1</v>
      </c>
      <c r="O203" s="241">
        <v>0.1</v>
      </c>
      <c r="P203" s="241">
        <v>0.1</v>
      </c>
      <c r="Q203" s="241">
        <v>0.1</v>
      </c>
      <c r="R203" s="243">
        <v>0.108</v>
      </c>
      <c r="S203" s="244"/>
      <c r="T203" s="390" t="s">
        <v>556</v>
      </c>
      <c r="U203" s="249"/>
    </row>
    <row r="204" spans="2:21" ht="14">
      <c r="B204" s="249"/>
      <c r="C204" s="245" t="s">
        <v>550</v>
      </c>
      <c r="D204" s="244" t="s">
        <v>546</v>
      </c>
      <c r="E204" s="384">
        <v>0</v>
      </c>
      <c r="F204" s="384">
        <v>0</v>
      </c>
      <c r="G204" s="384">
        <v>0</v>
      </c>
      <c r="H204" s="384">
        <v>0</v>
      </c>
      <c r="I204" s="357">
        <v>2010</v>
      </c>
      <c r="J204" s="266">
        <v>1</v>
      </c>
      <c r="K204" s="266">
        <v>1.1100000000000001</v>
      </c>
      <c r="L204" s="243">
        <v>1.1100000000000001</v>
      </c>
      <c r="M204" s="242"/>
      <c r="N204" s="241">
        <v>0</v>
      </c>
      <c r="O204" s="241">
        <v>0</v>
      </c>
      <c r="P204" s="241">
        <v>0</v>
      </c>
      <c r="Q204" s="241">
        <v>0</v>
      </c>
      <c r="R204" s="243">
        <v>0</v>
      </c>
      <c r="S204" s="244"/>
      <c r="T204" s="390" t="s">
        <v>556</v>
      </c>
      <c r="U204" s="249"/>
    </row>
    <row r="205" spans="2:21" ht="14">
      <c r="B205" s="249"/>
      <c r="C205" s="245" t="s">
        <v>551</v>
      </c>
      <c r="D205" s="244" t="s">
        <v>546</v>
      </c>
      <c r="E205" s="384">
        <v>0</v>
      </c>
      <c r="F205" s="384">
        <v>0</v>
      </c>
      <c r="G205" s="384">
        <v>0</v>
      </c>
      <c r="H205" s="384">
        <v>0</v>
      </c>
      <c r="I205" s="357">
        <v>2010</v>
      </c>
      <c r="J205" s="266">
        <v>1</v>
      </c>
      <c r="K205" s="266">
        <v>1.1100000000000001</v>
      </c>
      <c r="L205" s="243">
        <v>1.1100000000000001</v>
      </c>
      <c r="M205" s="242"/>
      <c r="N205" s="241">
        <v>0</v>
      </c>
      <c r="O205" s="241">
        <v>0</v>
      </c>
      <c r="P205" s="241">
        <v>0</v>
      </c>
      <c r="Q205" s="241">
        <v>0</v>
      </c>
      <c r="R205" s="243">
        <v>0</v>
      </c>
      <c r="S205" s="244"/>
      <c r="T205" s="390" t="s">
        <v>556</v>
      </c>
      <c r="U205" s="249"/>
    </row>
    <row r="206" spans="2:21" ht="14">
      <c r="B206" s="249"/>
      <c r="C206" s="245" t="s">
        <v>552</v>
      </c>
      <c r="D206" s="244" t="s">
        <v>546</v>
      </c>
      <c r="E206" s="384">
        <v>0</v>
      </c>
      <c r="F206" s="384">
        <v>0</v>
      </c>
      <c r="G206" s="384">
        <v>0</v>
      </c>
      <c r="H206" s="384">
        <v>0</v>
      </c>
      <c r="I206" s="357">
        <v>2010</v>
      </c>
      <c r="J206" s="266">
        <v>1</v>
      </c>
      <c r="K206" s="266">
        <v>1.1100000000000001</v>
      </c>
      <c r="L206" s="243">
        <v>1.1100000000000001</v>
      </c>
      <c r="M206" s="242"/>
      <c r="N206" s="241">
        <v>0</v>
      </c>
      <c r="O206" s="241">
        <v>0</v>
      </c>
      <c r="P206" s="241">
        <v>0</v>
      </c>
      <c r="Q206" s="241">
        <v>0</v>
      </c>
      <c r="R206" s="243">
        <v>0</v>
      </c>
      <c r="S206" s="244"/>
      <c r="T206" s="390" t="s">
        <v>556</v>
      </c>
      <c r="U206" s="249"/>
    </row>
    <row r="207" spans="2:21" ht="14">
      <c r="B207" s="249"/>
      <c r="C207" s="245" t="s">
        <v>553</v>
      </c>
      <c r="D207" s="244" t="s">
        <v>546</v>
      </c>
      <c r="E207" s="384">
        <v>0</v>
      </c>
      <c r="F207" s="384">
        <v>0</v>
      </c>
      <c r="G207" s="384">
        <v>0</v>
      </c>
      <c r="H207" s="384">
        <v>0</v>
      </c>
      <c r="I207" s="357">
        <v>2010</v>
      </c>
      <c r="J207" s="266">
        <v>1</v>
      </c>
      <c r="K207" s="266">
        <v>1.1100000000000001</v>
      </c>
      <c r="L207" s="243">
        <v>1.1100000000000001</v>
      </c>
      <c r="M207" s="242"/>
      <c r="N207" s="241">
        <v>0</v>
      </c>
      <c r="O207" s="241">
        <v>0</v>
      </c>
      <c r="P207" s="241">
        <v>0</v>
      </c>
      <c r="Q207" s="241">
        <v>0</v>
      </c>
      <c r="R207" s="243">
        <v>0</v>
      </c>
      <c r="S207" s="244"/>
      <c r="T207" s="390" t="s">
        <v>556</v>
      </c>
      <c r="U207" s="249"/>
    </row>
    <row r="208" spans="2:21" ht="14">
      <c r="B208" s="249"/>
      <c r="C208" s="245" t="s">
        <v>651</v>
      </c>
      <c r="D208" s="244" t="s">
        <v>379</v>
      </c>
      <c r="E208" s="275">
        <v>467.1</v>
      </c>
      <c r="F208" s="275">
        <v>287.89999999999998</v>
      </c>
      <c r="G208" s="275">
        <v>355.4</v>
      </c>
      <c r="H208" s="269">
        <v>357.4</v>
      </c>
      <c r="I208" s="235">
        <v>2015</v>
      </c>
      <c r="J208" s="266">
        <v>1</v>
      </c>
      <c r="K208" s="266">
        <v>1</v>
      </c>
      <c r="L208" s="243">
        <v>1</v>
      </c>
      <c r="M208" s="242"/>
      <c r="N208" s="241">
        <v>467.1</v>
      </c>
      <c r="O208" s="241">
        <v>287.89999999999998</v>
      </c>
      <c r="P208" s="241">
        <v>355.4</v>
      </c>
      <c r="Q208" s="241">
        <v>357.4</v>
      </c>
      <c r="R208" s="241">
        <v>467.1</v>
      </c>
      <c r="S208" s="244"/>
      <c r="T208" s="236" t="s">
        <v>652</v>
      </c>
      <c r="U208" s="249"/>
    </row>
    <row r="209" spans="2:21" ht="14">
      <c r="B209" s="249"/>
      <c r="C209" s="245"/>
      <c r="D209" s="244"/>
      <c r="E209" s="275"/>
      <c r="F209" s="275"/>
      <c r="G209" s="275"/>
      <c r="H209" s="269"/>
      <c r="I209" s="235"/>
      <c r="J209" s="266"/>
      <c r="K209" s="266"/>
      <c r="L209" s="243"/>
      <c r="M209" s="242"/>
      <c r="N209" s="241"/>
      <c r="O209" s="241"/>
      <c r="P209" s="241"/>
      <c r="Q209" s="241"/>
      <c r="R209" s="241"/>
      <c r="S209" s="244"/>
      <c r="T209" s="236"/>
      <c r="U209" s="249"/>
    </row>
    <row r="210" spans="2:21" ht="14">
      <c r="B210" s="249"/>
      <c r="C210" s="245"/>
      <c r="D210" s="244"/>
      <c r="E210" s="275"/>
      <c r="F210" s="275"/>
      <c r="G210" s="275"/>
      <c r="H210" s="269"/>
      <c r="I210" s="235"/>
      <c r="J210" s="266"/>
      <c r="K210" s="266"/>
      <c r="L210" s="243"/>
      <c r="M210" s="242"/>
      <c r="N210" s="241"/>
      <c r="O210" s="241"/>
      <c r="P210" s="241"/>
      <c r="Q210" s="241"/>
      <c r="R210" s="241"/>
      <c r="S210" s="244"/>
      <c r="T210" s="236"/>
      <c r="U210" s="249"/>
    </row>
    <row r="211" spans="2:21" ht="14">
      <c r="B211" s="249"/>
      <c r="C211" s="245"/>
      <c r="D211" s="244"/>
      <c r="E211" s="275"/>
      <c r="F211" s="275"/>
      <c r="G211" s="275"/>
      <c r="H211" s="269"/>
      <c r="I211" s="235"/>
      <c r="J211" s="266"/>
      <c r="K211" s="266"/>
      <c r="L211" s="243"/>
      <c r="M211" s="242"/>
      <c r="N211" s="241"/>
      <c r="O211" s="241"/>
      <c r="P211" s="241"/>
      <c r="Q211" s="241"/>
      <c r="R211" s="241"/>
      <c r="S211" s="244"/>
      <c r="T211" s="236"/>
      <c r="U211" s="249"/>
    </row>
    <row r="212" spans="2:21" ht="14">
      <c r="B212" s="249"/>
      <c r="C212" s="245"/>
      <c r="D212" s="244"/>
      <c r="E212" s="275"/>
      <c r="F212" s="275"/>
      <c r="G212" s="275"/>
      <c r="H212" s="269"/>
      <c r="I212" s="235"/>
      <c r="J212" s="266"/>
      <c r="K212" s="266"/>
      <c r="L212" s="243"/>
      <c r="M212" s="242"/>
      <c r="N212" s="241"/>
      <c r="O212" s="241"/>
      <c r="P212" s="241"/>
      <c r="Q212" s="241"/>
      <c r="R212" s="241"/>
      <c r="S212" s="244"/>
      <c r="T212" s="236"/>
      <c r="U212" s="249"/>
    </row>
    <row r="213" spans="2:21" ht="15" thickBot="1">
      <c r="B213" s="249"/>
      <c r="C213" s="234"/>
      <c r="D213" s="233"/>
      <c r="E213" s="277"/>
      <c r="F213" s="277"/>
      <c r="G213" s="277"/>
      <c r="H213" s="278"/>
      <c r="I213" s="232"/>
      <c r="J213" s="267"/>
      <c r="K213" s="267"/>
      <c r="L213" s="231"/>
      <c r="M213" s="230"/>
      <c r="N213" s="229"/>
      <c r="O213" s="229"/>
      <c r="P213" s="229"/>
      <c r="Q213" s="229"/>
      <c r="R213" s="229"/>
      <c r="S213" s="233"/>
      <c r="T213" s="228"/>
      <c r="U213" s="249"/>
    </row>
    <row r="214" spans="2:21" ht="15" thickBot="1">
      <c r="B214" s="249"/>
      <c r="C214" s="227" t="s">
        <v>554</v>
      </c>
      <c r="D214" s="226"/>
      <c r="E214" s="226">
        <v>1</v>
      </c>
      <c r="F214" s="226"/>
      <c r="G214" s="226"/>
      <c r="H214" s="226"/>
      <c r="I214" s="226">
        <v>2005</v>
      </c>
      <c r="J214" s="268">
        <v>1</v>
      </c>
      <c r="K214" s="268">
        <v>1.2689999999999999</v>
      </c>
      <c r="L214" s="225">
        <v>0.78800000000000003</v>
      </c>
      <c r="M214" s="225"/>
      <c r="N214" s="226"/>
      <c r="O214" s="226"/>
      <c r="P214" s="226"/>
      <c r="Q214" s="226"/>
      <c r="R214" s="226"/>
      <c r="S214" s="228"/>
      <c r="T214" s="249"/>
      <c r="U214" s="249"/>
    </row>
    <row r="215" spans="2:21" ht="14">
      <c r="B215" s="249"/>
      <c r="C215" s="471" t="s">
        <v>555</v>
      </c>
      <c r="D215" s="249"/>
      <c r="E215" s="249"/>
      <c r="F215" s="249"/>
      <c r="G215" s="249"/>
      <c r="H215" s="249"/>
      <c r="I215" s="249"/>
      <c r="J215" s="249"/>
      <c r="K215" s="249"/>
      <c r="L215" s="249"/>
      <c r="M215" s="249"/>
      <c r="N215" s="249"/>
      <c r="O215" s="249"/>
      <c r="P215" s="249"/>
      <c r="Q215" s="249"/>
      <c r="R215" s="249"/>
      <c r="S215" s="249"/>
      <c r="T215" s="249"/>
      <c r="U215" s="249"/>
    </row>
    <row r="216" spans="2:21" ht="14">
      <c r="B216" s="249"/>
      <c r="C216" s="472" t="s">
        <v>653</v>
      </c>
      <c r="D216" s="249"/>
      <c r="E216" s="249"/>
      <c r="F216" s="249"/>
      <c r="G216" s="249"/>
      <c r="H216" s="249"/>
      <c r="I216" s="249"/>
      <c r="J216" s="249"/>
      <c r="K216" s="249"/>
      <c r="L216" s="249"/>
      <c r="M216" s="249"/>
      <c r="N216" s="249"/>
      <c r="O216" s="249"/>
      <c r="P216" s="249"/>
      <c r="Q216" s="249"/>
      <c r="R216" s="249"/>
      <c r="S216" s="249"/>
      <c r="T216" s="249"/>
      <c r="U216" s="24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8">
    <tabColor theme="4"/>
  </sheetPr>
  <dimension ref="A1:AY42"/>
  <sheetViews>
    <sheetView workbookViewId="0">
      <pane xSplit="2" topLeftCell="C1" activePane="topRight" state="frozen"/>
      <selection activeCell="A6" sqref="A6"/>
      <selection pane="topRight" activeCell="B1" sqref="B1:B2"/>
    </sheetView>
  </sheetViews>
  <sheetFormatPr baseColWidth="10" defaultColWidth="8.5" defaultRowHeight="13"/>
  <cols>
    <col min="1" max="1" width="32.5" bestFit="1" customWidth="1"/>
    <col min="2" max="2" width="40.5" bestFit="1" customWidth="1"/>
    <col min="3" max="3" width="20.5" bestFit="1" customWidth="1"/>
    <col min="4" max="6" width="11.1640625" bestFit="1" customWidth="1"/>
    <col min="7" max="7" width="13.1640625" bestFit="1" customWidth="1"/>
    <col min="8" max="11" width="11.1640625" bestFit="1" customWidth="1"/>
    <col min="12" max="12" width="19" bestFit="1" customWidth="1"/>
    <col min="13" max="49" width="11.1640625" bestFit="1" customWidth="1"/>
    <col min="51" max="51" width="16.5" bestFit="1" customWidth="1"/>
  </cols>
  <sheetData>
    <row r="1" spans="1:51" ht="15" thickBot="1">
      <c r="A1" s="1372" t="s">
        <v>101</v>
      </c>
      <c r="B1" s="1373" t="s">
        <v>102</v>
      </c>
      <c r="C1" s="1375" t="s">
        <v>103</v>
      </c>
      <c r="D1" s="1375" t="s">
        <v>104</v>
      </c>
      <c r="E1" s="1365" t="s">
        <v>105</v>
      </c>
      <c r="F1" s="1377"/>
      <c r="G1" s="1378" t="s">
        <v>106</v>
      </c>
      <c r="H1" s="1378"/>
      <c r="I1" s="1365" t="s">
        <v>107</v>
      </c>
      <c r="J1" s="1367" t="s">
        <v>108</v>
      </c>
    </row>
    <row r="2" spans="1:51" ht="15" thickBot="1">
      <c r="A2" s="1372"/>
      <c r="B2" s="1374"/>
      <c r="C2" s="1376"/>
      <c r="D2" s="1376"/>
      <c r="E2" s="56" t="s">
        <v>110</v>
      </c>
      <c r="F2" s="25" t="s">
        <v>111</v>
      </c>
      <c r="G2" s="26" t="s">
        <v>110</v>
      </c>
      <c r="H2" s="26" t="s">
        <v>111</v>
      </c>
      <c r="I2" s="1366"/>
      <c r="J2" s="1368"/>
      <c r="L2" s="57" t="s">
        <v>161</v>
      </c>
      <c r="M2" s="1369" t="s">
        <v>162</v>
      </c>
      <c r="N2" s="1370"/>
      <c r="O2" s="1370"/>
      <c r="P2" s="1371"/>
    </row>
    <row r="3" spans="1:51" ht="14">
      <c r="A3" s="27" t="s">
        <v>112</v>
      </c>
      <c r="B3" s="28" t="str">
        <f>+B1</f>
        <v>Navn</v>
      </c>
      <c r="C3" s="29" t="s">
        <v>103</v>
      </c>
      <c r="D3" s="30" t="str">
        <f>+D1</f>
        <v>Enhed</v>
      </c>
      <c r="E3" s="31" t="str">
        <f>+E2</f>
        <v>Rækker</v>
      </c>
      <c r="F3" s="32" t="str">
        <f>+F2</f>
        <v>Søjler</v>
      </c>
      <c r="G3" s="30" t="str">
        <f>+G2</f>
        <v>Rækker</v>
      </c>
      <c r="H3" s="30" t="str">
        <f>+H2</f>
        <v>Søjler</v>
      </c>
      <c r="I3" s="31" t="str">
        <f>+I1</f>
        <v>Første år</v>
      </c>
      <c r="J3" s="33" t="str">
        <f>+J1</f>
        <v>Sidste år</v>
      </c>
    </row>
    <row r="4" spans="1:51" ht="31" thickBot="1">
      <c r="A4" s="34"/>
      <c r="B4" s="35" t="s">
        <v>113</v>
      </c>
      <c r="C4" s="36" t="s">
        <v>114</v>
      </c>
      <c r="D4" s="37" t="s">
        <v>115</v>
      </c>
      <c r="E4" s="38">
        <v>120</v>
      </c>
      <c r="F4" s="39">
        <v>46</v>
      </c>
      <c r="G4" s="37" t="s">
        <v>116</v>
      </c>
      <c r="H4" s="37" t="s">
        <v>117</v>
      </c>
      <c r="I4" s="38">
        <v>1966</v>
      </c>
      <c r="J4" s="40">
        <v>2012</v>
      </c>
    </row>
    <row r="6" spans="1:51" ht="16">
      <c r="A6" s="68" t="s">
        <v>109</v>
      </c>
      <c r="B6" s="69"/>
      <c r="C6" s="69"/>
    </row>
    <row r="7" spans="1:51" ht="15">
      <c r="A7" s="70"/>
      <c r="B7" s="70"/>
      <c r="C7" s="71"/>
    </row>
    <row r="8" spans="1:51" ht="15">
      <c r="A8" s="72" t="s">
        <v>163</v>
      </c>
      <c r="B8" s="72" t="s">
        <v>164</v>
      </c>
      <c r="C8" s="72" t="s">
        <v>170</v>
      </c>
    </row>
    <row r="9" spans="1:51" ht="15">
      <c r="A9" s="73" t="s">
        <v>119</v>
      </c>
      <c r="B9" s="73" t="s">
        <v>118</v>
      </c>
      <c r="C9" s="73" t="s">
        <v>120</v>
      </c>
      <c r="AU9">
        <f>('MIN-IMP-EXP_Data'!AU25+'MIN-IMP-EXP_Data'!AU26+'MIN-IMP-EXP_Data'!AU27)*10^-6</f>
        <v>93.795397999999992</v>
      </c>
    </row>
    <row r="13" spans="1:51" ht="14" thickBot="1">
      <c r="A13" s="55" t="s">
        <v>169</v>
      </c>
    </row>
    <row r="14" spans="1:51" ht="34" thickTop="1" thickBot="1">
      <c r="A14" s="41" t="s">
        <v>136</v>
      </c>
      <c r="B14" s="42" t="s">
        <v>137</v>
      </c>
      <c r="C14" s="43">
        <v>1966</v>
      </c>
      <c r="D14" s="44">
        <v>1967</v>
      </c>
      <c r="E14" s="44">
        <v>1968</v>
      </c>
      <c r="F14" s="44">
        <v>1969</v>
      </c>
      <c r="G14" s="44">
        <v>1970</v>
      </c>
      <c r="H14" s="44">
        <v>1971</v>
      </c>
      <c r="I14" s="44">
        <v>1972</v>
      </c>
      <c r="J14" s="44">
        <v>1973</v>
      </c>
      <c r="K14" s="44">
        <v>1974</v>
      </c>
      <c r="L14" s="44">
        <v>1975</v>
      </c>
      <c r="M14" s="44">
        <v>1976</v>
      </c>
      <c r="N14" s="44">
        <v>1977</v>
      </c>
      <c r="O14" s="44">
        <v>1978</v>
      </c>
      <c r="P14" s="44">
        <v>1979</v>
      </c>
      <c r="Q14" s="44">
        <v>1980</v>
      </c>
      <c r="R14" s="44">
        <v>1981</v>
      </c>
      <c r="S14" s="44">
        <v>1982</v>
      </c>
      <c r="T14" s="44">
        <v>1983</v>
      </c>
      <c r="U14" s="44">
        <v>1984</v>
      </c>
      <c r="V14" s="44">
        <v>1985</v>
      </c>
      <c r="W14" s="44">
        <v>1986</v>
      </c>
      <c r="X14" s="44">
        <v>1987</v>
      </c>
      <c r="Y14" s="44">
        <v>1988</v>
      </c>
      <c r="Z14" s="44">
        <v>1989</v>
      </c>
      <c r="AA14" s="44">
        <v>1990</v>
      </c>
      <c r="AB14" s="44">
        <v>1991</v>
      </c>
      <c r="AC14" s="44">
        <v>1992</v>
      </c>
      <c r="AD14" s="44">
        <v>1993</v>
      </c>
      <c r="AE14" s="44">
        <v>1994</v>
      </c>
      <c r="AF14" s="44">
        <v>1995</v>
      </c>
      <c r="AG14" s="44">
        <v>1996</v>
      </c>
      <c r="AH14" s="44">
        <v>1997</v>
      </c>
      <c r="AI14" s="44">
        <v>1998</v>
      </c>
      <c r="AJ14" s="44">
        <v>1999</v>
      </c>
      <c r="AK14" s="44">
        <v>2000</v>
      </c>
      <c r="AL14" s="44">
        <v>2001</v>
      </c>
      <c r="AM14" s="44">
        <v>2002</v>
      </c>
      <c r="AN14" s="44">
        <v>2003</v>
      </c>
      <c r="AO14" s="44">
        <v>2004</v>
      </c>
      <c r="AP14" s="44">
        <v>2005</v>
      </c>
      <c r="AQ14" s="44">
        <v>2006</v>
      </c>
      <c r="AR14" s="44">
        <v>2007</v>
      </c>
      <c r="AS14" s="44">
        <v>2008</v>
      </c>
      <c r="AT14" s="44">
        <v>2009</v>
      </c>
      <c r="AU14" s="44">
        <v>2010</v>
      </c>
      <c r="AV14" s="44">
        <v>2011</v>
      </c>
      <c r="AW14" s="45">
        <v>2012</v>
      </c>
      <c r="AY14" s="23" t="s">
        <v>172</v>
      </c>
    </row>
    <row r="15" spans="1:51" ht="15">
      <c r="A15" s="58" t="s">
        <v>163</v>
      </c>
      <c r="B15" s="59" t="s">
        <v>142</v>
      </c>
      <c r="C15" s="60">
        <v>0</v>
      </c>
      <c r="D15" s="61">
        <v>0</v>
      </c>
      <c r="E15" s="61">
        <v>0</v>
      </c>
      <c r="F15" s="61">
        <v>0</v>
      </c>
      <c r="G15" s="61">
        <v>0</v>
      </c>
      <c r="H15" s="61">
        <v>0</v>
      </c>
      <c r="I15" s="61">
        <v>3943200</v>
      </c>
      <c r="J15" s="61">
        <v>5851200</v>
      </c>
      <c r="K15" s="61">
        <v>3816000</v>
      </c>
      <c r="L15" s="61">
        <v>7038400</v>
      </c>
      <c r="M15" s="61">
        <v>8417036</v>
      </c>
      <c r="N15" s="61">
        <v>21802080</v>
      </c>
      <c r="O15" s="61">
        <v>18235138</v>
      </c>
      <c r="P15" s="61">
        <v>17871091</v>
      </c>
      <c r="Q15" s="61">
        <v>11870855</v>
      </c>
      <c r="R15" s="61">
        <v>32227731</v>
      </c>
      <c r="S15" s="61">
        <v>70507723</v>
      </c>
      <c r="T15" s="61">
        <v>91105389</v>
      </c>
      <c r="U15" s="61">
        <v>94094292</v>
      </c>
      <c r="V15" s="61">
        <v>120982803</v>
      </c>
      <c r="W15" s="61">
        <v>154620031</v>
      </c>
      <c r="X15" s="61">
        <v>196484178</v>
      </c>
      <c r="Y15" s="61">
        <v>202144405</v>
      </c>
      <c r="Z15" s="61">
        <v>236154058</v>
      </c>
      <c r="AA15" s="61">
        <v>255958660</v>
      </c>
      <c r="AB15" s="61">
        <v>298602296</v>
      </c>
      <c r="AC15" s="61">
        <v>331178681</v>
      </c>
      <c r="AD15" s="61">
        <v>352919428</v>
      </c>
      <c r="AE15" s="61">
        <v>389346927</v>
      </c>
      <c r="AF15" s="61">
        <v>391563313</v>
      </c>
      <c r="AG15" s="61">
        <v>432220203</v>
      </c>
      <c r="AH15" s="61">
        <v>479242009</v>
      </c>
      <c r="AI15" s="61">
        <v>491587352</v>
      </c>
      <c r="AJ15" s="61">
        <v>621996548</v>
      </c>
      <c r="AK15" s="61">
        <v>764525681</v>
      </c>
      <c r="AL15" s="61">
        <v>726121091</v>
      </c>
      <c r="AM15" s="61">
        <v>780149645</v>
      </c>
      <c r="AN15" s="61">
        <v>780139669</v>
      </c>
      <c r="AO15" s="61">
        <v>828270558</v>
      </c>
      <c r="AP15" s="61">
        <v>796223690</v>
      </c>
      <c r="AQ15" s="61">
        <v>724062380</v>
      </c>
      <c r="AR15" s="61">
        <v>652260507</v>
      </c>
      <c r="AS15" s="61">
        <v>603525081</v>
      </c>
      <c r="AT15" s="61">
        <v>554826033</v>
      </c>
      <c r="AU15" s="61">
        <v>525175985</v>
      </c>
      <c r="AV15" s="61">
        <v>471290965</v>
      </c>
      <c r="AW15" s="62">
        <v>430009460</v>
      </c>
      <c r="AY15" s="50">
        <f>MAX(AK15:AW15)</f>
        <v>828270558</v>
      </c>
    </row>
    <row r="16" spans="1:51" ht="15">
      <c r="A16" s="46" t="s">
        <v>164</v>
      </c>
      <c r="B16" s="24" t="s">
        <v>142</v>
      </c>
      <c r="C16" s="47">
        <v>196941298</v>
      </c>
      <c r="D16" s="48">
        <v>277214038</v>
      </c>
      <c r="E16" s="48">
        <v>286342334</v>
      </c>
      <c r="F16" s="48">
        <v>388734091</v>
      </c>
      <c r="G16" s="48">
        <v>429165846</v>
      </c>
      <c r="H16" s="48">
        <v>452172421</v>
      </c>
      <c r="I16" s="48">
        <v>418706948</v>
      </c>
      <c r="J16" s="48">
        <v>413649094</v>
      </c>
      <c r="K16" s="48">
        <v>396674048</v>
      </c>
      <c r="L16" s="48">
        <v>335615589</v>
      </c>
      <c r="M16" s="48">
        <v>321557233</v>
      </c>
      <c r="N16" s="48">
        <v>311044916</v>
      </c>
      <c r="O16" s="48">
        <v>327532538</v>
      </c>
      <c r="P16" s="48">
        <v>337192318</v>
      </c>
      <c r="Q16" s="48">
        <v>244395762</v>
      </c>
      <c r="R16" s="48">
        <v>214909789</v>
      </c>
      <c r="S16" s="48">
        <v>171458496</v>
      </c>
      <c r="T16" s="48">
        <v>225247211</v>
      </c>
      <c r="U16" s="48">
        <v>224562410</v>
      </c>
      <c r="V16" s="48">
        <v>203795189</v>
      </c>
      <c r="W16" s="48">
        <v>182507705</v>
      </c>
      <c r="X16" s="48">
        <v>179713926</v>
      </c>
      <c r="Y16" s="48">
        <v>191400808</v>
      </c>
      <c r="Z16" s="48">
        <v>183504868</v>
      </c>
      <c r="AA16" s="48">
        <v>174344602</v>
      </c>
      <c r="AB16" s="48">
        <v>216764827</v>
      </c>
      <c r="AC16" s="48">
        <v>222381725</v>
      </c>
      <c r="AD16" s="48">
        <v>215692870</v>
      </c>
      <c r="AE16" s="48">
        <v>224694787</v>
      </c>
      <c r="AF16" s="48">
        <v>228986000</v>
      </c>
      <c r="AG16" s="48">
        <v>234594868</v>
      </c>
      <c r="AH16" s="48">
        <v>186062075</v>
      </c>
      <c r="AI16" s="48">
        <v>202439141</v>
      </c>
      <c r="AJ16" s="48">
        <v>194807415</v>
      </c>
      <c r="AK16" s="48">
        <v>159349314</v>
      </c>
      <c r="AL16" s="48">
        <v>130795852</v>
      </c>
      <c r="AM16" s="48">
        <v>140204037</v>
      </c>
      <c r="AN16" s="48">
        <v>150155484</v>
      </c>
      <c r="AO16" s="48">
        <v>160588660</v>
      </c>
      <c r="AP16" s="48">
        <v>116941725</v>
      </c>
      <c r="AQ16" s="48">
        <v>116460856</v>
      </c>
      <c r="AR16" s="48">
        <v>87380816</v>
      </c>
      <c r="AS16" s="48">
        <v>101651484</v>
      </c>
      <c r="AT16" s="48">
        <v>150972441</v>
      </c>
      <c r="AU16" s="48">
        <v>116616731</v>
      </c>
      <c r="AV16" s="48">
        <v>112892716</v>
      </c>
      <c r="AW16" s="49">
        <v>135466598</v>
      </c>
      <c r="AY16" s="50">
        <f t="shared" ref="AY16:AY41" si="0">MAX(AK16:AW16)</f>
        <v>160588660</v>
      </c>
    </row>
    <row r="17" spans="1:51" ht="15">
      <c r="A17" s="46" t="s">
        <v>164</v>
      </c>
      <c r="B17" s="80" t="s">
        <v>165</v>
      </c>
      <c r="C17" s="47">
        <v>0</v>
      </c>
      <c r="D17" s="48">
        <v>0</v>
      </c>
      <c r="E17" s="48">
        <v>0</v>
      </c>
      <c r="F17" s="48">
        <v>0</v>
      </c>
      <c r="G17" s="48">
        <v>0</v>
      </c>
      <c r="H17" s="48">
        <v>0</v>
      </c>
      <c r="I17" s="48">
        <v>0</v>
      </c>
      <c r="J17" s="48">
        <v>0</v>
      </c>
      <c r="K17" s="48">
        <v>1007677</v>
      </c>
      <c r="L17" s="48">
        <v>3453</v>
      </c>
      <c r="M17" s="48">
        <v>6843491</v>
      </c>
      <c r="N17" s="48">
        <v>7373766</v>
      </c>
      <c r="O17" s="48">
        <v>6215206</v>
      </c>
      <c r="P17" s="48">
        <v>45518013</v>
      </c>
      <c r="Q17" s="48">
        <v>43374006</v>
      </c>
      <c r="R17" s="48">
        <v>27077992</v>
      </c>
      <c r="S17" s="48">
        <v>38060467</v>
      </c>
      <c r="T17" s="48">
        <v>24187070</v>
      </c>
      <c r="U17" s="48">
        <v>31302961</v>
      </c>
      <c r="V17" s="48">
        <v>47546206</v>
      </c>
      <c r="W17" s="48">
        <v>53675970</v>
      </c>
      <c r="X17" s="48">
        <v>45690104</v>
      </c>
      <c r="Y17" s="48">
        <v>26849070</v>
      </c>
      <c r="Z17" s="48">
        <v>37413510</v>
      </c>
      <c r="AA17" s="48">
        <v>28896669</v>
      </c>
      <c r="AB17" s="48">
        <v>24512179</v>
      </c>
      <c r="AC17" s="48">
        <v>24181337</v>
      </c>
      <c r="AD17" s="48">
        <v>30738686</v>
      </c>
      <c r="AE17" s="48">
        <v>19418975</v>
      </c>
      <c r="AF17" s="48">
        <v>20788331</v>
      </c>
      <c r="AG17" s="48">
        <v>11654274</v>
      </c>
      <c r="AH17" s="48">
        <v>4533207</v>
      </c>
      <c r="AI17" s="48">
        <v>9675167</v>
      </c>
      <c r="AJ17" s="48">
        <v>2391359</v>
      </c>
      <c r="AK17" s="48">
        <v>2978521</v>
      </c>
      <c r="AL17" s="48">
        <v>2441311</v>
      </c>
      <c r="AM17" s="48">
        <v>4867367</v>
      </c>
      <c r="AN17" s="48">
        <v>3213358</v>
      </c>
      <c r="AO17" s="48">
        <v>1481007</v>
      </c>
      <c r="AP17" s="48">
        <v>2938494</v>
      </c>
      <c r="AQ17" s="48">
        <v>6643309</v>
      </c>
      <c r="AR17" s="48">
        <v>3534535</v>
      </c>
      <c r="AS17" s="48">
        <v>15610181</v>
      </c>
      <c r="AT17" s="48">
        <v>11392403</v>
      </c>
      <c r="AU17" s="48">
        <v>7738385</v>
      </c>
      <c r="AV17" s="48">
        <v>5023583</v>
      </c>
      <c r="AW17" s="49">
        <v>3242595</v>
      </c>
      <c r="AY17" s="50">
        <f t="shared" si="0"/>
        <v>15610181</v>
      </c>
    </row>
    <row r="18" spans="1:51" ht="15">
      <c r="A18" s="46" t="s">
        <v>164</v>
      </c>
      <c r="B18" s="24" t="s">
        <v>98</v>
      </c>
      <c r="C18" s="47">
        <v>0</v>
      </c>
      <c r="D18" s="48">
        <v>0</v>
      </c>
      <c r="E18" s="48">
        <v>0</v>
      </c>
      <c r="F18" s="48">
        <v>0</v>
      </c>
      <c r="G18" s="48">
        <v>0</v>
      </c>
      <c r="H18" s="48">
        <v>0</v>
      </c>
      <c r="I18" s="48">
        <v>0</v>
      </c>
      <c r="J18" s="48">
        <v>0</v>
      </c>
      <c r="K18" s="48">
        <v>0</v>
      </c>
      <c r="L18" s="48">
        <v>0</v>
      </c>
      <c r="M18" s="48">
        <v>0</v>
      </c>
      <c r="N18" s="48">
        <v>0</v>
      </c>
      <c r="O18" s="48">
        <v>0</v>
      </c>
      <c r="P18" s="48">
        <v>0</v>
      </c>
      <c r="Q18" s="48">
        <v>0</v>
      </c>
      <c r="R18" s="48">
        <v>0</v>
      </c>
      <c r="S18" s="48">
        <v>0</v>
      </c>
      <c r="T18" s="48">
        <v>0</v>
      </c>
      <c r="U18" s="48">
        <v>0</v>
      </c>
      <c r="V18" s="48">
        <v>0</v>
      </c>
      <c r="W18" s="48">
        <v>0</v>
      </c>
      <c r="X18" s="48">
        <v>0</v>
      </c>
      <c r="Y18" s="48">
        <v>0</v>
      </c>
      <c r="Z18" s="48">
        <v>0</v>
      </c>
      <c r="AA18" s="48">
        <v>0</v>
      </c>
      <c r="AB18" s="48">
        <v>0</v>
      </c>
      <c r="AC18" s="48">
        <v>0</v>
      </c>
      <c r="AD18" s="48">
        <v>0</v>
      </c>
      <c r="AE18" s="48">
        <v>0</v>
      </c>
      <c r="AF18" s="48">
        <v>0</v>
      </c>
      <c r="AG18" s="48">
        <v>0</v>
      </c>
      <c r="AH18" s="48">
        <v>0</v>
      </c>
      <c r="AI18" s="48">
        <v>0</v>
      </c>
      <c r="AJ18" s="48">
        <v>0</v>
      </c>
      <c r="AK18" s="48">
        <v>0</v>
      </c>
      <c r="AL18" s="48">
        <v>0</v>
      </c>
      <c r="AM18" s="48">
        <v>0</v>
      </c>
      <c r="AN18" s="48">
        <v>0</v>
      </c>
      <c r="AO18" s="48">
        <v>0</v>
      </c>
      <c r="AP18" s="48">
        <v>0</v>
      </c>
      <c r="AQ18" s="48">
        <v>0</v>
      </c>
      <c r="AR18" s="48">
        <v>0</v>
      </c>
      <c r="AS18" s="48">
        <v>0</v>
      </c>
      <c r="AT18" s="48">
        <v>0</v>
      </c>
      <c r="AU18" s="48">
        <v>0</v>
      </c>
      <c r="AV18" s="48">
        <v>0</v>
      </c>
      <c r="AW18" s="49">
        <v>0</v>
      </c>
      <c r="AY18" s="50">
        <f t="shared" si="0"/>
        <v>0</v>
      </c>
    </row>
    <row r="19" spans="1:51" ht="15">
      <c r="A19" s="46" t="s">
        <v>164</v>
      </c>
      <c r="B19" s="24" t="s">
        <v>75</v>
      </c>
      <c r="C19" s="47">
        <v>4258396</v>
      </c>
      <c r="D19" s="48">
        <v>3579987</v>
      </c>
      <c r="E19" s="48">
        <v>4006136</v>
      </c>
      <c r="F19" s="48">
        <v>4193671</v>
      </c>
      <c r="G19" s="48">
        <v>5051592</v>
      </c>
      <c r="H19" s="48">
        <v>4893607</v>
      </c>
      <c r="I19" s="48">
        <v>5369083</v>
      </c>
      <c r="J19" s="48">
        <v>5340316</v>
      </c>
      <c r="K19" s="48">
        <v>4751619</v>
      </c>
      <c r="L19" s="48">
        <v>4200540</v>
      </c>
      <c r="M19" s="48">
        <v>5328837</v>
      </c>
      <c r="N19" s="48">
        <v>4900015</v>
      </c>
      <c r="O19" s="48">
        <v>4366250</v>
      </c>
      <c r="P19" s="48">
        <v>4936976</v>
      </c>
      <c r="Q19" s="48">
        <v>6731697</v>
      </c>
      <c r="R19" s="48">
        <v>7008906</v>
      </c>
      <c r="S19" s="48">
        <v>7542607</v>
      </c>
      <c r="T19" s="48">
        <v>6377538</v>
      </c>
      <c r="U19" s="48">
        <v>5409506</v>
      </c>
      <c r="V19" s="48">
        <v>5271068</v>
      </c>
      <c r="W19" s="48">
        <v>2659500</v>
      </c>
      <c r="X19" s="48">
        <v>2393277</v>
      </c>
      <c r="Y19" s="48">
        <v>1493254</v>
      </c>
      <c r="Z19" s="48">
        <v>952066</v>
      </c>
      <c r="AA19" s="48">
        <v>785376</v>
      </c>
      <c r="AB19" s="48">
        <v>794074</v>
      </c>
      <c r="AC19" s="48">
        <v>642566</v>
      </c>
      <c r="AD19" s="48">
        <v>751710</v>
      </c>
      <c r="AE19" s="48">
        <v>903691</v>
      </c>
      <c r="AF19" s="48">
        <v>842773</v>
      </c>
      <c r="AG19" s="48">
        <v>765101</v>
      </c>
      <c r="AH19" s="48">
        <v>339217</v>
      </c>
      <c r="AI19" s="48">
        <v>531812</v>
      </c>
      <c r="AJ19" s="48">
        <v>1345345</v>
      </c>
      <c r="AK19" s="48">
        <v>350106</v>
      </c>
      <c r="AL19" s="48">
        <v>306044</v>
      </c>
      <c r="AM19" s="48">
        <v>117435</v>
      </c>
      <c r="AN19" s="48">
        <v>188587</v>
      </c>
      <c r="AO19" s="48">
        <v>179630</v>
      </c>
      <c r="AP19" s="48">
        <v>275632</v>
      </c>
      <c r="AQ19" s="48">
        <v>110262</v>
      </c>
      <c r="AR19" s="48">
        <v>186208</v>
      </c>
      <c r="AS19" s="48">
        <v>737849</v>
      </c>
      <c r="AT19" s="48">
        <v>174584</v>
      </c>
      <c r="AU19" s="48">
        <v>456016</v>
      </c>
      <c r="AV19" s="48">
        <v>356960</v>
      </c>
      <c r="AW19" s="49">
        <v>3391120</v>
      </c>
      <c r="AY19" s="50">
        <f t="shared" si="0"/>
        <v>3391120</v>
      </c>
    </row>
    <row r="20" spans="1:51" ht="15">
      <c r="A20" s="46" t="s">
        <v>164</v>
      </c>
      <c r="B20" s="24" t="s">
        <v>100</v>
      </c>
      <c r="C20" s="47">
        <v>13055002</v>
      </c>
      <c r="D20" s="48">
        <v>9425232</v>
      </c>
      <c r="E20" s="48">
        <v>11776233</v>
      </c>
      <c r="F20" s="48">
        <v>10553100</v>
      </c>
      <c r="G20" s="48">
        <v>10417424</v>
      </c>
      <c r="H20" s="48">
        <v>11315524</v>
      </c>
      <c r="I20" s="48">
        <v>15900511</v>
      </c>
      <c r="J20" s="48">
        <v>18780037</v>
      </c>
      <c r="K20" s="48">
        <v>13993385</v>
      </c>
      <c r="L20" s="48">
        <v>13183502</v>
      </c>
      <c r="M20" s="48">
        <v>14846115</v>
      </c>
      <c r="N20" s="48">
        <v>15632465</v>
      </c>
      <c r="O20" s="48">
        <v>7156968</v>
      </c>
      <c r="P20" s="48">
        <v>2988668</v>
      </c>
      <c r="Q20" s="48">
        <v>2408595</v>
      </c>
      <c r="R20" s="48">
        <v>5199932</v>
      </c>
      <c r="S20" s="48">
        <v>6027608</v>
      </c>
      <c r="T20" s="48">
        <v>3657496</v>
      </c>
      <c r="U20" s="48">
        <v>2392517</v>
      </c>
      <c r="V20" s="48">
        <v>2787342</v>
      </c>
      <c r="W20" s="48">
        <v>1900915</v>
      </c>
      <c r="X20" s="48">
        <v>1923866</v>
      </c>
      <c r="Y20" s="48">
        <v>5521001</v>
      </c>
      <c r="Z20" s="48">
        <v>4668412</v>
      </c>
      <c r="AA20" s="48">
        <v>4736878</v>
      </c>
      <c r="AB20" s="48">
        <v>4874213</v>
      </c>
      <c r="AC20" s="48">
        <v>5934123</v>
      </c>
      <c r="AD20" s="48">
        <v>3174491</v>
      </c>
      <c r="AE20" s="48">
        <v>3563043</v>
      </c>
      <c r="AF20" s="48">
        <v>475262</v>
      </c>
      <c r="AG20" s="48">
        <v>3117610</v>
      </c>
      <c r="AH20" s="48">
        <v>1322684</v>
      </c>
      <c r="AI20" s="48">
        <v>3071024</v>
      </c>
      <c r="AJ20" s="48">
        <v>7321139</v>
      </c>
      <c r="AK20" s="48">
        <v>5973868</v>
      </c>
      <c r="AL20" s="48">
        <v>4982020</v>
      </c>
      <c r="AM20" s="48">
        <v>8658979</v>
      </c>
      <c r="AN20" s="48">
        <v>4292582</v>
      </c>
      <c r="AO20" s="48">
        <v>4935006</v>
      </c>
      <c r="AP20" s="48">
        <v>7877746</v>
      </c>
      <c r="AQ20" s="48">
        <v>1726956</v>
      </c>
      <c r="AR20" s="48">
        <v>2750946</v>
      </c>
      <c r="AS20" s="48">
        <v>6425935</v>
      </c>
      <c r="AT20" s="48">
        <v>5337986</v>
      </c>
      <c r="AU20" s="48">
        <v>5949700</v>
      </c>
      <c r="AV20" s="48">
        <v>7728600</v>
      </c>
      <c r="AW20" s="49">
        <v>5288469</v>
      </c>
      <c r="AY20" s="50">
        <f t="shared" si="0"/>
        <v>8658979</v>
      </c>
    </row>
    <row r="21" spans="1:51" ht="15">
      <c r="A21" s="46" t="s">
        <v>164</v>
      </c>
      <c r="B21" s="24" t="s">
        <v>77</v>
      </c>
      <c r="C21" s="47">
        <v>34434729</v>
      </c>
      <c r="D21" s="48">
        <v>25095323</v>
      </c>
      <c r="E21" s="48">
        <v>27044080</v>
      </c>
      <c r="F21" s="48">
        <v>24605122</v>
      </c>
      <c r="G21" s="48">
        <v>28571844</v>
      </c>
      <c r="H21" s="48">
        <v>29139475</v>
      </c>
      <c r="I21" s="48">
        <v>31582783</v>
      </c>
      <c r="J21" s="48">
        <v>32152546</v>
      </c>
      <c r="K21" s="48">
        <v>26930676</v>
      </c>
      <c r="L21" s="48">
        <v>32971486</v>
      </c>
      <c r="M21" s="48">
        <v>36963388</v>
      </c>
      <c r="N21" s="48">
        <v>34318118</v>
      </c>
      <c r="O21" s="48">
        <v>34166680</v>
      </c>
      <c r="P21" s="48">
        <v>34417581</v>
      </c>
      <c r="Q21" s="48">
        <v>32204457</v>
      </c>
      <c r="R21" s="48">
        <v>29183656</v>
      </c>
      <c r="S21" s="48">
        <v>29407503</v>
      </c>
      <c r="T21" s="48">
        <v>26835834</v>
      </c>
      <c r="U21" s="48">
        <v>27481911</v>
      </c>
      <c r="V21" s="48">
        <v>28575748</v>
      </c>
      <c r="W21" s="48">
        <v>26409292</v>
      </c>
      <c r="X21" s="48">
        <v>30774763</v>
      </c>
      <c r="Y21" s="48">
        <v>23500474</v>
      </c>
      <c r="Z21" s="48">
        <v>24573906</v>
      </c>
      <c r="AA21" s="48">
        <v>23853830</v>
      </c>
      <c r="AB21" s="48">
        <v>26329397</v>
      </c>
      <c r="AC21" s="48">
        <v>27645293</v>
      </c>
      <c r="AD21" s="48">
        <v>33481333</v>
      </c>
      <c r="AE21" s="48">
        <v>40808791</v>
      </c>
      <c r="AF21" s="48">
        <v>31562258</v>
      </c>
      <c r="AG21" s="48">
        <v>31938057</v>
      </c>
      <c r="AH21" s="48">
        <v>42647972</v>
      </c>
      <c r="AI21" s="48">
        <v>34662909</v>
      </c>
      <c r="AJ21" s="48">
        <v>30306592</v>
      </c>
      <c r="AK21" s="48">
        <v>34695370</v>
      </c>
      <c r="AL21" s="48">
        <v>33851559</v>
      </c>
      <c r="AM21" s="48">
        <v>35509022</v>
      </c>
      <c r="AN21" s="48">
        <v>33347925</v>
      </c>
      <c r="AO21" s="48">
        <v>31811172</v>
      </c>
      <c r="AP21" s="48">
        <v>32077373</v>
      </c>
      <c r="AQ21" s="48">
        <v>31050389</v>
      </c>
      <c r="AR21" s="48">
        <v>34569632</v>
      </c>
      <c r="AS21" s="48">
        <v>26221978</v>
      </c>
      <c r="AT21" s="48">
        <v>24673627</v>
      </c>
      <c r="AU21" s="48">
        <v>21552177</v>
      </c>
      <c r="AV21" s="48">
        <v>20554416</v>
      </c>
      <c r="AW21" s="49">
        <v>17493238</v>
      </c>
      <c r="AY21" s="50">
        <f t="shared" si="0"/>
        <v>35509022</v>
      </c>
    </row>
    <row r="22" spans="1:51" ht="15">
      <c r="A22" s="46" t="s">
        <v>164</v>
      </c>
      <c r="B22" s="24" t="s">
        <v>96</v>
      </c>
      <c r="C22" s="47">
        <v>17762926</v>
      </c>
      <c r="D22" s="48">
        <v>17465214</v>
      </c>
      <c r="E22" s="48">
        <v>23471146</v>
      </c>
      <c r="F22" s="48">
        <v>25771924</v>
      </c>
      <c r="G22" s="48">
        <v>25431929</v>
      </c>
      <c r="H22" s="48">
        <v>25369007</v>
      </c>
      <c r="I22" s="48">
        <v>28575952</v>
      </c>
      <c r="J22" s="48">
        <v>29303359</v>
      </c>
      <c r="K22" s="48">
        <v>32273650</v>
      </c>
      <c r="L22" s="48">
        <v>34368934</v>
      </c>
      <c r="M22" s="48">
        <v>35729542</v>
      </c>
      <c r="N22" s="48">
        <v>37175919</v>
      </c>
      <c r="O22" s="48">
        <v>38461922</v>
      </c>
      <c r="P22" s="48">
        <v>39098768</v>
      </c>
      <c r="Q22" s="48">
        <v>35898230</v>
      </c>
      <c r="R22" s="48">
        <v>32142321</v>
      </c>
      <c r="S22" s="48">
        <v>33215329</v>
      </c>
      <c r="T22" s="48">
        <v>34724959</v>
      </c>
      <c r="U22" s="48">
        <v>33300471</v>
      </c>
      <c r="V22" s="48">
        <v>31112832</v>
      </c>
      <c r="W22" s="48">
        <v>28830827</v>
      </c>
      <c r="X22" s="48">
        <v>26655694</v>
      </c>
      <c r="Y22" s="48">
        <v>27463410</v>
      </c>
      <c r="Z22" s="48">
        <v>31669960</v>
      </c>
      <c r="AA22" s="48">
        <v>31883160</v>
      </c>
      <c r="AB22" s="48">
        <v>28514468</v>
      </c>
      <c r="AC22" s="48">
        <v>24763478</v>
      </c>
      <c r="AD22" s="48">
        <v>24224685</v>
      </c>
      <c r="AE22" s="48">
        <v>22915510</v>
      </c>
      <c r="AF22" s="48">
        <v>20682090</v>
      </c>
      <c r="AG22" s="48">
        <v>16765676</v>
      </c>
      <c r="AH22" s="48">
        <v>19066785</v>
      </c>
      <c r="AI22" s="48">
        <v>28757159</v>
      </c>
      <c r="AJ22" s="48">
        <v>27747721</v>
      </c>
      <c r="AK22" s="48">
        <v>31495822</v>
      </c>
      <c r="AL22" s="48">
        <v>30279134</v>
      </c>
      <c r="AM22" s="48">
        <v>31382466</v>
      </c>
      <c r="AN22" s="48">
        <v>19726856</v>
      </c>
      <c r="AO22" s="48">
        <v>27976699</v>
      </c>
      <c r="AP22" s="48">
        <v>39363665</v>
      </c>
      <c r="AQ22" s="48">
        <v>21383367</v>
      </c>
      <c r="AR22" s="48">
        <v>33463473</v>
      </c>
      <c r="AS22" s="48">
        <v>36723119</v>
      </c>
      <c r="AT22" s="48">
        <v>31727981</v>
      </c>
      <c r="AU22" s="48">
        <v>35424433</v>
      </c>
      <c r="AV22" s="48">
        <v>31716587</v>
      </c>
      <c r="AW22" s="49">
        <v>36679311</v>
      </c>
      <c r="AY22" s="50">
        <f t="shared" si="0"/>
        <v>39363665</v>
      </c>
    </row>
    <row r="23" spans="1:51" ht="15">
      <c r="A23" s="46" t="s">
        <v>164</v>
      </c>
      <c r="B23" s="82" t="s">
        <v>69</v>
      </c>
      <c r="C23" s="83">
        <v>103530803</v>
      </c>
      <c r="D23" s="84">
        <v>87930785</v>
      </c>
      <c r="E23" s="84">
        <v>102151935</v>
      </c>
      <c r="F23" s="84">
        <v>112426921</v>
      </c>
      <c r="G23" s="84">
        <v>146765622</v>
      </c>
      <c r="H23" s="84">
        <v>119670891</v>
      </c>
      <c r="I23" s="84">
        <v>149254261</v>
      </c>
      <c r="J23" s="84">
        <v>160035628</v>
      </c>
      <c r="K23" s="84">
        <v>144443553</v>
      </c>
      <c r="L23" s="84">
        <v>146048970</v>
      </c>
      <c r="M23" s="84">
        <v>165708783</v>
      </c>
      <c r="N23" s="84">
        <v>156985706</v>
      </c>
      <c r="O23" s="84">
        <v>153497566</v>
      </c>
      <c r="P23" s="84">
        <v>140786671</v>
      </c>
      <c r="Q23" s="84">
        <v>114613033</v>
      </c>
      <c r="R23" s="84">
        <v>91982268</v>
      </c>
      <c r="S23" s="84">
        <v>93611522</v>
      </c>
      <c r="T23" s="84">
        <v>72819077</v>
      </c>
      <c r="U23" s="84">
        <v>63815134</v>
      </c>
      <c r="V23" s="84">
        <v>71887492</v>
      </c>
      <c r="W23" s="84">
        <v>60705335</v>
      </c>
      <c r="X23" s="84">
        <v>71512887</v>
      </c>
      <c r="Y23" s="84">
        <v>57568869</v>
      </c>
      <c r="Z23" s="84">
        <v>48412451</v>
      </c>
      <c r="AA23" s="84">
        <v>42045124</v>
      </c>
      <c r="AB23" s="84">
        <v>43962655</v>
      </c>
      <c r="AC23" s="84">
        <v>39281430</v>
      </c>
      <c r="AD23" s="84">
        <v>44734033</v>
      </c>
      <c r="AE23" s="84">
        <v>44355061</v>
      </c>
      <c r="AF23" s="84">
        <v>31106888</v>
      </c>
      <c r="AG23" s="84">
        <v>29068732</v>
      </c>
      <c r="AH23" s="84">
        <v>49546528</v>
      </c>
      <c r="AI23" s="84">
        <v>53339697</v>
      </c>
      <c r="AJ23" s="84">
        <v>42243988</v>
      </c>
      <c r="AK23" s="84">
        <v>44039914</v>
      </c>
      <c r="AL23" s="84">
        <v>42483640</v>
      </c>
      <c r="AM23" s="84">
        <v>36988970</v>
      </c>
      <c r="AN23" s="84">
        <v>41433319</v>
      </c>
      <c r="AO23" s="84">
        <v>34276142</v>
      </c>
      <c r="AP23" s="84">
        <v>50125053</v>
      </c>
      <c r="AQ23" s="84">
        <v>45647718</v>
      </c>
      <c r="AR23" s="84">
        <v>36277302</v>
      </c>
      <c r="AS23" s="84">
        <v>46648019</v>
      </c>
      <c r="AT23" s="84">
        <v>47556345</v>
      </c>
      <c r="AU23" s="84">
        <v>44360833</v>
      </c>
      <c r="AV23" s="84">
        <v>53992310</v>
      </c>
      <c r="AW23" s="85">
        <v>60139549</v>
      </c>
      <c r="AY23" s="50">
        <f t="shared" si="0"/>
        <v>60139549</v>
      </c>
    </row>
    <row r="24" spans="1:51" ht="15">
      <c r="A24" s="46" t="s">
        <v>164</v>
      </c>
      <c r="B24" s="82" t="s">
        <v>51</v>
      </c>
      <c r="C24" s="83">
        <v>29906823</v>
      </c>
      <c r="D24" s="84">
        <v>27440215</v>
      </c>
      <c r="E24" s="84">
        <v>25944263</v>
      </c>
      <c r="F24" s="84">
        <v>26131759</v>
      </c>
      <c r="G24" s="84">
        <v>19768990</v>
      </c>
      <c r="H24" s="84">
        <v>21557607</v>
      </c>
      <c r="I24" s="84">
        <v>22835575</v>
      </c>
      <c r="J24" s="84">
        <v>21231721</v>
      </c>
      <c r="K24" s="84">
        <v>20803611</v>
      </c>
      <c r="L24" s="84">
        <v>16246855</v>
      </c>
      <c r="M24" s="84">
        <v>18147809</v>
      </c>
      <c r="N24" s="84">
        <v>18293524</v>
      </c>
      <c r="O24" s="84">
        <v>22339156</v>
      </c>
      <c r="P24" s="84">
        <v>21554118</v>
      </c>
      <c r="Q24" s="84">
        <v>22067746</v>
      </c>
      <c r="R24" s="84">
        <v>20029629</v>
      </c>
      <c r="S24" s="84">
        <v>24210496</v>
      </c>
      <c r="T24" s="84">
        <v>21820124</v>
      </c>
      <c r="U24" s="84">
        <v>22584162</v>
      </c>
      <c r="V24" s="84">
        <v>23226750</v>
      </c>
      <c r="W24" s="84">
        <v>22834014</v>
      </c>
      <c r="X24" s="84">
        <v>27805383</v>
      </c>
      <c r="Y24" s="84">
        <v>24515957</v>
      </c>
      <c r="Z24" s="84">
        <v>23715167</v>
      </c>
      <c r="AA24" s="84">
        <v>23592151</v>
      </c>
      <c r="AB24" s="84">
        <v>24251787</v>
      </c>
      <c r="AC24" s="84">
        <v>21741626</v>
      </c>
      <c r="AD24" s="84">
        <v>25120114</v>
      </c>
      <c r="AE24" s="84">
        <v>27781044</v>
      </c>
      <c r="AF24" s="84">
        <v>19310419</v>
      </c>
      <c r="AG24" s="84">
        <v>17687273</v>
      </c>
      <c r="AH24" s="84">
        <v>29502639</v>
      </c>
      <c r="AI24" s="84">
        <v>35147180</v>
      </c>
      <c r="AJ24" s="84">
        <v>32342618</v>
      </c>
      <c r="AK24" s="84">
        <v>33361110</v>
      </c>
      <c r="AL24" s="84">
        <v>32653138</v>
      </c>
      <c r="AM24" s="84">
        <v>30028238</v>
      </c>
      <c r="AN24" s="84">
        <v>35796315</v>
      </c>
      <c r="AO24" s="84">
        <v>32748511</v>
      </c>
      <c r="AP24" s="84">
        <v>49289373</v>
      </c>
      <c r="AQ24" s="84">
        <v>54361105</v>
      </c>
      <c r="AR24" s="84">
        <v>48823626</v>
      </c>
      <c r="AS24" s="84">
        <v>60041264</v>
      </c>
      <c r="AT24" s="84">
        <v>60566630</v>
      </c>
      <c r="AU24" s="84">
        <v>59999763</v>
      </c>
      <c r="AV24" s="84">
        <v>50583771</v>
      </c>
      <c r="AW24" s="85">
        <v>42038946</v>
      </c>
      <c r="AY24" s="50">
        <f t="shared" si="0"/>
        <v>60566630</v>
      </c>
    </row>
    <row r="25" spans="1:51" ht="15">
      <c r="A25" s="46" t="s">
        <v>164</v>
      </c>
      <c r="B25" s="81" t="s">
        <v>99</v>
      </c>
      <c r="C25" s="86">
        <v>117845882</v>
      </c>
      <c r="D25" s="87">
        <v>91052320</v>
      </c>
      <c r="E25" s="87">
        <v>118668114</v>
      </c>
      <c r="F25" s="87">
        <v>146166169</v>
      </c>
      <c r="G25" s="87">
        <v>196310054</v>
      </c>
      <c r="H25" s="87">
        <v>188023386</v>
      </c>
      <c r="I25" s="87">
        <v>234117215</v>
      </c>
      <c r="J25" s="87">
        <v>205373592</v>
      </c>
      <c r="K25" s="87">
        <v>191736423</v>
      </c>
      <c r="L25" s="87">
        <v>197193144</v>
      </c>
      <c r="M25" s="87">
        <v>166421592</v>
      </c>
      <c r="N25" s="87">
        <v>197299070</v>
      </c>
      <c r="O25" s="87">
        <v>170084768</v>
      </c>
      <c r="P25" s="87">
        <v>117733357</v>
      </c>
      <c r="Q25" s="87">
        <v>101264095</v>
      </c>
      <c r="R25" s="87">
        <v>66324957</v>
      </c>
      <c r="S25" s="87">
        <v>62432776</v>
      </c>
      <c r="T25" s="87">
        <v>46976057</v>
      </c>
      <c r="U25" s="87">
        <v>39954948</v>
      </c>
      <c r="V25" s="87">
        <v>41717376</v>
      </c>
      <c r="W25" s="87">
        <v>45120522</v>
      </c>
      <c r="X25" s="87">
        <v>13400981</v>
      </c>
      <c r="Y25" s="87">
        <v>30720786</v>
      </c>
      <c r="Z25" s="87">
        <v>16075270</v>
      </c>
      <c r="AA25" s="87">
        <v>16567094</v>
      </c>
      <c r="AB25" s="87">
        <v>18106660</v>
      </c>
      <c r="AC25" s="87">
        <v>28331768</v>
      </c>
      <c r="AD25" s="87">
        <v>33247042</v>
      </c>
      <c r="AE25" s="87">
        <v>55737331</v>
      </c>
      <c r="AF25" s="87">
        <v>33293836</v>
      </c>
      <c r="AG25" s="87">
        <v>42220678</v>
      </c>
      <c r="AH25" s="87">
        <v>29460121</v>
      </c>
      <c r="AI25" s="87">
        <v>33094914</v>
      </c>
      <c r="AJ25" s="87">
        <v>28804956</v>
      </c>
      <c r="AK25" s="87">
        <v>29702165</v>
      </c>
      <c r="AL25" s="87">
        <v>45048054</v>
      </c>
      <c r="AM25" s="87">
        <v>34346624</v>
      </c>
      <c r="AN25" s="87">
        <v>51881655</v>
      </c>
      <c r="AO25" s="87">
        <v>86081538</v>
      </c>
      <c r="AP25" s="87">
        <v>89248002</v>
      </c>
      <c r="AQ25" s="87">
        <v>96391719</v>
      </c>
      <c r="AR25" s="87">
        <v>65154227</v>
      </c>
      <c r="AS25" s="87">
        <v>138316637</v>
      </c>
      <c r="AT25" s="87">
        <v>73583532</v>
      </c>
      <c r="AU25" s="87">
        <v>92666691</v>
      </c>
      <c r="AV25" s="87">
        <v>94455497</v>
      </c>
      <c r="AW25" s="88">
        <v>86071985</v>
      </c>
      <c r="AY25" s="50">
        <f t="shared" si="0"/>
        <v>138316637</v>
      </c>
    </row>
    <row r="26" spans="1:51" ht="15">
      <c r="A26" s="46" t="s">
        <v>164</v>
      </c>
      <c r="B26" s="81" t="s">
        <v>166</v>
      </c>
      <c r="C26" s="86">
        <v>0</v>
      </c>
      <c r="D26" s="87">
        <v>0</v>
      </c>
      <c r="E26" s="87">
        <v>0</v>
      </c>
      <c r="F26" s="87">
        <v>0</v>
      </c>
      <c r="G26" s="87">
        <v>0</v>
      </c>
      <c r="H26" s="87">
        <v>0</v>
      </c>
      <c r="I26" s="87">
        <v>0</v>
      </c>
      <c r="J26" s="87">
        <v>0</v>
      </c>
      <c r="K26" s="87">
        <v>0</v>
      </c>
      <c r="L26" s="87">
        <v>0</v>
      </c>
      <c r="M26" s="87">
        <v>0</v>
      </c>
      <c r="N26" s="87">
        <v>0</v>
      </c>
      <c r="O26" s="87">
        <v>0</v>
      </c>
      <c r="P26" s="87">
        <v>0</v>
      </c>
      <c r="Q26" s="87">
        <v>0</v>
      </c>
      <c r="R26" s="87">
        <v>0</v>
      </c>
      <c r="S26" s="87">
        <v>0</v>
      </c>
      <c r="T26" s="87">
        <v>0</v>
      </c>
      <c r="U26" s="87">
        <v>0</v>
      </c>
      <c r="V26" s="87">
        <v>0</v>
      </c>
      <c r="W26" s="87">
        <v>0</v>
      </c>
      <c r="X26" s="87">
        <v>0</v>
      </c>
      <c r="Y26" s="87">
        <v>0</v>
      </c>
      <c r="Z26" s="87">
        <v>0</v>
      </c>
      <c r="AA26" s="87">
        <v>0</v>
      </c>
      <c r="AB26" s="87">
        <v>0</v>
      </c>
      <c r="AC26" s="87">
        <v>0</v>
      </c>
      <c r="AD26" s="87">
        <v>0</v>
      </c>
      <c r="AE26" s="87">
        <v>0</v>
      </c>
      <c r="AF26" s="87">
        <v>0</v>
      </c>
      <c r="AG26" s="87">
        <v>0</v>
      </c>
      <c r="AH26" s="87">
        <v>0</v>
      </c>
      <c r="AI26" s="87">
        <v>0</v>
      </c>
      <c r="AJ26" s="87">
        <v>0</v>
      </c>
      <c r="AK26" s="87">
        <v>0</v>
      </c>
      <c r="AL26" s="87">
        <v>0</v>
      </c>
      <c r="AM26" s="87">
        <v>0</v>
      </c>
      <c r="AN26" s="87">
        <v>0</v>
      </c>
      <c r="AO26" s="87">
        <v>0</v>
      </c>
      <c r="AP26" s="87">
        <v>0</v>
      </c>
      <c r="AQ26" s="87">
        <v>0</v>
      </c>
      <c r="AR26" s="87">
        <v>0</v>
      </c>
      <c r="AS26" s="87">
        <v>0</v>
      </c>
      <c r="AT26" s="87">
        <v>0</v>
      </c>
      <c r="AU26" s="87">
        <v>0</v>
      </c>
      <c r="AV26" s="87">
        <v>0</v>
      </c>
      <c r="AW26" s="88">
        <v>0</v>
      </c>
      <c r="AY26" s="50">
        <f t="shared" si="0"/>
        <v>0</v>
      </c>
    </row>
    <row r="27" spans="1:51" ht="15">
      <c r="A27" s="46" t="s">
        <v>164</v>
      </c>
      <c r="B27" s="81" t="s">
        <v>167</v>
      </c>
      <c r="C27" s="86">
        <v>0</v>
      </c>
      <c r="D27" s="87">
        <v>0</v>
      </c>
      <c r="E27" s="87">
        <v>0</v>
      </c>
      <c r="F27" s="87">
        <v>0</v>
      </c>
      <c r="G27" s="87">
        <v>0</v>
      </c>
      <c r="H27" s="87">
        <v>0</v>
      </c>
      <c r="I27" s="87">
        <v>0</v>
      </c>
      <c r="J27" s="87">
        <v>0</v>
      </c>
      <c r="K27" s="87">
        <v>0</v>
      </c>
      <c r="L27" s="87">
        <v>0</v>
      </c>
      <c r="M27" s="87">
        <v>0</v>
      </c>
      <c r="N27" s="87">
        <v>0</v>
      </c>
      <c r="O27" s="87">
        <v>0</v>
      </c>
      <c r="P27" s="87">
        <v>0</v>
      </c>
      <c r="Q27" s="87">
        <v>0</v>
      </c>
      <c r="R27" s="87">
        <v>0</v>
      </c>
      <c r="S27" s="87">
        <v>0</v>
      </c>
      <c r="T27" s="87">
        <v>0</v>
      </c>
      <c r="U27" s="87">
        <v>0</v>
      </c>
      <c r="V27" s="87">
        <v>0</v>
      </c>
      <c r="W27" s="87">
        <v>0</v>
      </c>
      <c r="X27" s="87">
        <v>0</v>
      </c>
      <c r="Y27" s="87">
        <v>0</v>
      </c>
      <c r="Z27" s="87">
        <v>0</v>
      </c>
      <c r="AA27" s="87">
        <v>0</v>
      </c>
      <c r="AB27" s="87">
        <v>0</v>
      </c>
      <c r="AC27" s="87">
        <v>0</v>
      </c>
      <c r="AD27" s="87">
        <v>0</v>
      </c>
      <c r="AE27" s="87">
        <v>0</v>
      </c>
      <c r="AF27" s="87">
        <v>0</v>
      </c>
      <c r="AG27" s="87">
        <v>0</v>
      </c>
      <c r="AH27" s="87">
        <v>0</v>
      </c>
      <c r="AI27" s="87">
        <v>0</v>
      </c>
      <c r="AJ27" s="87">
        <v>0</v>
      </c>
      <c r="AK27" s="87">
        <v>0</v>
      </c>
      <c r="AL27" s="87">
        <v>0</v>
      </c>
      <c r="AM27" s="87">
        <v>0</v>
      </c>
      <c r="AN27" s="87">
        <v>0</v>
      </c>
      <c r="AO27" s="87">
        <v>0</v>
      </c>
      <c r="AP27" s="87">
        <v>0</v>
      </c>
      <c r="AQ27" s="87">
        <v>151174</v>
      </c>
      <c r="AR27" s="87">
        <v>252251</v>
      </c>
      <c r="AS27" s="87">
        <v>210326</v>
      </c>
      <c r="AT27" s="87">
        <v>239425</v>
      </c>
      <c r="AU27" s="87">
        <v>1128707</v>
      </c>
      <c r="AV27" s="87">
        <v>5525365</v>
      </c>
      <c r="AW27" s="88">
        <v>6963050</v>
      </c>
      <c r="AY27" s="50">
        <f t="shared" si="0"/>
        <v>6963050</v>
      </c>
    </row>
    <row r="28" spans="1:51" ht="15">
      <c r="A28" s="63" t="s">
        <v>164</v>
      </c>
      <c r="B28" s="64" t="s">
        <v>168</v>
      </c>
      <c r="C28" s="65">
        <v>71457026</v>
      </c>
      <c r="D28" s="66">
        <v>72720893</v>
      </c>
      <c r="E28" s="66">
        <v>81199128</v>
      </c>
      <c r="F28" s="66">
        <v>84453473</v>
      </c>
      <c r="G28" s="66">
        <v>93407107</v>
      </c>
      <c r="H28" s="66">
        <v>102565518</v>
      </c>
      <c r="I28" s="66">
        <v>87694729</v>
      </c>
      <c r="J28" s="66">
        <v>94037731</v>
      </c>
      <c r="K28" s="66">
        <v>86288155</v>
      </c>
      <c r="L28" s="66">
        <v>73164625</v>
      </c>
      <c r="M28" s="66">
        <v>90617651</v>
      </c>
      <c r="N28" s="66">
        <v>101039927</v>
      </c>
      <c r="O28" s="66">
        <v>97595427</v>
      </c>
      <c r="P28" s="66">
        <v>103613355</v>
      </c>
      <c r="Q28" s="66">
        <v>99181476</v>
      </c>
      <c r="R28" s="66">
        <v>125501650</v>
      </c>
      <c r="S28" s="66">
        <v>103782664</v>
      </c>
      <c r="T28" s="66">
        <v>79209736</v>
      </c>
      <c r="U28" s="66">
        <v>67538170</v>
      </c>
      <c r="V28" s="66">
        <v>68745599</v>
      </c>
      <c r="W28" s="66">
        <v>90373889</v>
      </c>
      <c r="X28" s="66">
        <v>84825573</v>
      </c>
      <c r="Y28" s="66">
        <v>100185314</v>
      </c>
      <c r="Z28" s="66">
        <v>101169344</v>
      </c>
      <c r="AA28" s="66">
        <v>121422160</v>
      </c>
      <c r="AB28" s="66">
        <v>147006547</v>
      </c>
      <c r="AC28" s="66">
        <v>122662776</v>
      </c>
      <c r="AD28" s="66">
        <v>154852339</v>
      </c>
      <c r="AE28" s="66">
        <v>133112842</v>
      </c>
      <c r="AF28" s="66">
        <v>146265588</v>
      </c>
      <c r="AG28" s="66">
        <v>144389148</v>
      </c>
      <c r="AH28" s="66">
        <v>159836256</v>
      </c>
      <c r="AI28" s="66">
        <v>216193020</v>
      </c>
      <c r="AJ28" s="66">
        <v>206571983</v>
      </c>
      <c r="AK28" s="66">
        <v>251608123</v>
      </c>
      <c r="AL28" s="66">
        <v>238951156</v>
      </c>
      <c r="AM28" s="66">
        <v>265123855</v>
      </c>
      <c r="AN28" s="66">
        <v>312559975</v>
      </c>
      <c r="AO28" s="66">
        <v>333436784</v>
      </c>
      <c r="AP28" s="66">
        <v>443681250</v>
      </c>
      <c r="AQ28" s="66">
        <v>568417489</v>
      </c>
      <c r="AR28" s="66">
        <v>586757511</v>
      </c>
      <c r="AS28" s="66">
        <v>558032892</v>
      </c>
      <c r="AT28" s="66">
        <v>508207211</v>
      </c>
      <c r="AU28" s="66">
        <v>478721324</v>
      </c>
      <c r="AV28" s="66">
        <v>516881156</v>
      </c>
      <c r="AW28" s="67">
        <v>490879729</v>
      </c>
      <c r="AY28" s="50">
        <f t="shared" si="0"/>
        <v>586757511</v>
      </c>
    </row>
    <row r="29" spans="1:51" ht="15">
      <c r="A29" s="46" t="s">
        <v>170</v>
      </c>
      <c r="B29" s="24" t="s">
        <v>142</v>
      </c>
      <c r="C29" s="47">
        <v>0</v>
      </c>
      <c r="D29" s="48">
        <v>42</v>
      </c>
      <c r="E29" s="48">
        <v>636</v>
      </c>
      <c r="F29" s="48">
        <v>127</v>
      </c>
      <c r="G29" s="48">
        <v>763</v>
      </c>
      <c r="H29" s="48">
        <v>0</v>
      </c>
      <c r="I29" s="48">
        <v>0</v>
      </c>
      <c r="J29" s="48">
        <v>0</v>
      </c>
      <c r="K29" s="48">
        <v>0</v>
      </c>
      <c r="L29" s="48">
        <v>0</v>
      </c>
      <c r="M29" s="48">
        <v>85</v>
      </c>
      <c r="N29" s="48">
        <v>5043946</v>
      </c>
      <c r="O29" s="48">
        <v>6218850</v>
      </c>
      <c r="P29" s="48">
        <v>4853401</v>
      </c>
      <c r="Q29" s="48">
        <v>1207510</v>
      </c>
      <c r="R29" s="48">
        <v>8791979</v>
      </c>
      <c r="S29" s="48">
        <v>30529442</v>
      </c>
      <c r="T29" s="48">
        <v>47393325</v>
      </c>
      <c r="U29" s="48">
        <v>34087097</v>
      </c>
      <c r="V29" s="48">
        <v>44213163</v>
      </c>
      <c r="W29" s="48">
        <v>35877949</v>
      </c>
      <c r="X29" s="48">
        <v>74234847</v>
      </c>
      <c r="Y29" s="48">
        <v>83439942</v>
      </c>
      <c r="Z29" s="48">
        <v>96770839</v>
      </c>
      <c r="AA29" s="48">
        <v>118256924</v>
      </c>
      <c r="AB29" s="48">
        <v>181644604</v>
      </c>
      <c r="AC29" s="48">
        <v>189009244</v>
      </c>
      <c r="AD29" s="48">
        <v>218421730</v>
      </c>
      <c r="AE29" s="48">
        <v>252323267</v>
      </c>
      <c r="AF29" s="48">
        <v>202957370</v>
      </c>
      <c r="AG29" s="48">
        <v>223787626</v>
      </c>
      <c r="AH29" s="48">
        <v>302271338</v>
      </c>
      <c r="AI29" s="48">
        <v>356384473</v>
      </c>
      <c r="AJ29" s="48">
        <v>473626553</v>
      </c>
      <c r="AK29" s="48">
        <v>575964575</v>
      </c>
      <c r="AL29" s="48">
        <v>513159592</v>
      </c>
      <c r="AM29" s="48">
        <v>590239070</v>
      </c>
      <c r="AN29" s="48">
        <v>574098977</v>
      </c>
      <c r="AO29" s="48">
        <v>642420559</v>
      </c>
      <c r="AP29" s="48">
        <v>585939629</v>
      </c>
      <c r="AQ29" s="48">
        <v>497478954</v>
      </c>
      <c r="AR29" s="48">
        <v>404314810</v>
      </c>
      <c r="AS29" s="48">
        <v>372225329</v>
      </c>
      <c r="AT29" s="48">
        <v>367920169</v>
      </c>
      <c r="AU29" s="48">
        <v>331207285</v>
      </c>
      <c r="AV29" s="48">
        <v>296672224</v>
      </c>
      <c r="AW29" s="49">
        <v>253531053</v>
      </c>
      <c r="AY29" s="50">
        <f t="shared" si="0"/>
        <v>642420559</v>
      </c>
    </row>
    <row r="30" spans="1:51" ht="15">
      <c r="A30" s="46" t="s">
        <v>170</v>
      </c>
      <c r="B30" s="24" t="s">
        <v>165</v>
      </c>
      <c r="C30" s="47">
        <v>0</v>
      </c>
      <c r="D30" s="48">
        <v>0</v>
      </c>
      <c r="E30" s="48">
        <v>0</v>
      </c>
      <c r="F30" s="48">
        <v>0</v>
      </c>
      <c r="G30" s="48">
        <v>0</v>
      </c>
      <c r="H30" s="48">
        <v>0</v>
      </c>
      <c r="I30" s="48">
        <v>0</v>
      </c>
      <c r="J30" s="48">
        <v>0</v>
      </c>
      <c r="K30" s="48">
        <v>4468173</v>
      </c>
      <c r="L30" s="48">
        <v>9057693</v>
      </c>
      <c r="M30" s="48">
        <v>10931523</v>
      </c>
      <c r="N30" s="48">
        <v>12719283</v>
      </c>
      <c r="O30" s="48">
        <v>14368474</v>
      </c>
      <c r="P30" s="48">
        <v>18342896</v>
      </c>
      <c r="Q30" s="48">
        <v>16401757</v>
      </c>
      <c r="R30" s="48">
        <v>1253250</v>
      </c>
      <c r="S30" s="48">
        <v>0</v>
      </c>
      <c r="T30" s="48">
        <v>0</v>
      </c>
      <c r="U30" s="48">
        <v>1</v>
      </c>
      <c r="V30" s="48">
        <v>2148</v>
      </c>
      <c r="W30" s="48">
        <v>1275</v>
      </c>
      <c r="X30" s="48">
        <v>1161216</v>
      </c>
      <c r="Y30" s="48">
        <v>1153734</v>
      </c>
      <c r="Z30" s="48">
        <v>919171</v>
      </c>
      <c r="AA30" s="48">
        <v>559679</v>
      </c>
      <c r="AB30" s="48">
        <v>655792</v>
      </c>
      <c r="AC30" s="48">
        <v>837998</v>
      </c>
      <c r="AD30" s="48">
        <v>7749913</v>
      </c>
      <c r="AE30" s="48">
        <v>8386889</v>
      </c>
      <c r="AF30" s="48">
        <v>7885326</v>
      </c>
      <c r="AG30" s="48">
        <v>697385</v>
      </c>
      <c r="AH30" s="48">
        <v>1701738</v>
      </c>
      <c r="AI30" s="48">
        <v>1024424</v>
      </c>
      <c r="AJ30" s="48">
        <v>1327292</v>
      </c>
      <c r="AK30" s="48">
        <v>157831</v>
      </c>
      <c r="AL30" s="48">
        <v>1163642</v>
      </c>
      <c r="AM30" s="48">
        <v>2251528</v>
      </c>
      <c r="AN30" s="48">
        <v>1409702</v>
      </c>
      <c r="AO30" s="48">
        <v>179932</v>
      </c>
      <c r="AP30" s="48">
        <v>155886</v>
      </c>
      <c r="AQ30" s="48">
        <v>3538632</v>
      </c>
      <c r="AR30" s="48">
        <v>2755297</v>
      </c>
      <c r="AS30" s="48">
        <v>6295023</v>
      </c>
      <c r="AT30" s="48">
        <v>4346348</v>
      </c>
      <c r="AU30" s="48">
        <v>2791747</v>
      </c>
      <c r="AV30" s="48">
        <v>480959</v>
      </c>
      <c r="AW30" s="49">
        <v>1011221</v>
      </c>
      <c r="AY30" s="50">
        <f t="shared" si="0"/>
        <v>6295023</v>
      </c>
    </row>
    <row r="31" spans="1:51" ht="15">
      <c r="A31" s="46" t="s">
        <v>170</v>
      </c>
      <c r="B31" s="24" t="s">
        <v>98</v>
      </c>
      <c r="C31" s="47">
        <v>0</v>
      </c>
      <c r="D31" s="48">
        <v>0</v>
      </c>
      <c r="E31" s="48">
        <v>0</v>
      </c>
      <c r="F31" s="48">
        <v>0</v>
      </c>
      <c r="G31" s="48">
        <v>0</v>
      </c>
      <c r="H31" s="48">
        <v>0</v>
      </c>
      <c r="I31" s="48">
        <v>0</v>
      </c>
      <c r="J31" s="48">
        <v>0</v>
      </c>
      <c r="K31" s="48">
        <v>0</v>
      </c>
      <c r="L31" s="48">
        <v>0</v>
      </c>
      <c r="M31" s="48">
        <v>0</v>
      </c>
      <c r="N31" s="48">
        <v>0</v>
      </c>
      <c r="O31" s="48">
        <v>0</v>
      </c>
      <c r="P31" s="48">
        <v>0</v>
      </c>
      <c r="Q31" s="48">
        <v>0</v>
      </c>
      <c r="R31" s="48">
        <v>0</v>
      </c>
      <c r="S31" s="48">
        <v>0</v>
      </c>
      <c r="T31" s="48">
        <v>0</v>
      </c>
      <c r="U31" s="48">
        <v>0</v>
      </c>
      <c r="V31" s="48">
        <v>0</v>
      </c>
      <c r="W31" s="48">
        <v>0</v>
      </c>
      <c r="X31" s="48">
        <v>0</v>
      </c>
      <c r="Y31" s="48">
        <v>0</v>
      </c>
      <c r="Z31" s="48">
        <v>0</v>
      </c>
      <c r="AA31" s="48">
        <v>0</v>
      </c>
      <c r="AB31" s="48">
        <v>0</v>
      </c>
      <c r="AC31" s="48">
        <v>0</v>
      </c>
      <c r="AD31" s="48">
        <v>0</v>
      </c>
      <c r="AE31" s="48">
        <v>0</v>
      </c>
      <c r="AF31" s="48">
        <v>0</v>
      </c>
      <c r="AG31" s="48">
        <v>0</v>
      </c>
      <c r="AH31" s="48">
        <v>0</v>
      </c>
      <c r="AI31" s="48">
        <v>0</v>
      </c>
      <c r="AJ31" s="48">
        <v>0</v>
      </c>
      <c r="AK31" s="48">
        <v>0</v>
      </c>
      <c r="AL31" s="48">
        <v>0</v>
      </c>
      <c r="AM31" s="48">
        <v>0</v>
      </c>
      <c r="AN31" s="48">
        <v>0</v>
      </c>
      <c r="AO31" s="48">
        <v>0</v>
      </c>
      <c r="AP31" s="48">
        <v>0</v>
      </c>
      <c r="AQ31" s="48">
        <v>0</v>
      </c>
      <c r="AR31" s="48">
        <v>0</v>
      </c>
      <c r="AS31" s="48">
        <v>0</v>
      </c>
      <c r="AT31" s="48">
        <v>0</v>
      </c>
      <c r="AU31" s="48">
        <v>0</v>
      </c>
      <c r="AV31" s="48">
        <v>0</v>
      </c>
      <c r="AW31" s="49">
        <v>0</v>
      </c>
      <c r="AY31" s="50">
        <f t="shared" si="0"/>
        <v>0</v>
      </c>
    </row>
    <row r="32" spans="1:51" ht="15">
      <c r="A32" s="46" t="s">
        <v>170</v>
      </c>
      <c r="B32" s="24" t="s">
        <v>75</v>
      </c>
      <c r="C32" s="47">
        <v>485295</v>
      </c>
      <c r="D32" s="48">
        <v>796470</v>
      </c>
      <c r="E32" s="48">
        <v>503827</v>
      </c>
      <c r="F32" s="48">
        <v>344644</v>
      </c>
      <c r="G32" s="48">
        <v>410013</v>
      </c>
      <c r="H32" s="48">
        <v>153190</v>
      </c>
      <c r="I32" s="48">
        <v>222847</v>
      </c>
      <c r="J32" s="48">
        <v>476812</v>
      </c>
      <c r="K32" s="48">
        <v>212844</v>
      </c>
      <c r="L32" s="48">
        <v>462014</v>
      </c>
      <c r="M32" s="48">
        <v>99391</v>
      </c>
      <c r="N32" s="48">
        <v>976075</v>
      </c>
      <c r="O32" s="48">
        <v>1015292</v>
      </c>
      <c r="P32" s="48">
        <v>386222</v>
      </c>
      <c r="Q32" s="48">
        <v>573963</v>
      </c>
      <c r="R32" s="48">
        <v>345650</v>
      </c>
      <c r="S32" s="48">
        <v>708786</v>
      </c>
      <c r="T32" s="48">
        <v>704434</v>
      </c>
      <c r="U32" s="48">
        <v>1072524</v>
      </c>
      <c r="V32" s="48">
        <v>1386163</v>
      </c>
      <c r="W32" s="48">
        <v>2109300</v>
      </c>
      <c r="X32" s="48">
        <v>2805697</v>
      </c>
      <c r="Y32" s="48">
        <v>2959922</v>
      </c>
      <c r="Z32" s="48">
        <v>2095306</v>
      </c>
      <c r="AA32" s="48">
        <v>3043077</v>
      </c>
      <c r="AB32" s="48">
        <v>3027047</v>
      </c>
      <c r="AC32" s="48">
        <v>2847025</v>
      </c>
      <c r="AD32" s="48">
        <v>2049161</v>
      </c>
      <c r="AE32" s="48">
        <v>1664050</v>
      </c>
      <c r="AF32" s="48">
        <v>1682521</v>
      </c>
      <c r="AG32" s="48">
        <v>3181344</v>
      </c>
      <c r="AH32" s="48">
        <v>5064160</v>
      </c>
      <c r="AI32" s="48">
        <v>3447077</v>
      </c>
      <c r="AJ32" s="48">
        <v>10095438</v>
      </c>
      <c r="AK32" s="48">
        <v>7089280</v>
      </c>
      <c r="AL32" s="48">
        <v>6423808</v>
      </c>
      <c r="AM32" s="48">
        <v>5485478</v>
      </c>
      <c r="AN32" s="48">
        <v>4139586</v>
      </c>
      <c r="AO32" s="48">
        <v>4702534</v>
      </c>
      <c r="AP32" s="48">
        <v>3056700</v>
      </c>
      <c r="AQ32" s="48">
        <v>3984888</v>
      </c>
      <c r="AR32" s="48">
        <v>4337616</v>
      </c>
      <c r="AS32" s="48">
        <v>3481882</v>
      </c>
      <c r="AT32" s="48">
        <v>4480015</v>
      </c>
      <c r="AU32" s="48">
        <v>5805714</v>
      </c>
      <c r="AV32" s="48">
        <v>4390092</v>
      </c>
      <c r="AW32" s="49">
        <v>6381304</v>
      </c>
      <c r="AY32" s="50">
        <f t="shared" si="0"/>
        <v>7089280</v>
      </c>
    </row>
    <row r="33" spans="1:51" ht="15">
      <c r="A33" s="46" t="s">
        <v>170</v>
      </c>
      <c r="B33" s="24" t="s">
        <v>100</v>
      </c>
      <c r="C33" s="47">
        <v>3915435</v>
      </c>
      <c r="D33" s="48">
        <v>846162</v>
      </c>
      <c r="E33" s="48">
        <v>1836613</v>
      </c>
      <c r="F33" s="48">
        <v>1219000</v>
      </c>
      <c r="G33" s="48">
        <v>5505752</v>
      </c>
      <c r="H33" s="48">
        <v>2152815</v>
      </c>
      <c r="I33" s="48">
        <v>4626834</v>
      </c>
      <c r="J33" s="48">
        <v>8043454</v>
      </c>
      <c r="K33" s="48">
        <v>5432889</v>
      </c>
      <c r="L33" s="48">
        <v>4161602</v>
      </c>
      <c r="M33" s="48">
        <v>2424995</v>
      </c>
      <c r="N33" s="48">
        <v>3173760</v>
      </c>
      <c r="O33" s="48">
        <v>3032777</v>
      </c>
      <c r="P33" s="48">
        <v>1769537</v>
      </c>
      <c r="Q33" s="48">
        <v>2638275</v>
      </c>
      <c r="R33" s="48">
        <v>3067434</v>
      </c>
      <c r="S33" s="48">
        <v>4281148</v>
      </c>
      <c r="T33" s="48">
        <v>3591675</v>
      </c>
      <c r="U33" s="48">
        <v>6175917</v>
      </c>
      <c r="V33" s="48">
        <v>12108552</v>
      </c>
      <c r="W33" s="48">
        <v>13378524</v>
      </c>
      <c r="X33" s="48">
        <v>13142882</v>
      </c>
      <c r="Y33" s="48">
        <v>10900130</v>
      </c>
      <c r="Z33" s="48">
        <v>14161616</v>
      </c>
      <c r="AA33" s="48">
        <v>15917518</v>
      </c>
      <c r="AB33" s="48">
        <v>15337304</v>
      </c>
      <c r="AC33" s="48">
        <v>20819794</v>
      </c>
      <c r="AD33" s="48">
        <v>16584620</v>
      </c>
      <c r="AE33" s="48">
        <v>17458513</v>
      </c>
      <c r="AF33" s="48">
        <v>20924810</v>
      </c>
      <c r="AG33" s="48">
        <v>21503660</v>
      </c>
      <c r="AH33" s="48">
        <v>18215628</v>
      </c>
      <c r="AI33" s="48">
        <v>15296311</v>
      </c>
      <c r="AJ33" s="48">
        <v>13483912</v>
      </c>
      <c r="AK33" s="48">
        <v>12059690</v>
      </c>
      <c r="AL33" s="48">
        <v>10953969</v>
      </c>
      <c r="AM33" s="48">
        <v>10640783</v>
      </c>
      <c r="AN33" s="48">
        <v>10857037</v>
      </c>
      <c r="AO33" s="48">
        <v>11317563</v>
      </c>
      <c r="AP33" s="48">
        <v>8855189</v>
      </c>
      <c r="AQ33" s="48">
        <v>11638972</v>
      </c>
      <c r="AR33" s="48">
        <v>12206684</v>
      </c>
      <c r="AS33" s="48">
        <v>8738279</v>
      </c>
      <c r="AT33" s="48">
        <v>8603788</v>
      </c>
      <c r="AU33" s="48">
        <v>8665999</v>
      </c>
      <c r="AV33" s="48">
        <v>9162081</v>
      </c>
      <c r="AW33" s="49">
        <v>20765080</v>
      </c>
      <c r="AY33" s="50">
        <f t="shared" si="0"/>
        <v>20765080</v>
      </c>
    </row>
    <row r="34" spans="1:51" ht="15">
      <c r="A34" s="46" t="s">
        <v>170</v>
      </c>
      <c r="B34" s="24" t="s">
        <v>77</v>
      </c>
      <c r="C34" s="47">
        <v>10372488</v>
      </c>
      <c r="D34" s="48">
        <v>12099264</v>
      </c>
      <c r="E34" s="48">
        <v>12125277</v>
      </c>
      <c r="F34" s="48">
        <v>13269196</v>
      </c>
      <c r="G34" s="48">
        <v>17225913</v>
      </c>
      <c r="H34" s="48">
        <v>23988118</v>
      </c>
      <c r="I34" s="48">
        <v>21755872</v>
      </c>
      <c r="J34" s="48">
        <v>23512489</v>
      </c>
      <c r="K34" s="48">
        <v>24293532</v>
      </c>
      <c r="L34" s="48">
        <v>25066266</v>
      </c>
      <c r="M34" s="48">
        <v>24461486</v>
      </c>
      <c r="N34" s="48">
        <v>21475863</v>
      </c>
      <c r="O34" s="48">
        <v>22155333</v>
      </c>
      <c r="P34" s="48">
        <v>24264126</v>
      </c>
      <c r="Q34" s="48">
        <v>15840003</v>
      </c>
      <c r="R34" s="48">
        <v>17134569</v>
      </c>
      <c r="S34" s="48">
        <v>11942449</v>
      </c>
      <c r="T34" s="48">
        <v>14543736</v>
      </c>
      <c r="U34" s="48">
        <v>17697716</v>
      </c>
      <c r="V34" s="48">
        <v>16055428</v>
      </c>
      <c r="W34" s="48">
        <v>17967949</v>
      </c>
      <c r="X34" s="48">
        <v>20206103</v>
      </c>
      <c r="Y34" s="48">
        <v>21576175</v>
      </c>
      <c r="Z34" s="48">
        <v>22325759</v>
      </c>
      <c r="AA34" s="48">
        <v>16140332</v>
      </c>
      <c r="AB34" s="48">
        <v>17455509</v>
      </c>
      <c r="AC34" s="48">
        <v>14519279</v>
      </c>
      <c r="AD34" s="48">
        <v>19302485</v>
      </c>
      <c r="AE34" s="48">
        <v>16802662</v>
      </c>
      <c r="AF34" s="48">
        <v>22046700</v>
      </c>
      <c r="AG34" s="48">
        <v>53271236</v>
      </c>
      <c r="AH34" s="48">
        <v>48636821</v>
      </c>
      <c r="AI34" s="48">
        <v>28086275</v>
      </c>
      <c r="AJ34" s="48">
        <v>34201719</v>
      </c>
      <c r="AK34" s="48">
        <v>48820968</v>
      </c>
      <c r="AL34" s="48">
        <v>43289826</v>
      </c>
      <c r="AM34" s="48">
        <v>39113594</v>
      </c>
      <c r="AN34" s="48">
        <v>36267263</v>
      </c>
      <c r="AO34" s="48">
        <v>35719847</v>
      </c>
      <c r="AP34" s="48">
        <v>37434896</v>
      </c>
      <c r="AQ34" s="48">
        <v>37758929</v>
      </c>
      <c r="AR34" s="48">
        <v>39483291</v>
      </c>
      <c r="AS34" s="48">
        <v>40032811</v>
      </c>
      <c r="AT34" s="48">
        <v>41795268</v>
      </c>
      <c r="AU34" s="48">
        <v>34108807</v>
      </c>
      <c r="AV34" s="48">
        <v>33146198</v>
      </c>
      <c r="AW34" s="49">
        <v>42409131</v>
      </c>
      <c r="AY34" s="50">
        <f t="shared" si="0"/>
        <v>48820968</v>
      </c>
    </row>
    <row r="35" spans="1:51" ht="15">
      <c r="A35" s="46" t="s">
        <v>170</v>
      </c>
      <c r="B35" s="24" t="s">
        <v>96</v>
      </c>
      <c r="C35" s="47">
        <v>1216085</v>
      </c>
      <c r="D35" s="48">
        <v>716271</v>
      </c>
      <c r="E35" s="48">
        <v>566326</v>
      </c>
      <c r="F35" s="48">
        <v>905931</v>
      </c>
      <c r="G35" s="48">
        <v>831242</v>
      </c>
      <c r="H35" s="48">
        <v>1032951</v>
      </c>
      <c r="I35" s="48">
        <v>1057441</v>
      </c>
      <c r="J35" s="48">
        <v>1634034</v>
      </c>
      <c r="K35" s="48">
        <v>1428341</v>
      </c>
      <c r="L35" s="48">
        <v>1013298</v>
      </c>
      <c r="M35" s="48">
        <v>1666274</v>
      </c>
      <c r="N35" s="48">
        <v>786956</v>
      </c>
      <c r="O35" s="48">
        <v>339127</v>
      </c>
      <c r="P35" s="48">
        <v>911239</v>
      </c>
      <c r="Q35" s="48">
        <v>106619</v>
      </c>
      <c r="R35" s="48">
        <v>48994</v>
      </c>
      <c r="S35" s="48">
        <v>124676</v>
      </c>
      <c r="T35" s="48">
        <v>644425</v>
      </c>
      <c r="U35" s="48">
        <v>3092461</v>
      </c>
      <c r="V35" s="48">
        <v>4912570</v>
      </c>
      <c r="W35" s="48">
        <v>3773383</v>
      </c>
      <c r="X35" s="48">
        <v>299788</v>
      </c>
      <c r="Y35" s="48">
        <v>2860866</v>
      </c>
      <c r="Z35" s="48">
        <v>2882644</v>
      </c>
      <c r="AA35" s="48">
        <v>2077061</v>
      </c>
      <c r="AB35" s="48">
        <v>2356313</v>
      </c>
      <c r="AC35" s="48">
        <v>3969004</v>
      </c>
      <c r="AD35" s="48">
        <v>3741044</v>
      </c>
      <c r="AE35" s="48">
        <v>2547977</v>
      </c>
      <c r="AF35" s="48">
        <v>12309074</v>
      </c>
      <c r="AG35" s="48">
        <v>16717962</v>
      </c>
      <c r="AH35" s="48">
        <v>16562537</v>
      </c>
      <c r="AI35" s="48">
        <v>12136193</v>
      </c>
      <c r="AJ35" s="48">
        <v>27804502</v>
      </c>
      <c r="AK35" s="48">
        <v>26346961</v>
      </c>
      <c r="AL35" s="48">
        <v>25658098</v>
      </c>
      <c r="AM35" s="48">
        <v>24882344</v>
      </c>
      <c r="AN35" s="48">
        <v>27207992</v>
      </c>
      <c r="AO35" s="48">
        <v>29056586</v>
      </c>
      <c r="AP35" s="48">
        <v>41893657</v>
      </c>
      <c r="AQ35" s="48">
        <v>30200387</v>
      </c>
      <c r="AR35" s="48">
        <v>45188997</v>
      </c>
      <c r="AS35" s="48">
        <v>25469945</v>
      </c>
      <c r="AT35" s="48">
        <v>32019391</v>
      </c>
      <c r="AU35" s="48">
        <v>20554460</v>
      </c>
      <c r="AV35" s="48">
        <v>17053417</v>
      </c>
      <c r="AW35" s="49">
        <v>12638723</v>
      </c>
      <c r="AY35" s="50">
        <f t="shared" si="0"/>
        <v>45188997</v>
      </c>
    </row>
    <row r="36" spans="1:51" ht="15">
      <c r="A36" s="46" t="s">
        <v>170</v>
      </c>
      <c r="B36" s="82" t="s">
        <v>69</v>
      </c>
      <c r="C36" s="83">
        <v>12223174</v>
      </c>
      <c r="D36" s="84">
        <v>13434231</v>
      </c>
      <c r="E36" s="84">
        <v>10330454</v>
      </c>
      <c r="F36" s="84">
        <v>10460219</v>
      </c>
      <c r="G36" s="84">
        <v>14303134</v>
      </c>
      <c r="H36" s="84">
        <v>18441831</v>
      </c>
      <c r="I36" s="84">
        <v>23522661</v>
      </c>
      <c r="J36" s="84">
        <v>26568153</v>
      </c>
      <c r="K36" s="84">
        <v>25899770</v>
      </c>
      <c r="L36" s="84">
        <v>41578303</v>
      </c>
      <c r="M36" s="84">
        <v>47026577</v>
      </c>
      <c r="N36" s="84">
        <v>38476203</v>
      </c>
      <c r="O36" s="84">
        <v>35901332</v>
      </c>
      <c r="P36" s="84">
        <v>39156803</v>
      </c>
      <c r="Q36" s="84">
        <v>25908817</v>
      </c>
      <c r="R36" s="84">
        <v>28258593</v>
      </c>
      <c r="S36" s="84">
        <v>20644062</v>
      </c>
      <c r="T36" s="84">
        <v>29147039</v>
      </c>
      <c r="U36" s="84">
        <v>30242272</v>
      </c>
      <c r="V36" s="84">
        <v>29371139</v>
      </c>
      <c r="W36" s="84">
        <v>29367557</v>
      </c>
      <c r="X36" s="84">
        <v>25381235</v>
      </c>
      <c r="Y36" s="84">
        <v>26716086</v>
      </c>
      <c r="Z36" s="84">
        <v>31516710</v>
      </c>
      <c r="AA36" s="84">
        <v>31249682</v>
      </c>
      <c r="AB36" s="84">
        <v>37222119</v>
      </c>
      <c r="AC36" s="84">
        <v>48537109</v>
      </c>
      <c r="AD36" s="84">
        <v>50836014</v>
      </c>
      <c r="AE36" s="84">
        <v>53695385</v>
      </c>
      <c r="AF36" s="84">
        <v>53958051</v>
      </c>
      <c r="AG36" s="84">
        <v>47278869</v>
      </c>
      <c r="AH36" s="84">
        <v>38979594</v>
      </c>
      <c r="AI36" s="84">
        <v>37378273</v>
      </c>
      <c r="AJ36" s="84">
        <v>36379300</v>
      </c>
      <c r="AK36" s="84">
        <v>35684531</v>
      </c>
      <c r="AL36" s="84">
        <v>28452271</v>
      </c>
      <c r="AM36" s="84">
        <v>27235325</v>
      </c>
      <c r="AN36" s="84">
        <v>36102238</v>
      </c>
      <c r="AO36" s="84">
        <v>32075546</v>
      </c>
      <c r="AP36" s="84">
        <v>30791141</v>
      </c>
      <c r="AQ36" s="84">
        <v>49830336</v>
      </c>
      <c r="AR36" s="84">
        <v>31748428</v>
      </c>
      <c r="AS36" s="84">
        <v>31958951</v>
      </c>
      <c r="AT36" s="84">
        <v>34350058</v>
      </c>
      <c r="AU36" s="84">
        <v>32921067</v>
      </c>
      <c r="AV36" s="84">
        <v>39998435</v>
      </c>
      <c r="AW36" s="85">
        <v>46109256</v>
      </c>
      <c r="AY36" s="50">
        <f t="shared" si="0"/>
        <v>49830336</v>
      </c>
    </row>
    <row r="37" spans="1:51" ht="15">
      <c r="A37" s="46" t="s">
        <v>170</v>
      </c>
      <c r="B37" s="82" t="s">
        <v>51</v>
      </c>
      <c r="C37" s="83">
        <v>5713473</v>
      </c>
      <c r="D37" s="84">
        <v>6420884</v>
      </c>
      <c r="E37" s="84">
        <v>5809805</v>
      </c>
      <c r="F37" s="84">
        <v>8909355</v>
      </c>
      <c r="G37" s="84">
        <v>7454822</v>
      </c>
      <c r="H37" s="84">
        <v>10852717</v>
      </c>
      <c r="I37" s="84">
        <v>12057370</v>
      </c>
      <c r="J37" s="84">
        <v>16637286</v>
      </c>
      <c r="K37" s="84">
        <v>17793261</v>
      </c>
      <c r="L37" s="84">
        <v>4625275</v>
      </c>
      <c r="M37" s="84">
        <v>5150176</v>
      </c>
      <c r="N37" s="84">
        <v>4483627</v>
      </c>
      <c r="O37" s="84">
        <v>5224874</v>
      </c>
      <c r="P37" s="84">
        <v>5994817</v>
      </c>
      <c r="Q37" s="84">
        <v>4988518</v>
      </c>
      <c r="R37" s="84">
        <v>6153459</v>
      </c>
      <c r="S37" s="84">
        <v>5339118</v>
      </c>
      <c r="T37" s="84">
        <v>8733865</v>
      </c>
      <c r="U37" s="84">
        <v>10702733</v>
      </c>
      <c r="V37" s="84">
        <v>9489775</v>
      </c>
      <c r="W37" s="84">
        <v>11046462</v>
      </c>
      <c r="X37" s="84">
        <v>9868640</v>
      </c>
      <c r="Y37" s="84">
        <v>11377163</v>
      </c>
      <c r="Z37" s="84">
        <v>15438674</v>
      </c>
      <c r="AA37" s="84">
        <v>17534666</v>
      </c>
      <c r="AB37" s="84">
        <v>20533403</v>
      </c>
      <c r="AC37" s="84">
        <v>26864493</v>
      </c>
      <c r="AD37" s="84">
        <v>28546643</v>
      </c>
      <c r="AE37" s="84">
        <v>33631199</v>
      </c>
      <c r="AF37" s="84">
        <v>16848569</v>
      </c>
      <c r="AG37" s="84">
        <v>17195948</v>
      </c>
      <c r="AH37" s="84">
        <v>11725517</v>
      </c>
      <c r="AI37" s="84">
        <v>5261970</v>
      </c>
      <c r="AJ37" s="84">
        <v>10800604</v>
      </c>
      <c r="AK37" s="84">
        <v>18782911</v>
      </c>
      <c r="AL37" s="84">
        <v>18229716</v>
      </c>
      <c r="AM37" s="84">
        <v>14586320</v>
      </c>
      <c r="AN37" s="84">
        <v>19350884</v>
      </c>
      <c r="AO37" s="84">
        <v>18938223</v>
      </c>
      <c r="AP37" s="84">
        <v>18572086</v>
      </c>
      <c r="AQ37" s="84">
        <v>26536230</v>
      </c>
      <c r="AR37" s="84">
        <v>30044881</v>
      </c>
      <c r="AS37" s="84">
        <v>24374944</v>
      </c>
      <c r="AT37" s="84">
        <v>39197258</v>
      </c>
      <c r="AU37" s="84">
        <v>25180340</v>
      </c>
      <c r="AV37" s="84">
        <v>25884963</v>
      </c>
      <c r="AW37" s="85">
        <v>25655285</v>
      </c>
      <c r="AY37" s="50">
        <f t="shared" si="0"/>
        <v>39197258</v>
      </c>
    </row>
    <row r="38" spans="1:51" ht="15">
      <c r="A38" s="46" t="s">
        <v>170</v>
      </c>
      <c r="B38" s="81" t="s">
        <v>99</v>
      </c>
      <c r="C38" s="86">
        <v>16496632</v>
      </c>
      <c r="D38" s="87">
        <v>26161381</v>
      </c>
      <c r="E38" s="87">
        <v>30470178</v>
      </c>
      <c r="F38" s="87">
        <v>45559005</v>
      </c>
      <c r="G38" s="87">
        <v>46580380</v>
      </c>
      <c r="H38" s="87">
        <v>54587998</v>
      </c>
      <c r="I38" s="87">
        <v>59721097</v>
      </c>
      <c r="J38" s="87">
        <v>66689802</v>
      </c>
      <c r="K38" s="87">
        <v>40293186</v>
      </c>
      <c r="L38" s="87">
        <v>30627341</v>
      </c>
      <c r="M38" s="87">
        <v>30668225</v>
      </c>
      <c r="N38" s="87">
        <v>20298701</v>
      </c>
      <c r="O38" s="87">
        <v>18932248</v>
      </c>
      <c r="P38" s="87">
        <v>18161133</v>
      </c>
      <c r="Q38" s="87">
        <v>16242335</v>
      </c>
      <c r="R38" s="87">
        <v>14690566</v>
      </c>
      <c r="S38" s="87">
        <v>21257452</v>
      </c>
      <c r="T38" s="87">
        <v>32334429</v>
      </c>
      <c r="U38" s="87">
        <v>44704109</v>
      </c>
      <c r="V38" s="87">
        <v>37516363</v>
      </c>
      <c r="W38" s="87">
        <v>51532084</v>
      </c>
      <c r="X38" s="87">
        <v>52601999</v>
      </c>
      <c r="Y38" s="87">
        <v>79066721</v>
      </c>
      <c r="Z38" s="87">
        <v>79929607</v>
      </c>
      <c r="AA38" s="87">
        <v>75832760</v>
      </c>
      <c r="AB38" s="87">
        <v>75395555</v>
      </c>
      <c r="AC38" s="87">
        <v>91337961</v>
      </c>
      <c r="AD38" s="87">
        <v>88874529</v>
      </c>
      <c r="AE38" s="87">
        <v>86717696</v>
      </c>
      <c r="AF38" s="87">
        <v>74105560</v>
      </c>
      <c r="AG38" s="87">
        <v>68945438</v>
      </c>
      <c r="AH38" s="87">
        <v>48648328</v>
      </c>
      <c r="AI38" s="87">
        <v>41963587</v>
      </c>
      <c r="AJ38" s="87">
        <v>61431920</v>
      </c>
      <c r="AK38" s="87">
        <v>55367063</v>
      </c>
      <c r="AL38" s="87">
        <v>45373236</v>
      </c>
      <c r="AM38" s="87">
        <v>58621301</v>
      </c>
      <c r="AN38" s="87">
        <v>86746374</v>
      </c>
      <c r="AO38" s="87">
        <v>123816354</v>
      </c>
      <c r="AP38" s="87">
        <v>125078469</v>
      </c>
      <c r="AQ38" s="87">
        <v>126875996</v>
      </c>
      <c r="AR38" s="87">
        <v>137445612</v>
      </c>
      <c r="AS38" s="87">
        <v>166481069</v>
      </c>
      <c r="AT38" s="87">
        <v>122439323</v>
      </c>
      <c r="AU38" s="87">
        <v>107091131</v>
      </c>
      <c r="AV38" s="87">
        <v>95167031</v>
      </c>
      <c r="AW38" s="88">
        <v>128988988</v>
      </c>
      <c r="AY38" s="50">
        <f t="shared" si="0"/>
        <v>166481069</v>
      </c>
    </row>
    <row r="39" spans="1:51" ht="15">
      <c r="A39" s="46" t="s">
        <v>170</v>
      </c>
      <c r="B39" s="81" t="s">
        <v>166</v>
      </c>
      <c r="C39" s="86">
        <v>0</v>
      </c>
      <c r="D39" s="87">
        <v>0</v>
      </c>
      <c r="E39" s="87">
        <v>0</v>
      </c>
      <c r="F39" s="87">
        <v>0</v>
      </c>
      <c r="G39" s="87">
        <v>0</v>
      </c>
      <c r="H39" s="87">
        <v>0</v>
      </c>
      <c r="I39" s="87">
        <v>0</v>
      </c>
      <c r="J39" s="87">
        <v>0</v>
      </c>
      <c r="K39" s="87">
        <v>0</v>
      </c>
      <c r="L39" s="87">
        <v>0</v>
      </c>
      <c r="M39" s="87">
        <v>0</v>
      </c>
      <c r="N39" s="87">
        <v>0</v>
      </c>
      <c r="O39" s="87">
        <v>0</v>
      </c>
      <c r="P39" s="87">
        <v>0</v>
      </c>
      <c r="Q39" s="87">
        <v>0</v>
      </c>
      <c r="R39" s="87">
        <v>0</v>
      </c>
      <c r="S39" s="87">
        <v>0</v>
      </c>
      <c r="T39" s="87">
        <v>0</v>
      </c>
      <c r="U39" s="87">
        <v>0</v>
      </c>
      <c r="V39" s="87">
        <v>0</v>
      </c>
      <c r="W39" s="87">
        <v>0</v>
      </c>
      <c r="X39" s="87">
        <v>0</v>
      </c>
      <c r="Y39" s="87">
        <v>0</v>
      </c>
      <c r="Z39" s="87">
        <v>0</v>
      </c>
      <c r="AA39" s="87">
        <v>0</v>
      </c>
      <c r="AB39" s="87">
        <v>0</v>
      </c>
      <c r="AC39" s="87">
        <v>0</v>
      </c>
      <c r="AD39" s="87">
        <v>0</v>
      </c>
      <c r="AE39" s="87">
        <v>0</v>
      </c>
      <c r="AF39" s="87">
        <v>0</v>
      </c>
      <c r="AG39" s="87">
        <v>0</v>
      </c>
      <c r="AH39" s="87">
        <v>0</v>
      </c>
      <c r="AI39" s="87">
        <v>0</v>
      </c>
      <c r="AJ39" s="87">
        <v>0</v>
      </c>
      <c r="AK39" s="87">
        <v>0</v>
      </c>
      <c r="AL39" s="87">
        <v>0</v>
      </c>
      <c r="AM39" s="87">
        <v>0</v>
      </c>
      <c r="AN39" s="87">
        <v>0</v>
      </c>
      <c r="AO39" s="87">
        <v>0</v>
      </c>
      <c r="AP39" s="87">
        <v>0</v>
      </c>
      <c r="AQ39" s="87">
        <v>0</v>
      </c>
      <c r="AR39" s="87">
        <v>0</v>
      </c>
      <c r="AS39" s="87">
        <v>0</v>
      </c>
      <c r="AT39" s="87">
        <v>0</v>
      </c>
      <c r="AU39" s="87">
        <v>0</v>
      </c>
      <c r="AV39" s="87">
        <v>0</v>
      </c>
      <c r="AW39" s="88">
        <v>0</v>
      </c>
      <c r="AY39" s="50">
        <f t="shared" si="0"/>
        <v>0</v>
      </c>
    </row>
    <row r="40" spans="1:51" ht="15">
      <c r="A40" s="46" t="s">
        <v>170</v>
      </c>
      <c r="B40" s="81" t="s">
        <v>167</v>
      </c>
      <c r="C40" s="86">
        <v>0</v>
      </c>
      <c r="D40" s="87">
        <v>0</v>
      </c>
      <c r="E40" s="87">
        <v>0</v>
      </c>
      <c r="F40" s="87">
        <v>0</v>
      </c>
      <c r="G40" s="87">
        <v>0</v>
      </c>
      <c r="H40" s="87">
        <v>0</v>
      </c>
      <c r="I40" s="87">
        <v>0</v>
      </c>
      <c r="J40" s="87">
        <v>0</v>
      </c>
      <c r="K40" s="87">
        <v>0</v>
      </c>
      <c r="L40" s="87">
        <v>0</v>
      </c>
      <c r="M40" s="87">
        <v>0</v>
      </c>
      <c r="N40" s="87">
        <v>0</v>
      </c>
      <c r="O40" s="87">
        <v>0</v>
      </c>
      <c r="P40" s="87">
        <v>0</v>
      </c>
      <c r="Q40" s="87">
        <v>0</v>
      </c>
      <c r="R40" s="87">
        <v>0</v>
      </c>
      <c r="S40" s="87">
        <v>0</v>
      </c>
      <c r="T40" s="87">
        <v>0</v>
      </c>
      <c r="U40" s="87">
        <v>0</v>
      </c>
      <c r="V40" s="87">
        <v>0</v>
      </c>
      <c r="W40" s="87">
        <v>0</v>
      </c>
      <c r="X40" s="87">
        <v>0</v>
      </c>
      <c r="Y40" s="87">
        <v>0</v>
      </c>
      <c r="Z40" s="87">
        <v>0</v>
      </c>
      <c r="AA40" s="87">
        <v>0</v>
      </c>
      <c r="AB40" s="87">
        <v>0</v>
      </c>
      <c r="AC40" s="87">
        <v>0</v>
      </c>
      <c r="AD40" s="87">
        <v>0</v>
      </c>
      <c r="AE40" s="87">
        <v>0</v>
      </c>
      <c r="AF40" s="87">
        <v>0</v>
      </c>
      <c r="AG40" s="87">
        <v>0</v>
      </c>
      <c r="AH40" s="87">
        <v>0</v>
      </c>
      <c r="AI40" s="87">
        <v>0</v>
      </c>
      <c r="AJ40" s="87">
        <v>0</v>
      </c>
      <c r="AK40" s="87">
        <v>0</v>
      </c>
      <c r="AL40" s="87">
        <v>940000</v>
      </c>
      <c r="AM40" s="87">
        <v>1504000</v>
      </c>
      <c r="AN40" s="87">
        <v>1692000</v>
      </c>
      <c r="AO40" s="87">
        <v>2444000</v>
      </c>
      <c r="AP40" s="87">
        <v>2632000</v>
      </c>
      <c r="AQ40" s="87">
        <v>2632000</v>
      </c>
      <c r="AR40" s="87">
        <v>2632000</v>
      </c>
      <c r="AS40" s="87">
        <v>3660750</v>
      </c>
      <c r="AT40" s="87">
        <v>3122250</v>
      </c>
      <c r="AU40" s="87">
        <v>2845800</v>
      </c>
      <c r="AV40" s="87">
        <v>2092133</v>
      </c>
      <c r="AW40" s="88">
        <v>1488045</v>
      </c>
      <c r="AY40" s="50">
        <f t="shared" si="0"/>
        <v>3660750</v>
      </c>
    </row>
    <row r="41" spans="1:51" ht="16" thickBot="1">
      <c r="A41" s="74" t="s">
        <v>170</v>
      </c>
      <c r="B41" s="75" t="s">
        <v>168</v>
      </c>
      <c r="C41" s="76">
        <v>0</v>
      </c>
      <c r="D41" s="77">
        <v>0</v>
      </c>
      <c r="E41" s="77">
        <v>0</v>
      </c>
      <c r="F41" s="77">
        <v>0</v>
      </c>
      <c r="G41" s="77">
        <v>0</v>
      </c>
      <c r="H41" s="77">
        <v>0</v>
      </c>
      <c r="I41" s="77">
        <v>0</v>
      </c>
      <c r="J41" s="77">
        <v>0</v>
      </c>
      <c r="K41" s="77">
        <v>0</v>
      </c>
      <c r="L41" s="77">
        <v>0</v>
      </c>
      <c r="M41" s="77">
        <v>0</v>
      </c>
      <c r="N41" s="77">
        <v>0</v>
      </c>
      <c r="O41" s="77">
        <v>0</v>
      </c>
      <c r="P41" s="77">
        <v>0</v>
      </c>
      <c r="Q41" s="77">
        <v>0</v>
      </c>
      <c r="R41" s="77">
        <v>0</v>
      </c>
      <c r="S41" s="77">
        <v>0</v>
      </c>
      <c r="T41" s="77">
        <v>0</v>
      </c>
      <c r="U41" s="77">
        <v>0</v>
      </c>
      <c r="V41" s="77">
        <v>0</v>
      </c>
      <c r="W41" s="77">
        <v>0</v>
      </c>
      <c r="X41" s="77">
        <v>0</v>
      </c>
      <c r="Y41" s="77">
        <v>0</v>
      </c>
      <c r="Z41" s="77">
        <v>0</v>
      </c>
      <c r="AA41" s="77">
        <v>0</v>
      </c>
      <c r="AB41" s="77">
        <v>0</v>
      </c>
      <c r="AC41" s="77">
        <v>0</v>
      </c>
      <c r="AD41" s="77">
        <v>0</v>
      </c>
      <c r="AE41" s="77">
        <v>0</v>
      </c>
      <c r="AF41" s="77">
        <v>0</v>
      </c>
      <c r="AG41" s="77">
        <v>0</v>
      </c>
      <c r="AH41" s="77">
        <v>0</v>
      </c>
      <c r="AI41" s="77">
        <v>0</v>
      </c>
      <c r="AJ41" s="77">
        <v>0</v>
      </c>
      <c r="AK41" s="77">
        <v>0</v>
      </c>
      <c r="AL41" s="77">
        <v>0</v>
      </c>
      <c r="AM41" s="77">
        <v>0</v>
      </c>
      <c r="AN41" s="77">
        <v>0</v>
      </c>
      <c r="AO41" s="77">
        <v>0</v>
      </c>
      <c r="AP41" s="77">
        <v>0</v>
      </c>
      <c r="AQ41" s="77">
        <v>0</v>
      </c>
      <c r="AR41" s="77">
        <v>0</v>
      </c>
      <c r="AS41" s="77">
        <v>0</v>
      </c>
      <c r="AT41" s="77">
        <v>0</v>
      </c>
      <c r="AU41" s="77">
        <v>0</v>
      </c>
      <c r="AV41" s="77">
        <v>0</v>
      </c>
      <c r="AW41" s="78">
        <v>0</v>
      </c>
      <c r="AY41" s="50">
        <f t="shared" si="0"/>
        <v>0</v>
      </c>
    </row>
    <row r="42" spans="1:51" ht="14" thickTop="1"/>
  </sheetData>
  <mergeCells count="9">
    <mergeCell ref="I1:I2"/>
    <mergeCell ref="J1:J2"/>
    <mergeCell ref="M2:P2"/>
    <mergeCell ref="A1:A2"/>
    <mergeCell ref="B1:B2"/>
    <mergeCell ref="C1:C2"/>
    <mergeCell ref="D1:D2"/>
    <mergeCell ref="E1:F1"/>
    <mergeCell ref="G1:H1"/>
  </mergeCells>
  <conditionalFormatting sqref="A8:B9">
    <cfRule type="containsBlanks" dxfId="1" priority="2">
      <formula>LEN(TRIM(A8))=0</formula>
    </cfRule>
  </conditionalFormatting>
  <conditionalFormatting sqref="C8:C9">
    <cfRule type="containsBlanks" dxfId="0" priority="1">
      <formula>LEN(TRIM(C8))=0</formula>
    </cfRule>
  </conditionalFormatting>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5">
    <tabColor theme="4"/>
  </sheetPr>
  <dimension ref="A1:DJ111"/>
  <sheetViews>
    <sheetView zoomScaleNormal="100" workbookViewId="0">
      <selection activeCell="D8" sqref="D8"/>
    </sheetView>
  </sheetViews>
  <sheetFormatPr baseColWidth="10" defaultColWidth="9.1640625" defaultRowHeight="13"/>
  <cols>
    <col min="1" max="1" width="19.5" style="116" bestFit="1" customWidth="1"/>
    <col min="2" max="2" width="18.5" style="116" bestFit="1" customWidth="1"/>
    <col min="3" max="3" width="15.5" style="116" customWidth="1"/>
    <col min="4" max="4" width="14.5" style="116" customWidth="1"/>
    <col min="5" max="6" width="11.5" style="116" bestFit="1" customWidth="1"/>
    <col min="7" max="7" width="13.1640625" style="116" bestFit="1" customWidth="1"/>
    <col min="8" max="9" width="12" style="116" bestFit="1" customWidth="1"/>
    <col min="10" max="10" width="12.5" style="116" customWidth="1"/>
    <col min="11" max="11" width="11.5" style="116" customWidth="1"/>
    <col min="12" max="12" width="12.5" style="116" customWidth="1"/>
    <col min="13" max="13" width="14.5" style="116" customWidth="1"/>
    <col min="14" max="14" width="13.5" style="116" customWidth="1"/>
    <col min="15" max="16" width="12.5" style="116" customWidth="1"/>
    <col min="17" max="17" width="12.1640625" style="116" customWidth="1"/>
    <col min="18" max="18" width="11.5" style="116" customWidth="1"/>
    <col min="19" max="19" width="12" style="116" customWidth="1"/>
    <col min="20" max="20" width="12.5" style="116" customWidth="1"/>
    <col min="21" max="21" width="12" style="116" customWidth="1"/>
    <col min="22" max="22" width="12.1640625" style="116" customWidth="1"/>
    <col min="23" max="23" width="12" style="116" customWidth="1"/>
    <col min="24" max="24" width="12.1640625" style="116" customWidth="1"/>
    <col min="25" max="27" width="11.5" style="116" customWidth="1"/>
    <col min="28" max="28" width="12" style="116" customWidth="1"/>
    <col min="29" max="29" width="11.5" style="116" customWidth="1"/>
    <col min="30" max="49" width="11.1640625" style="116" bestFit="1" customWidth="1"/>
    <col min="50" max="50" width="15.5" style="116" customWidth="1"/>
    <col min="51" max="51" width="28" style="116" bestFit="1" customWidth="1"/>
    <col min="52" max="52" width="11.5" style="116" bestFit="1" customWidth="1"/>
    <col min="53" max="94" width="10.5" style="116" bestFit="1" customWidth="1"/>
    <col min="95" max="95" width="12" style="116" bestFit="1" customWidth="1"/>
    <col min="96" max="96" width="13.1640625" style="116" bestFit="1" customWidth="1"/>
    <col min="97" max="97" width="10.5" style="116" bestFit="1" customWidth="1"/>
    <col min="98" max="98" width="13.1640625" style="116" bestFit="1" customWidth="1"/>
    <col min="99" max="99" width="9.1640625" style="116"/>
    <col min="100" max="102" width="11.5" style="116" bestFit="1" customWidth="1"/>
    <col min="103" max="103" width="9.1640625" style="116"/>
    <col min="104" max="104" width="9.5" style="116" bestFit="1" customWidth="1"/>
    <col min="105" max="107" width="11.5" style="116" bestFit="1" customWidth="1"/>
    <col min="108" max="16384" width="9.1640625" style="116"/>
  </cols>
  <sheetData>
    <row r="1" spans="1:49" ht="16">
      <c r="A1" s="1380"/>
      <c r="B1" s="1379"/>
      <c r="C1" s="1379"/>
      <c r="D1" s="1379"/>
      <c r="E1" s="1379"/>
      <c r="F1" s="1379"/>
      <c r="G1" s="1379"/>
      <c r="H1" s="1379"/>
      <c r="I1" s="1379"/>
      <c r="J1" s="1379"/>
      <c r="K1" s="113"/>
      <c r="L1" s="114"/>
      <c r="M1" s="115"/>
      <c r="N1" s="115"/>
    </row>
    <row r="2" spans="1:49" ht="15">
      <c r="A2" s="1380"/>
      <c r="B2" s="1379"/>
      <c r="C2" s="1379"/>
      <c r="D2" s="1379"/>
      <c r="E2" s="117"/>
      <c r="F2" s="117"/>
      <c r="G2" s="117"/>
      <c r="H2" s="117"/>
      <c r="I2" s="1379"/>
      <c r="J2" s="1379"/>
      <c r="K2" s="113"/>
      <c r="L2" s="118"/>
      <c r="M2" s="118"/>
      <c r="N2" s="118"/>
    </row>
    <row r="3" spans="1:49">
      <c r="A3" s="119" t="s">
        <v>219</v>
      </c>
    </row>
    <row r="5" spans="1:49" ht="16" thickBot="1">
      <c r="A5" s="120" t="s">
        <v>220</v>
      </c>
    </row>
    <row r="6" spans="1:49" ht="17" thickTop="1" thickBot="1">
      <c r="A6" s="121" t="s">
        <v>221</v>
      </c>
      <c r="B6" s="122" t="s">
        <v>222</v>
      </c>
      <c r="C6" s="122" t="s">
        <v>223</v>
      </c>
      <c r="D6" s="122" t="s">
        <v>75</v>
      </c>
      <c r="E6" s="122" t="s">
        <v>100</v>
      </c>
      <c r="F6" s="122" t="s">
        <v>77</v>
      </c>
      <c r="G6" s="122" t="s">
        <v>96</v>
      </c>
      <c r="H6" s="122" t="s">
        <v>51</v>
      </c>
      <c r="I6" s="122" t="s">
        <v>224</v>
      </c>
      <c r="J6" s="122" t="s">
        <v>225</v>
      </c>
      <c r="K6" s="122" t="s">
        <v>226</v>
      </c>
      <c r="L6" s="122" t="s">
        <v>70</v>
      </c>
      <c r="M6" s="122" t="s">
        <v>227</v>
      </c>
      <c r="N6" s="123" t="s">
        <v>228</v>
      </c>
    </row>
    <row r="7" spans="1:49" ht="15">
      <c r="A7" s="124" t="s">
        <v>128</v>
      </c>
      <c r="B7" s="125" t="s">
        <v>229</v>
      </c>
      <c r="C7" s="125" t="s">
        <v>121</v>
      </c>
      <c r="D7" s="125" t="s">
        <v>122</v>
      </c>
      <c r="E7" s="125" t="s">
        <v>127</v>
      </c>
      <c r="F7" s="125" t="s">
        <v>123</v>
      </c>
      <c r="G7" s="125" t="s">
        <v>124</v>
      </c>
      <c r="H7" s="125" t="s">
        <v>125</v>
      </c>
      <c r="I7" s="125" t="s">
        <v>126</v>
      </c>
      <c r="J7" s="125" t="s">
        <v>230</v>
      </c>
      <c r="K7" s="125" t="s">
        <v>231</v>
      </c>
      <c r="L7" s="125" t="s">
        <v>232</v>
      </c>
      <c r="M7" s="125" t="s">
        <v>233</v>
      </c>
      <c r="N7" s="126" t="s">
        <v>234</v>
      </c>
    </row>
    <row r="8" spans="1:49" ht="15">
      <c r="A8" s="124"/>
      <c r="B8" s="125"/>
      <c r="C8" s="125"/>
      <c r="D8" s="125" t="s">
        <v>129</v>
      </c>
      <c r="E8" s="125"/>
      <c r="F8" s="125" t="s">
        <v>130</v>
      </c>
      <c r="G8" s="125" t="s">
        <v>131</v>
      </c>
      <c r="H8" s="125" t="s">
        <v>235</v>
      </c>
      <c r="I8" s="125" t="s">
        <v>132</v>
      </c>
      <c r="J8" s="125" t="s">
        <v>236</v>
      </c>
      <c r="K8" s="125"/>
      <c r="L8" s="125"/>
      <c r="M8" s="125"/>
      <c r="N8" s="126"/>
    </row>
    <row r="9" spans="1:49" ht="15">
      <c r="A9" s="124"/>
      <c r="B9" s="125"/>
      <c r="C9" s="125"/>
      <c r="D9" s="125"/>
      <c r="E9" s="125"/>
      <c r="F9" s="125" t="s">
        <v>133</v>
      </c>
      <c r="G9" s="125" t="s">
        <v>134</v>
      </c>
      <c r="H9" s="125"/>
      <c r="I9" s="125"/>
      <c r="J9" s="125" t="s">
        <v>237</v>
      </c>
      <c r="K9" s="125"/>
      <c r="L9" s="125"/>
      <c r="M9" s="125"/>
      <c r="N9" s="126"/>
    </row>
    <row r="10" spans="1:49" ht="16" thickBot="1">
      <c r="A10" s="127"/>
      <c r="B10" s="128"/>
      <c r="C10" s="128"/>
      <c r="D10" s="128"/>
      <c r="E10" s="128"/>
      <c r="F10" s="128"/>
      <c r="G10" s="128" t="s">
        <v>135</v>
      </c>
      <c r="H10" s="128"/>
      <c r="I10" s="128"/>
      <c r="J10" s="128"/>
      <c r="K10" s="128"/>
      <c r="L10" s="128"/>
      <c r="M10" s="128"/>
      <c r="N10" s="129"/>
    </row>
    <row r="11" spans="1:49" ht="14" thickTop="1"/>
    <row r="13" spans="1:49" ht="15">
      <c r="A13" s="120" t="s">
        <v>238</v>
      </c>
      <c r="C13" s="116">
        <f>C19</f>
        <v>1966</v>
      </c>
      <c r="D13" s="116">
        <f t="shared" ref="D13:AW13" si="0">D19</f>
        <v>1967</v>
      </c>
      <c r="E13" s="116">
        <f t="shared" si="0"/>
        <v>1968</v>
      </c>
      <c r="F13" s="116">
        <f t="shared" si="0"/>
        <v>1969</v>
      </c>
      <c r="G13" s="116">
        <f t="shared" si="0"/>
        <v>1970</v>
      </c>
      <c r="H13" s="116">
        <f t="shared" si="0"/>
        <v>1971</v>
      </c>
      <c r="I13" s="116">
        <f t="shared" si="0"/>
        <v>1972</v>
      </c>
      <c r="J13" s="116">
        <f t="shared" si="0"/>
        <v>1973</v>
      </c>
      <c r="K13" s="116">
        <f t="shared" si="0"/>
        <v>1974</v>
      </c>
      <c r="L13" s="116">
        <f t="shared" si="0"/>
        <v>1975</v>
      </c>
      <c r="M13" s="116">
        <f t="shared" si="0"/>
        <v>1976</v>
      </c>
      <c r="N13" s="116">
        <f t="shared" si="0"/>
        <v>1977</v>
      </c>
      <c r="O13" s="116">
        <f t="shared" si="0"/>
        <v>1978</v>
      </c>
      <c r="P13" s="116">
        <f t="shared" si="0"/>
        <v>1979</v>
      </c>
      <c r="Q13" s="116">
        <f t="shared" si="0"/>
        <v>1980</v>
      </c>
      <c r="R13" s="116">
        <f t="shared" si="0"/>
        <v>1981</v>
      </c>
      <c r="S13" s="116">
        <f t="shared" si="0"/>
        <v>1982</v>
      </c>
      <c r="T13" s="116">
        <f t="shared" si="0"/>
        <v>1983</v>
      </c>
      <c r="U13" s="116">
        <f t="shared" si="0"/>
        <v>1984</v>
      </c>
      <c r="V13" s="116">
        <f t="shared" si="0"/>
        <v>1985</v>
      </c>
      <c r="W13" s="116">
        <f t="shared" si="0"/>
        <v>1986</v>
      </c>
      <c r="X13" s="116">
        <f t="shared" si="0"/>
        <v>1987</v>
      </c>
      <c r="Y13" s="116">
        <f t="shared" si="0"/>
        <v>1988</v>
      </c>
      <c r="Z13" s="116">
        <f t="shared" si="0"/>
        <v>1989</v>
      </c>
      <c r="AA13" s="116">
        <f t="shared" si="0"/>
        <v>1990</v>
      </c>
      <c r="AB13" s="116">
        <f t="shared" si="0"/>
        <v>1991</v>
      </c>
      <c r="AC13" s="116">
        <f t="shared" si="0"/>
        <v>1992</v>
      </c>
      <c r="AD13" s="116">
        <f t="shared" si="0"/>
        <v>1993</v>
      </c>
      <c r="AE13" s="116">
        <f t="shared" si="0"/>
        <v>1994</v>
      </c>
      <c r="AF13" s="116">
        <f t="shared" si="0"/>
        <v>1995</v>
      </c>
      <c r="AG13" s="116">
        <f t="shared" si="0"/>
        <v>1996</v>
      </c>
      <c r="AH13" s="116">
        <f t="shared" si="0"/>
        <v>1997</v>
      </c>
      <c r="AI13" s="116">
        <f t="shared" si="0"/>
        <v>1998</v>
      </c>
      <c r="AJ13" s="116">
        <f t="shared" si="0"/>
        <v>1999</v>
      </c>
      <c r="AK13" s="116">
        <f t="shared" si="0"/>
        <v>2000</v>
      </c>
      <c r="AL13" s="116">
        <f t="shared" si="0"/>
        <v>2001</v>
      </c>
      <c r="AM13" s="116">
        <f t="shared" si="0"/>
        <v>2002</v>
      </c>
      <c r="AN13" s="116">
        <f t="shared" si="0"/>
        <v>2003</v>
      </c>
      <c r="AO13" s="116">
        <f t="shared" si="0"/>
        <v>2004</v>
      </c>
      <c r="AP13" s="116">
        <f t="shared" si="0"/>
        <v>2005</v>
      </c>
      <c r="AQ13" s="116">
        <f t="shared" si="0"/>
        <v>2006</v>
      </c>
      <c r="AR13" s="116">
        <f t="shared" si="0"/>
        <v>2007</v>
      </c>
      <c r="AS13" s="116">
        <f t="shared" si="0"/>
        <v>2008</v>
      </c>
      <c r="AT13" s="116">
        <f t="shared" si="0"/>
        <v>2009</v>
      </c>
      <c r="AU13" s="116">
        <f t="shared" si="0"/>
        <v>2010</v>
      </c>
      <c r="AV13" s="116">
        <f t="shared" si="0"/>
        <v>2011</v>
      </c>
      <c r="AW13" s="116">
        <f t="shared" si="0"/>
        <v>2012</v>
      </c>
    </row>
    <row r="14" spans="1:49">
      <c r="A14" s="119" t="s">
        <v>239</v>
      </c>
      <c r="C14" s="130">
        <f t="shared" ref="C14:AW14" si="1">SUM(C20:C33)/C37</f>
        <v>0.99971324958170915</v>
      </c>
      <c r="D14" s="130">
        <f t="shared" si="1"/>
        <v>0.9386694592656698</v>
      </c>
      <c r="E14" s="130">
        <f t="shared" si="1"/>
        <v>0.97891871130519703</v>
      </c>
      <c r="F14" s="130">
        <f t="shared" si="1"/>
        <v>0.92788728196621739</v>
      </c>
      <c r="G14" s="130">
        <f t="shared" si="1"/>
        <v>0.95907408347135203</v>
      </c>
      <c r="H14" s="130">
        <f t="shared" si="1"/>
        <v>0.98956750041324748</v>
      </c>
      <c r="I14" s="130">
        <f t="shared" si="1"/>
        <v>0.97409260022690913</v>
      </c>
      <c r="J14" s="130">
        <f t="shared" si="1"/>
        <v>0.91093512254792297</v>
      </c>
      <c r="K14" s="130">
        <f t="shared" si="1"/>
        <v>0.93168167262016899</v>
      </c>
      <c r="L14" s="130">
        <f t="shared" si="1"/>
        <v>0.99732568143711975</v>
      </c>
      <c r="M14" s="130">
        <f t="shared" si="1"/>
        <v>1.0448397164948047</v>
      </c>
      <c r="N14" s="130">
        <f t="shared" si="1"/>
        <v>1.012683036968768</v>
      </c>
      <c r="O14" s="130">
        <f t="shared" si="1"/>
        <v>1.0059976530878547</v>
      </c>
      <c r="P14" s="130">
        <f t="shared" si="1"/>
        <v>1.0367875218910647</v>
      </c>
      <c r="Q14" s="130">
        <f t="shared" si="1"/>
        <v>1.080310540402269</v>
      </c>
      <c r="R14" s="130">
        <f t="shared" si="1"/>
        <v>1.0617087861714194</v>
      </c>
      <c r="S14" s="130">
        <f t="shared" si="1"/>
        <v>1.1379179798011689</v>
      </c>
      <c r="T14" s="130">
        <f t="shared" si="1"/>
        <v>1.0906838246304673</v>
      </c>
      <c r="U14" s="130">
        <f t="shared" si="1"/>
        <v>1.0883657291397635</v>
      </c>
      <c r="V14" s="130">
        <f t="shared" si="1"/>
        <v>1.0546015713139747</v>
      </c>
      <c r="W14" s="130">
        <f t="shared" si="1"/>
        <v>1.0698631243333847</v>
      </c>
      <c r="X14" s="130">
        <f t="shared" si="1"/>
        <v>1.0882602957302334</v>
      </c>
      <c r="Y14" s="130">
        <f t="shared" si="1"/>
        <v>1.0941005317018644</v>
      </c>
      <c r="Z14" s="130">
        <f t="shared" si="1"/>
        <v>1.0876472933388903</v>
      </c>
      <c r="AA14" s="130">
        <f t="shared" si="1"/>
        <v>1.0759188408148379</v>
      </c>
      <c r="AB14" s="130">
        <f t="shared" si="1"/>
        <v>1.0417788397807244</v>
      </c>
      <c r="AC14" s="130">
        <f t="shared" si="1"/>
        <v>1.0077152739722475</v>
      </c>
      <c r="AD14" s="130">
        <f t="shared" si="1"/>
        <v>1.035019602292633</v>
      </c>
      <c r="AE14" s="130">
        <f t="shared" si="1"/>
        <v>1.0322608116348859</v>
      </c>
      <c r="AF14" s="130">
        <f t="shared" si="1"/>
        <v>1.0142434107296672</v>
      </c>
      <c r="AG14" s="130">
        <f t="shared" si="1"/>
        <v>1.0259817392235322</v>
      </c>
      <c r="AH14" s="130">
        <f t="shared" si="1"/>
        <v>1.0158211589344759</v>
      </c>
      <c r="AI14" s="130">
        <f t="shared" si="1"/>
        <v>0.99599229065103967</v>
      </c>
      <c r="AJ14" s="130">
        <f t="shared" si="1"/>
        <v>1.0169909632468461</v>
      </c>
      <c r="AK14" s="130">
        <f t="shared" si="1"/>
        <v>1.0241370135623036</v>
      </c>
      <c r="AL14" s="130">
        <f t="shared" si="1"/>
        <v>1.0358092568020993</v>
      </c>
      <c r="AM14" s="130">
        <f t="shared" si="1"/>
        <v>1.0216634157279378</v>
      </c>
      <c r="AN14" s="130">
        <f t="shared" si="1"/>
        <v>1.0055409827568671</v>
      </c>
      <c r="AO14" s="130">
        <f t="shared" si="1"/>
        <v>0.99816572816425353</v>
      </c>
      <c r="AP14" s="130">
        <f t="shared" si="1"/>
        <v>0.99869959691354637</v>
      </c>
      <c r="AQ14" s="130">
        <f t="shared" si="1"/>
        <v>1.0091910673742228</v>
      </c>
      <c r="AR14" s="130">
        <f t="shared" si="1"/>
        <v>1.0188577573407216</v>
      </c>
      <c r="AS14" s="130">
        <f t="shared" si="1"/>
        <v>1.0351881023668079</v>
      </c>
      <c r="AT14" s="130">
        <f t="shared" si="1"/>
        <v>1.0237459002311977</v>
      </c>
      <c r="AU14" s="130">
        <f t="shared" si="1"/>
        <v>1.0457724442255836</v>
      </c>
      <c r="AV14" s="130">
        <f t="shared" si="1"/>
        <v>1.0168160085485036</v>
      </c>
      <c r="AW14" s="130">
        <f t="shared" si="1"/>
        <v>1.0143530385297808</v>
      </c>
    </row>
    <row r="15" spans="1:49">
      <c r="A15" s="131" t="s">
        <v>240</v>
      </c>
      <c r="B15" s="131"/>
      <c r="C15" s="132">
        <f t="shared" ref="C15:AW15" si="2">SUM(C20:C33)/SUM(C37:C38)</f>
        <v>0.99971324958170915</v>
      </c>
      <c r="D15" s="132">
        <f t="shared" si="2"/>
        <v>0.9386694592656698</v>
      </c>
      <c r="E15" s="132">
        <f t="shared" si="2"/>
        <v>0.97891871130519703</v>
      </c>
      <c r="F15" s="132">
        <f t="shared" si="2"/>
        <v>0.92788728196621739</v>
      </c>
      <c r="G15" s="132">
        <f t="shared" si="2"/>
        <v>0.95907408347135203</v>
      </c>
      <c r="H15" s="132">
        <f t="shared" si="2"/>
        <v>0.98956750041324748</v>
      </c>
      <c r="I15" s="132">
        <f t="shared" si="2"/>
        <v>0.97409260022690913</v>
      </c>
      <c r="J15" s="132">
        <f t="shared" si="2"/>
        <v>0.91093512254792297</v>
      </c>
      <c r="K15" s="132">
        <f t="shared" si="2"/>
        <v>0.93031515320643832</v>
      </c>
      <c r="L15" s="132">
        <f t="shared" si="2"/>
        <v>0.99422165091952031</v>
      </c>
      <c r="M15" s="132">
        <f t="shared" si="2"/>
        <v>0.99115054358254828</v>
      </c>
      <c r="N15" s="132">
        <f t="shared" si="2"/>
        <v>0.98822678278892562</v>
      </c>
      <c r="O15" s="132">
        <f t="shared" si="2"/>
        <v>0.98525584633938368</v>
      </c>
      <c r="P15" s="132">
        <f t="shared" si="2"/>
        <v>0.99227845916788582</v>
      </c>
      <c r="Q15" s="132">
        <f t="shared" si="2"/>
        <v>0.940175410953077</v>
      </c>
      <c r="R15" s="132">
        <f t="shared" si="2"/>
        <v>0.9855104613992699</v>
      </c>
      <c r="S15" s="132">
        <f t="shared" si="2"/>
        <v>0.98195548868960603</v>
      </c>
      <c r="T15" s="132">
        <f t="shared" si="2"/>
        <v>0.98745562846712442</v>
      </c>
      <c r="U15" s="132">
        <f t="shared" si="2"/>
        <v>1.0073943369735952</v>
      </c>
      <c r="V15" s="132">
        <f t="shared" si="2"/>
        <v>0.99249846864526947</v>
      </c>
      <c r="W15" s="132">
        <f t="shared" si="2"/>
        <v>0.98802817518584696</v>
      </c>
      <c r="X15" s="132">
        <f t="shared" si="2"/>
        <v>1.0001575545723</v>
      </c>
      <c r="Y15" s="132">
        <f t="shared" si="2"/>
        <v>0.99670807267209294</v>
      </c>
      <c r="Z15" s="132">
        <f t="shared" si="2"/>
        <v>0.9837586491949607</v>
      </c>
      <c r="AA15" s="132">
        <f t="shared" si="2"/>
        <v>0.98974980067726581</v>
      </c>
      <c r="AB15" s="132">
        <f t="shared" si="2"/>
        <v>0.99155629245539434</v>
      </c>
      <c r="AC15" s="132">
        <f t="shared" si="2"/>
        <v>0.98708931870790462</v>
      </c>
      <c r="AD15" s="132">
        <f t="shared" si="2"/>
        <v>0.97308021500790876</v>
      </c>
      <c r="AE15" s="132">
        <f t="shared" si="2"/>
        <v>1.0001805502821794</v>
      </c>
      <c r="AF15" s="132">
        <f t="shared" si="2"/>
        <v>0.99542600741164156</v>
      </c>
      <c r="AG15" s="132">
        <f t="shared" si="2"/>
        <v>1.0144510579268426</v>
      </c>
      <c r="AH15" s="132">
        <f t="shared" si="2"/>
        <v>1.0066474998304233</v>
      </c>
      <c r="AI15" s="132">
        <f t="shared" si="2"/>
        <v>0.98778553531420821</v>
      </c>
      <c r="AJ15" s="132">
        <f t="shared" si="2"/>
        <v>0.98546621367577902</v>
      </c>
      <c r="AK15" s="132">
        <f t="shared" si="2"/>
        <v>1.0075033397553534</v>
      </c>
      <c r="AL15" s="132">
        <f t="shared" si="2"/>
        <v>1.027618554535213</v>
      </c>
      <c r="AM15" s="132">
        <f t="shared" si="2"/>
        <v>1.0133324765597054</v>
      </c>
      <c r="AN15" s="132">
        <f t="shared" si="2"/>
        <v>0.9982290068070625</v>
      </c>
      <c r="AO15" s="132">
        <f t="shared" si="2"/>
        <v>0.99606147265323708</v>
      </c>
      <c r="AP15" s="132">
        <f t="shared" si="2"/>
        <v>0.98997275809571494</v>
      </c>
      <c r="AQ15" s="132">
        <f t="shared" si="2"/>
        <v>0.99741178955276766</v>
      </c>
      <c r="AR15" s="132">
        <f t="shared" si="2"/>
        <v>1.0152177808950613</v>
      </c>
      <c r="AS15" s="132">
        <f t="shared" si="2"/>
        <v>1.0310703294009813</v>
      </c>
      <c r="AT15" s="132">
        <f t="shared" si="2"/>
        <v>1.0182730495141552</v>
      </c>
      <c r="AU15" s="132">
        <f t="shared" si="2"/>
        <v>1.0384561173065334</v>
      </c>
      <c r="AV15" s="132">
        <f t="shared" si="2"/>
        <v>1.0093708173955545</v>
      </c>
      <c r="AW15" s="132">
        <f t="shared" si="2"/>
        <v>1.0122844099143604</v>
      </c>
    </row>
    <row r="16" spans="1:49">
      <c r="A16" s="119" t="s">
        <v>241</v>
      </c>
      <c r="C16" s="130">
        <f>(SUM(C59:C64))/(C74+C75)</f>
        <v>0.97414622529378481</v>
      </c>
      <c r="D16" s="130">
        <f t="shared" ref="D16:AW16" si="3">(SUM(D59:D64))/(D74+D75)</f>
        <v>0.92116210588242409</v>
      </c>
      <c r="E16" s="130">
        <f t="shared" si="3"/>
        <v>0.95923300239725406</v>
      </c>
      <c r="F16" s="130">
        <f t="shared" si="3"/>
        <v>0.909222941215312</v>
      </c>
      <c r="G16" s="130">
        <f t="shared" si="3"/>
        <v>0.9385918334270531</v>
      </c>
      <c r="H16" s="130">
        <f t="shared" si="3"/>
        <v>0.96988247645129022</v>
      </c>
      <c r="I16" s="130">
        <f t="shared" si="3"/>
        <v>0.95184268288326179</v>
      </c>
      <c r="J16" s="130">
        <f t="shared" si="3"/>
        <v>0.89277234684846407</v>
      </c>
      <c r="K16" s="130">
        <f t="shared" si="3"/>
        <v>0.91074344750086533</v>
      </c>
      <c r="L16" s="130">
        <f t="shared" si="3"/>
        <v>0.92611395879821268</v>
      </c>
      <c r="M16" s="130">
        <f t="shared" si="3"/>
        <v>0.93115394143508257</v>
      </c>
      <c r="N16" s="130">
        <f t="shared" si="3"/>
        <v>0.92519123193623809</v>
      </c>
      <c r="O16" s="130">
        <f t="shared" si="3"/>
        <v>0.93339715245183874</v>
      </c>
      <c r="P16" s="130">
        <f t="shared" si="3"/>
        <v>0.93900737817089952</v>
      </c>
      <c r="Q16" s="130">
        <f t="shared" si="3"/>
        <v>0.88755559353951907</v>
      </c>
      <c r="R16" s="130">
        <f t="shared" si="3"/>
        <v>0.91829442302846376</v>
      </c>
      <c r="S16" s="130">
        <f t="shared" si="3"/>
        <v>0.91715279027341501</v>
      </c>
      <c r="T16" s="130">
        <f t="shared" si="3"/>
        <v>0.93648078170559701</v>
      </c>
      <c r="U16" s="130">
        <f t="shared" si="3"/>
        <v>0.95601349878020536</v>
      </c>
      <c r="V16" s="130">
        <f t="shared" si="3"/>
        <v>0.93942437829262038</v>
      </c>
      <c r="W16" s="130">
        <f t="shared" si="3"/>
        <v>0.93933500640655243</v>
      </c>
      <c r="X16" s="130">
        <f t="shared" si="3"/>
        <v>0.95184586466737842</v>
      </c>
      <c r="Y16" s="130">
        <f t="shared" si="3"/>
        <v>0.94597813671044551</v>
      </c>
      <c r="Z16" s="130">
        <f t="shared" si="3"/>
        <v>0.93770162033724302</v>
      </c>
      <c r="AA16" s="130">
        <f t="shared" si="3"/>
        <v>0.94321265977467672</v>
      </c>
      <c r="AB16" s="130">
        <f t="shared" si="3"/>
        <v>0.94351289958826434</v>
      </c>
      <c r="AC16" s="130">
        <f t="shared" si="3"/>
        <v>0.93585662444873774</v>
      </c>
      <c r="AD16" s="130">
        <f t="shared" si="3"/>
        <v>0.92281149245327843</v>
      </c>
      <c r="AE16" s="130">
        <f t="shared" si="3"/>
        <v>0.94865830051698496</v>
      </c>
      <c r="AF16" s="130">
        <f t="shared" si="3"/>
        <v>0.94259015965260662</v>
      </c>
      <c r="AG16" s="130">
        <f t="shared" si="3"/>
        <v>0.96204768257313333</v>
      </c>
      <c r="AH16" s="130">
        <f t="shared" si="3"/>
        <v>0.95605468080331579</v>
      </c>
      <c r="AI16" s="130">
        <f t="shared" si="3"/>
        <v>0.93960386296821785</v>
      </c>
      <c r="AJ16" s="130">
        <f t="shared" si="3"/>
        <v>0.9210920147181878</v>
      </c>
      <c r="AK16" s="130">
        <f t="shared" si="3"/>
        <v>0.94127795574163764</v>
      </c>
      <c r="AL16" s="130">
        <f t="shared" si="3"/>
        <v>0.95505806547322025</v>
      </c>
      <c r="AM16" s="130">
        <f t="shared" si="3"/>
        <v>0.94381895297795082</v>
      </c>
      <c r="AN16" s="130">
        <f t="shared" si="3"/>
        <v>0.93597707006052944</v>
      </c>
      <c r="AO16" s="130">
        <f t="shared" si="3"/>
        <v>0.93428673416228647</v>
      </c>
      <c r="AP16" s="130">
        <f t="shared" si="3"/>
        <v>0.92857144928227087</v>
      </c>
      <c r="AQ16" s="130">
        <f t="shared" si="3"/>
        <v>0.93767904472045227</v>
      </c>
      <c r="AR16" s="130">
        <f t="shared" si="3"/>
        <v>0.95297496095970646</v>
      </c>
      <c r="AS16" s="130">
        <f t="shared" si="3"/>
        <v>0.93712510490814094</v>
      </c>
      <c r="AT16" s="130">
        <f t="shared" si="3"/>
        <v>0.93676195774884319</v>
      </c>
      <c r="AU16" s="130">
        <f t="shared" si="3"/>
        <v>0.9554443053405679</v>
      </c>
      <c r="AV16" s="130">
        <f t="shared" si="3"/>
        <v>0.92652401501752812</v>
      </c>
      <c r="AW16" s="130">
        <f t="shared" si="3"/>
        <v>0.93850532367061368</v>
      </c>
    </row>
    <row r="18" spans="1:114" ht="16" thickBot="1">
      <c r="A18" s="120" t="s">
        <v>242</v>
      </c>
    </row>
    <row r="19" spans="1:114" ht="34" thickTop="1" thickBot="1">
      <c r="A19" s="133" t="s">
        <v>136</v>
      </c>
      <c r="B19" s="134" t="s">
        <v>137</v>
      </c>
      <c r="C19" s="135">
        <v>1966</v>
      </c>
      <c r="D19" s="136">
        <v>1967</v>
      </c>
      <c r="E19" s="136">
        <v>1968</v>
      </c>
      <c r="F19" s="136">
        <v>1969</v>
      </c>
      <c r="G19" s="136">
        <v>1970</v>
      </c>
      <c r="H19" s="136">
        <v>1971</v>
      </c>
      <c r="I19" s="136">
        <v>1972</v>
      </c>
      <c r="J19" s="136">
        <v>1973</v>
      </c>
      <c r="K19" s="136">
        <v>1974</v>
      </c>
      <c r="L19" s="136">
        <v>1975</v>
      </c>
      <c r="M19" s="136">
        <v>1976</v>
      </c>
      <c r="N19" s="136">
        <v>1977</v>
      </c>
      <c r="O19" s="136">
        <v>1978</v>
      </c>
      <c r="P19" s="136">
        <v>1979</v>
      </c>
      <c r="Q19" s="136">
        <v>1980</v>
      </c>
      <c r="R19" s="136">
        <v>1981</v>
      </c>
      <c r="S19" s="136">
        <v>1982</v>
      </c>
      <c r="T19" s="136">
        <v>1983</v>
      </c>
      <c r="U19" s="136">
        <v>1984</v>
      </c>
      <c r="V19" s="136">
        <v>1985</v>
      </c>
      <c r="W19" s="136">
        <v>1986</v>
      </c>
      <c r="X19" s="136">
        <v>1987</v>
      </c>
      <c r="Y19" s="136">
        <v>1988</v>
      </c>
      <c r="Z19" s="136">
        <v>1989</v>
      </c>
      <c r="AA19" s="136">
        <v>1990</v>
      </c>
      <c r="AB19" s="136">
        <v>1991</v>
      </c>
      <c r="AC19" s="136">
        <v>1992</v>
      </c>
      <c r="AD19" s="136">
        <v>1993</v>
      </c>
      <c r="AE19" s="136">
        <v>1994</v>
      </c>
      <c r="AF19" s="136">
        <v>1995</v>
      </c>
      <c r="AG19" s="136">
        <v>1996</v>
      </c>
      <c r="AH19" s="136">
        <v>1997</v>
      </c>
      <c r="AI19" s="136">
        <v>1998</v>
      </c>
      <c r="AJ19" s="136">
        <v>1999</v>
      </c>
      <c r="AK19" s="136">
        <v>2000</v>
      </c>
      <c r="AL19" s="136">
        <v>2001</v>
      </c>
      <c r="AM19" s="136">
        <v>2002</v>
      </c>
      <c r="AN19" s="136">
        <v>2003</v>
      </c>
      <c r="AO19" s="136">
        <v>2004</v>
      </c>
      <c r="AP19" s="136">
        <v>2005</v>
      </c>
      <c r="AQ19" s="136">
        <v>2006</v>
      </c>
      <c r="AR19" s="136">
        <v>2007</v>
      </c>
      <c r="AS19" s="136">
        <v>2008</v>
      </c>
      <c r="AT19" s="136">
        <v>2009</v>
      </c>
      <c r="AU19" s="136">
        <v>2010</v>
      </c>
      <c r="AV19" s="136">
        <v>2011</v>
      </c>
      <c r="AW19" s="137">
        <v>2012</v>
      </c>
      <c r="CW19" s="119" t="s">
        <v>243</v>
      </c>
      <c r="DB19" s="119" t="s">
        <v>244</v>
      </c>
    </row>
    <row r="20" spans="1:114" ht="17" thickTop="1" thickBot="1">
      <c r="A20" s="138" t="s">
        <v>245</v>
      </c>
      <c r="B20" s="139" t="s">
        <v>221</v>
      </c>
      <c r="C20" s="140">
        <v>0</v>
      </c>
      <c r="D20" s="141">
        <v>0</v>
      </c>
      <c r="E20" s="141">
        <v>0</v>
      </c>
      <c r="F20" s="141">
        <v>0</v>
      </c>
      <c r="G20" s="141">
        <v>0</v>
      </c>
      <c r="H20" s="141">
        <v>0</v>
      </c>
      <c r="I20" s="141">
        <v>0</v>
      </c>
      <c r="J20" s="141">
        <v>0</v>
      </c>
      <c r="K20" s="141">
        <v>0</v>
      </c>
      <c r="L20" s="141">
        <v>0</v>
      </c>
      <c r="M20" s="141">
        <v>0</v>
      </c>
      <c r="N20" s="141">
        <v>0</v>
      </c>
      <c r="O20" s="141">
        <v>0</v>
      </c>
      <c r="P20" s="141">
        <v>0</v>
      </c>
      <c r="Q20" s="141">
        <v>0</v>
      </c>
      <c r="R20" s="141">
        <v>0</v>
      </c>
      <c r="S20" s="141">
        <v>0</v>
      </c>
      <c r="T20" s="141">
        <v>0</v>
      </c>
      <c r="U20" s="141">
        <v>0</v>
      </c>
      <c r="V20" s="141">
        <v>0</v>
      </c>
      <c r="W20" s="141">
        <v>0</v>
      </c>
      <c r="X20" s="141">
        <v>0</v>
      </c>
      <c r="Y20" s="141">
        <v>0</v>
      </c>
      <c r="Z20" s="141">
        <v>0</v>
      </c>
      <c r="AA20" s="141">
        <v>0</v>
      </c>
      <c r="AB20" s="141">
        <v>0</v>
      </c>
      <c r="AC20" s="141">
        <v>0</v>
      </c>
      <c r="AD20" s="141">
        <v>0</v>
      </c>
      <c r="AE20" s="141">
        <v>0</v>
      </c>
      <c r="AF20" s="141">
        <v>0</v>
      </c>
      <c r="AG20" s="141">
        <v>0</v>
      </c>
      <c r="AH20" s="141">
        <v>0</v>
      </c>
      <c r="AI20" s="141">
        <v>0</v>
      </c>
      <c r="AJ20" s="141">
        <v>0</v>
      </c>
      <c r="AK20" s="141">
        <v>0</v>
      </c>
      <c r="AL20" s="141">
        <v>0</v>
      </c>
      <c r="AM20" s="141">
        <v>0</v>
      </c>
      <c r="AN20" s="141">
        <v>0</v>
      </c>
      <c r="AO20" s="141">
        <v>0</v>
      </c>
      <c r="AP20" s="141">
        <v>0</v>
      </c>
      <c r="AQ20" s="141">
        <v>0</v>
      </c>
      <c r="AR20" s="141">
        <v>0</v>
      </c>
      <c r="AS20" s="141">
        <v>0</v>
      </c>
      <c r="AT20" s="141">
        <v>0</v>
      </c>
      <c r="AU20" s="141">
        <v>0</v>
      </c>
      <c r="AV20" s="141">
        <v>0</v>
      </c>
      <c r="AW20" s="142">
        <v>0</v>
      </c>
      <c r="AX20" s="143"/>
      <c r="AY20" s="144"/>
      <c r="AZ20" s="136">
        <v>1966</v>
      </c>
      <c r="BA20" s="136">
        <v>1967</v>
      </c>
      <c r="BB20" s="136">
        <v>1968</v>
      </c>
      <c r="BC20" s="136">
        <v>1969</v>
      </c>
      <c r="BD20" s="136">
        <v>1970</v>
      </c>
      <c r="BE20" s="136">
        <v>1971</v>
      </c>
      <c r="BF20" s="136">
        <v>1972</v>
      </c>
      <c r="BG20" s="136">
        <v>1973</v>
      </c>
      <c r="BH20" s="136">
        <v>1974</v>
      </c>
      <c r="BI20" s="136">
        <v>1975</v>
      </c>
      <c r="BJ20" s="136">
        <v>1976</v>
      </c>
      <c r="BK20" s="136">
        <v>1977</v>
      </c>
      <c r="BL20" s="136">
        <v>1978</v>
      </c>
      <c r="BM20" s="136">
        <v>1979</v>
      </c>
      <c r="BN20" s="136">
        <v>1980</v>
      </c>
      <c r="BO20" s="136">
        <v>1981</v>
      </c>
      <c r="BP20" s="136">
        <v>1982</v>
      </c>
      <c r="BQ20" s="136">
        <v>1983</v>
      </c>
      <c r="BR20" s="136">
        <v>1984</v>
      </c>
      <c r="BS20" s="136">
        <v>1985</v>
      </c>
      <c r="BT20" s="136">
        <v>1986</v>
      </c>
      <c r="BU20" s="136">
        <v>1987</v>
      </c>
      <c r="BV20" s="136">
        <v>1988</v>
      </c>
      <c r="BW20" s="136">
        <v>1989</v>
      </c>
      <c r="BX20" s="136">
        <v>1990</v>
      </c>
      <c r="BY20" s="136">
        <v>1991</v>
      </c>
      <c r="BZ20" s="136">
        <v>1992</v>
      </c>
      <c r="CA20" s="136">
        <v>1993</v>
      </c>
      <c r="CB20" s="136">
        <v>1994</v>
      </c>
      <c r="CC20" s="136">
        <v>1995</v>
      </c>
      <c r="CD20" s="136">
        <v>1996</v>
      </c>
      <c r="CE20" s="136">
        <v>1997</v>
      </c>
      <c r="CF20" s="53">
        <v>1998</v>
      </c>
      <c r="CG20" s="136">
        <v>1999</v>
      </c>
      <c r="CH20" s="136">
        <v>2000</v>
      </c>
      <c r="CI20" s="136">
        <v>2001</v>
      </c>
      <c r="CJ20" s="136">
        <v>2002</v>
      </c>
      <c r="CK20" s="136">
        <v>2003</v>
      </c>
      <c r="CL20" s="136">
        <v>2004</v>
      </c>
      <c r="CM20" s="136">
        <v>2005</v>
      </c>
      <c r="CN20" s="136">
        <v>2006</v>
      </c>
      <c r="CO20" s="136">
        <v>2007</v>
      </c>
      <c r="CP20" s="136">
        <v>2008</v>
      </c>
      <c r="CQ20" s="136">
        <v>2009</v>
      </c>
      <c r="CR20" s="136">
        <v>2010</v>
      </c>
      <c r="CS20" s="136">
        <v>2011</v>
      </c>
      <c r="CT20" s="137">
        <v>2012</v>
      </c>
      <c r="CU20" s="143"/>
      <c r="CV20" s="143" t="s">
        <v>138</v>
      </c>
      <c r="CW20" s="143" t="s">
        <v>139</v>
      </c>
      <c r="CX20" s="143" t="s">
        <v>140</v>
      </c>
      <c r="CY20" s="143"/>
      <c r="CZ20" s="143" t="s">
        <v>141</v>
      </c>
      <c r="DA20" s="143" t="s">
        <v>138</v>
      </c>
      <c r="DB20" s="143" t="s">
        <v>139</v>
      </c>
      <c r="DC20" s="143" t="s">
        <v>140</v>
      </c>
      <c r="DD20" s="143"/>
      <c r="DE20" s="143"/>
      <c r="DF20" s="143"/>
      <c r="DG20" s="143"/>
      <c r="DH20" s="143"/>
      <c r="DI20" s="143"/>
      <c r="DJ20" s="143"/>
    </row>
    <row r="21" spans="1:114" ht="15">
      <c r="A21" s="138" t="s">
        <v>245</v>
      </c>
      <c r="B21" s="139" t="s">
        <v>222</v>
      </c>
      <c r="C21" s="140">
        <v>0</v>
      </c>
      <c r="D21" s="141">
        <v>0</v>
      </c>
      <c r="E21" s="141">
        <v>0</v>
      </c>
      <c r="F21" s="141">
        <v>0</v>
      </c>
      <c r="G21" s="141">
        <v>0</v>
      </c>
      <c r="H21" s="141">
        <v>0</v>
      </c>
      <c r="I21" s="141">
        <v>0</v>
      </c>
      <c r="J21" s="141">
        <v>0</v>
      </c>
      <c r="K21" s="141">
        <v>4038819</v>
      </c>
      <c r="L21" s="141">
        <v>8658083</v>
      </c>
      <c r="M21" s="141">
        <v>11469162</v>
      </c>
      <c r="N21" s="141">
        <v>13424070</v>
      </c>
      <c r="O21" s="141">
        <v>15272774</v>
      </c>
      <c r="P21" s="141">
        <v>18400013</v>
      </c>
      <c r="Q21" s="141">
        <v>16825661</v>
      </c>
      <c r="R21" s="141">
        <v>4223274</v>
      </c>
      <c r="S21" s="141">
        <v>1255405</v>
      </c>
      <c r="T21" s="141">
        <v>160410</v>
      </c>
      <c r="U21" s="141">
        <v>0</v>
      </c>
      <c r="V21" s="141">
        <v>0</v>
      </c>
      <c r="W21" s="141">
        <v>0</v>
      </c>
      <c r="X21" s="141">
        <v>0</v>
      </c>
      <c r="Y21" s="141">
        <v>0</v>
      </c>
      <c r="Z21" s="141">
        <v>0</v>
      </c>
      <c r="AA21" s="141">
        <v>0</v>
      </c>
      <c r="AB21" s="141">
        <v>0</v>
      </c>
      <c r="AC21" s="141">
        <v>0</v>
      </c>
      <c r="AD21" s="141">
        <v>179338</v>
      </c>
      <c r="AE21" s="141">
        <v>0</v>
      </c>
      <c r="AF21" s="141">
        <v>10240900</v>
      </c>
      <c r="AG21" s="141">
        <v>720512</v>
      </c>
      <c r="AH21" s="141">
        <v>56672</v>
      </c>
      <c r="AI21" s="141">
        <v>1858646</v>
      </c>
      <c r="AJ21" s="141">
        <v>2033844</v>
      </c>
      <c r="AK21" s="141">
        <v>603095</v>
      </c>
      <c r="AL21" s="141">
        <v>418759</v>
      </c>
      <c r="AM21" s="141">
        <v>577005</v>
      </c>
      <c r="AN21" s="141">
        <v>589772</v>
      </c>
      <c r="AO21" s="141">
        <v>531402</v>
      </c>
      <c r="AP21" s="141">
        <v>570728</v>
      </c>
      <c r="AQ21" s="141">
        <v>660014</v>
      </c>
      <c r="AR21" s="141">
        <v>550085</v>
      </c>
      <c r="AS21" s="141">
        <v>854023</v>
      </c>
      <c r="AT21" s="141">
        <v>485934</v>
      </c>
      <c r="AU21" s="141">
        <v>139942</v>
      </c>
      <c r="AV21" s="141">
        <v>5903</v>
      </c>
      <c r="AW21" s="142">
        <v>5167</v>
      </c>
      <c r="AX21" s="145" t="s">
        <v>75</v>
      </c>
      <c r="AY21" s="146" t="s">
        <v>75</v>
      </c>
      <c r="AZ21" s="147">
        <f t="shared" ref="AZ21:CT26" si="4">C59/SUM(C$59:C$64)</f>
        <v>3.2988477488742639E-2</v>
      </c>
      <c r="BA21" s="147">
        <f t="shared" si="4"/>
        <v>2.8008219136295906E-2</v>
      </c>
      <c r="BB21" s="147">
        <f t="shared" si="4"/>
        <v>2.9247314860320374E-2</v>
      </c>
      <c r="BC21" s="147">
        <f t="shared" si="4"/>
        <v>2.6512036055193176E-2</v>
      </c>
      <c r="BD21" s="147">
        <f t="shared" si="4"/>
        <v>2.3021272490604039E-2</v>
      </c>
      <c r="BE21" s="147">
        <f t="shared" si="4"/>
        <v>2.1128670835618996E-2</v>
      </c>
      <c r="BF21" s="147">
        <f t="shared" si="4"/>
        <v>2.2743088401453445E-2</v>
      </c>
      <c r="BG21" s="147">
        <f t="shared" si="4"/>
        <v>2.231918385476685E-2</v>
      </c>
      <c r="BH21" s="147">
        <f t="shared" si="4"/>
        <v>2.0172163764593184E-2</v>
      </c>
      <c r="BI21" s="147">
        <f t="shared" si="4"/>
        <v>1.6804482254449384E-2</v>
      </c>
      <c r="BJ21" s="147">
        <f t="shared" si="4"/>
        <v>1.8494531926320418E-2</v>
      </c>
      <c r="BK21" s="147">
        <f t="shared" si="4"/>
        <v>2.1274951671942294E-2</v>
      </c>
      <c r="BL21" s="147">
        <f t="shared" si="4"/>
        <v>2.0974148960440059E-2</v>
      </c>
      <c r="BM21" s="147">
        <f t="shared" si="4"/>
        <v>1.7974262998814199E-2</v>
      </c>
      <c r="BN21" s="147">
        <f t="shared" si="4"/>
        <v>2.1602424257766727E-2</v>
      </c>
      <c r="BO21" s="147">
        <f t="shared" si="4"/>
        <v>2.2367210394707501E-2</v>
      </c>
      <c r="BP21" s="147">
        <f t="shared" si="4"/>
        <v>2.5851983120397923E-2</v>
      </c>
      <c r="BQ21" s="147">
        <f t="shared" si="4"/>
        <v>2.1892159821625116E-2</v>
      </c>
      <c r="BR21" s="147">
        <f t="shared" si="4"/>
        <v>2.2862047014854441E-2</v>
      </c>
      <c r="BS21" s="147">
        <f t="shared" si="4"/>
        <v>2.1747379311276412E-2</v>
      </c>
      <c r="BT21" s="147">
        <f t="shared" si="4"/>
        <v>2.2518489803622664E-2</v>
      </c>
      <c r="BU21" s="147">
        <f t="shared" si="4"/>
        <v>2.3842780012971378E-2</v>
      </c>
      <c r="BV21" s="147">
        <f t="shared" si="4"/>
        <v>2.2136254569772678E-2</v>
      </c>
      <c r="BW21" s="147">
        <f t="shared" si="4"/>
        <v>1.9669338522627099E-2</v>
      </c>
      <c r="BX21" s="147">
        <f t="shared" si="4"/>
        <v>2.0573268161460264E-2</v>
      </c>
      <c r="BY21" s="147">
        <f t="shared" si="4"/>
        <v>1.9478061508629428E-2</v>
      </c>
      <c r="BZ21" s="147">
        <f t="shared" si="4"/>
        <v>1.778756804096367E-2</v>
      </c>
      <c r="CA21" s="147">
        <f t="shared" si="4"/>
        <v>2.0509463528101825E-2</v>
      </c>
      <c r="CB21" s="147">
        <f t="shared" si="4"/>
        <v>1.9720566024033059E-2</v>
      </c>
      <c r="CC21" s="147">
        <f t="shared" si="4"/>
        <v>1.7795895417559469E-2</v>
      </c>
      <c r="CD21" s="147">
        <f t="shared" si="4"/>
        <v>1.6991531381570567E-2</v>
      </c>
      <c r="CE21" s="147">
        <f t="shared" si="4"/>
        <v>2.3499905794932455E-2</v>
      </c>
      <c r="CF21" s="147">
        <f t="shared" si="4"/>
        <v>2.0419163344182142E-2</v>
      </c>
      <c r="CG21" s="147">
        <f t="shared" si="4"/>
        <v>2.3305671453114872E-2</v>
      </c>
      <c r="CH21" s="147">
        <f t="shared" si="4"/>
        <v>2.6209679369957096E-2</v>
      </c>
      <c r="CI21" s="147">
        <f t="shared" si="4"/>
        <v>2.5489299544864792E-2</v>
      </c>
      <c r="CJ21" s="147">
        <f t="shared" si="4"/>
        <v>2.3423570547292102E-2</v>
      </c>
      <c r="CK21" s="147">
        <f t="shared" si="4"/>
        <v>2.5213819640943984E-2</v>
      </c>
      <c r="CL21" s="147">
        <f t="shared" si="4"/>
        <v>2.5902539048912456E-2</v>
      </c>
      <c r="CM21" s="147">
        <f t="shared" si="4"/>
        <v>2.1427464047289301E-2</v>
      </c>
      <c r="CN21" s="147">
        <f t="shared" si="4"/>
        <v>2.2712450145405669E-2</v>
      </c>
      <c r="CO21" s="147">
        <f t="shared" si="4"/>
        <v>2.2407386980394781E-2</v>
      </c>
      <c r="CP21" s="147">
        <f t="shared" si="4"/>
        <v>1.7177091872849815E-2</v>
      </c>
      <c r="CQ21" s="147">
        <f t="shared" si="4"/>
        <v>2.0455551757717936E-2</v>
      </c>
      <c r="CR21" s="147">
        <f t="shared" si="4"/>
        <v>2.2963077063261395E-2</v>
      </c>
      <c r="CS21" s="147">
        <f t="shared" si="4"/>
        <v>2.0009641213521421E-2</v>
      </c>
      <c r="CT21" s="147">
        <f t="shared" si="4"/>
        <v>2.1959855754299481E-2</v>
      </c>
      <c r="CV21" s="148">
        <f t="shared" ref="CV21:CV28" ca="1" si="5">MIN(CT21:DE21)</f>
        <v>0</v>
      </c>
      <c r="CW21" s="148">
        <f t="shared" ref="CW21:CW28" ca="1" si="6">AVERAGE(CT21:DE21)</f>
        <v>0</v>
      </c>
      <c r="CX21" s="148">
        <f t="shared" ref="CX21:CX28" ca="1" si="7">MAX(CT21:DE21)</f>
        <v>0</v>
      </c>
      <c r="DA21" s="148">
        <f t="shared" ref="DA21:DA28" si="8">MIN(CF21:CT21)</f>
        <v>1.7177091872849815E-2</v>
      </c>
      <c r="DB21" s="148">
        <f t="shared" ref="DB21:DB28" si="9">AVERAGE(CF21:CT21)</f>
        <v>2.2605084118933819E-2</v>
      </c>
      <c r="DC21" s="148">
        <f t="shared" ref="DC21:DC28" si="10">MAX(CF21:CT21)</f>
        <v>2.6209679369957096E-2</v>
      </c>
      <c r="DE21" s="399" t="s">
        <v>595</v>
      </c>
      <c r="DF21" s="400" t="s">
        <v>75</v>
      </c>
    </row>
    <row r="22" spans="1:114" ht="15">
      <c r="A22" s="138" t="s">
        <v>245</v>
      </c>
      <c r="B22" s="139" t="s">
        <v>223</v>
      </c>
      <c r="C22" s="140">
        <v>0</v>
      </c>
      <c r="D22" s="141">
        <v>0</v>
      </c>
      <c r="E22" s="141">
        <v>0</v>
      </c>
      <c r="F22" s="141">
        <v>0</v>
      </c>
      <c r="G22" s="141">
        <v>0</v>
      </c>
      <c r="H22" s="141">
        <v>0</v>
      </c>
      <c r="I22" s="141">
        <v>0</v>
      </c>
      <c r="J22" s="141">
        <v>0</v>
      </c>
      <c r="K22" s="141">
        <v>0</v>
      </c>
      <c r="L22" s="141">
        <v>16323187</v>
      </c>
      <c r="M22" s="141">
        <v>15047699</v>
      </c>
      <c r="N22" s="141">
        <v>15637362</v>
      </c>
      <c r="O22" s="141">
        <v>13193154</v>
      </c>
      <c r="P22" s="141">
        <v>14051245</v>
      </c>
      <c r="Q22" s="141">
        <v>11201509</v>
      </c>
      <c r="R22" s="141">
        <v>13766937</v>
      </c>
      <c r="S22" s="141">
        <v>13831447</v>
      </c>
      <c r="T22" s="141">
        <v>12413750</v>
      </c>
      <c r="U22" s="141">
        <v>13392263</v>
      </c>
      <c r="V22" s="141">
        <v>11667536</v>
      </c>
      <c r="W22" s="141">
        <v>13168000</v>
      </c>
      <c r="X22" s="141">
        <v>13253000</v>
      </c>
      <c r="Y22" s="141">
        <v>13619000</v>
      </c>
      <c r="Z22" s="141">
        <v>14632000</v>
      </c>
      <c r="AA22" s="141">
        <v>14169000</v>
      </c>
      <c r="AB22" s="141">
        <v>14537000</v>
      </c>
      <c r="AC22" s="141">
        <v>14865000</v>
      </c>
      <c r="AD22" s="141">
        <v>15405000</v>
      </c>
      <c r="AE22" s="141">
        <v>15895000</v>
      </c>
      <c r="AF22" s="141">
        <v>19345000</v>
      </c>
      <c r="AG22" s="141">
        <v>21440796</v>
      </c>
      <c r="AH22" s="141">
        <v>16905304</v>
      </c>
      <c r="AI22" s="141">
        <v>15225340</v>
      </c>
      <c r="AJ22" s="141">
        <v>15723812</v>
      </c>
      <c r="AK22" s="141">
        <v>15556268</v>
      </c>
      <c r="AL22" s="141">
        <v>15755428</v>
      </c>
      <c r="AM22" s="141">
        <v>15197000</v>
      </c>
      <c r="AN22" s="141">
        <v>16554512</v>
      </c>
      <c r="AO22" s="141">
        <v>15890576</v>
      </c>
      <c r="AP22" s="141">
        <v>15347072</v>
      </c>
      <c r="AQ22" s="141">
        <v>16115632</v>
      </c>
      <c r="AR22" s="141">
        <v>15916264</v>
      </c>
      <c r="AS22" s="141">
        <v>14782248</v>
      </c>
      <c r="AT22" s="141">
        <v>15419352</v>
      </c>
      <c r="AU22" s="141">
        <v>13679796</v>
      </c>
      <c r="AV22" s="141">
        <v>14957592</v>
      </c>
      <c r="AW22" s="142">
        <v>15632500</v>
      </c>
      <c r="AX22" s="145" t="s">
        <v>100</v>
      </c>
      <c r="AY22" s="146" t="s">
        <v>100</v>
      </c>
      <c r="AZ22" s="147">
        <f t="shared" si="4"/>
        <v>5.2846997229167615E-2</v>
      </c>
      <c r="BA22" s="147">
        <f t="shared" si="4"/>
        <v>3.7524041109538983E-2</v>
      </c>
      <c r="BB22" s="147">
        <f t="shared" si="4"/>
        <v>3.5428377919582942E-2</v>
      </c>
      <c r="BC22" s="147">
        <f t="shared" si="4"/>
        <v>3.7466884769569574E-2</v>
      </c>
      <c r="BD22" s="147">
        <f t="shared" si="4"/>
        <v>3.8579583484112515E-2</v>
      </c>
      <c r="BE22" s="147">
        <f t="shared" si="4"/>
        <v>2.8760908562002675E-2</v>
      </c>
      <c r="BF22" s="147">
        <f t="shared" si="4"/>
        <v>2.6279580636569329E-2</v>
      </c>
      <c r="BG22" s="147">
        <f t="shared" si="4"/>
        <v>2.6729068245373442E-2</v>
      </c>
      <c r="BH22" s="147">
        <f t="shared" si="4"/>
        <v>2.4988376960035492E-2</v>
      </c>
      <c r="BI22" s="147">
        <f t="shared" si="4"/>
        <v>2.2544351753393459E-2</v>
      </c>
      <c r="BJ22" s="147">
        <f t="shared" si="4"/>
        <v>1.4494276501082497E-2</v>
      </c>
      <c r="BK22" s="147">
        <f t="shared" si="4"/>
        <v>2.0618855553481658E-2</v>
      </c>
      <c r="BL22" s="147">
        <f t="shared" si="4"/>
        <v>2.0325654822170563E-2</v>
      </c>
      <c r="BM22" s="147">
        <f t="shared" si="4"/>
        <v>1.2108096162469061E-2</v>
      </c>
      <c r="BN22" s="147">
        <f t="shared" si="4"/>
        <v>2.0532158479420748E-2</v>
      </c>
      <c r="BO22" s="147">
        <f t="shared" si="4"/>
        <v>1.7924109404440034E-2</v>
      </c>
      <c r="BP22" s="147">
        <f t="shared" si="4"/>
        <v>2.3321705750765146E-2</v>
      </c>
      <c r="BQ22" s="147">
        <f t="shared" si="4"/>
        <v>1.7056141340036197E-2</v>
      </c>
      <c r="BR22" s="147">
        <f t="shared" si="4"/>
        <v>1.6450192246961884E-2</v>
      </c>
      <c r="BS22" s="147">
        <f t="shared" si="4"/>
        <v>2.0256999510432239E-2</v>
      </c>
      <c r="BT22" s="147">
        <f t="shared" si="4"/>
        <v>1.5159913794684768E-2</v>
      </c>
      <c r="BU22" s="147">
        <f t="shared" si="4"/>
        <v>1.7562410230185999E-2</v>
      </c>
      <c r="BV22" s="147">
        <f t="shared" si="4"/>
        <v>3.5017860855637101E-2</v>
      </c>
      <c r="BW22" s="147">
        <f t="shared" si="4"/>
        <v>3.7514889090675609E-2</v>
      </c>
      <c r="BX22" s="147">
        <f t="shared" si="4"/>
        <v>3.5827102119888078E-2</v>
      </c>
      <c r="BY22" s="147">
        <f t="shared" si="4"/>
        <v>4.3302228025177421E-2</v>
      </c>
      <c r="BZ22" s="147">
        <f t="shared" si="4"/>
        <v>5.173926352639277E-2</v>
      </c>
      <c r="CA22" s="147">
        <f t="shared" si="4"/>
        <v>3.8728612017402006E-2</v>
      </c>
      <c r="CB22" s="147">
        <f t="shared" si="4"/>
        <v>4.5456473727247836E-2</v>
      </c>
      <c r="CC22" s="147">
        <f t="shared" si="4"/>
        <v>4.2541749888150487E-2</v>
      </c>
      <c r="CD22" s="147">
        <f t="shared" si="4"/>
        <v>4.1840520535666219E-2</v>
      </c>
      <c r="CE22" s="147">
        <f t="shared" si="4"/>
        <v>3.1347166767224668E-2</v>
      </c>
      <c r="CF22" s="147">
        <f t="shared" si="4"/>
        <v>3.6493960464235059E-2</v>
      </c>
      <c r="CG22" s="147">
        <f t="shared" si="4"/>
        <v>2.8754021287538806E-2</v>
      </c>
      <c r="CH22" s="147">
        <f t="shared" si="4"/>
        <v>1.8856710271188924E-2</v>
      </c>
      <c r="CI22" s="147">
        <f t="shared" si="4"/>
        <v>1.8256981301149017E-2</v>
      </c>
      <c r="CJ22" s="147">
        <f t="shared" si="4"/>
        <v>1.8471985179919166E-2</v>
      </c>
      <c r="CK22" s="147">
        <f t="shared" si="4"/>
        <v>2.0104595461626119E-2</v>
      </c>
      <c r="CL22" s="147">
        <f t="shared" si="4"/>
        <v>2.0109974279746205E-2</v>
      </c>
      <c r="CM22" s="147">
        <f t="shared" si="4"/>
        <v>2.7620751398117156E-2</v>
      </c>
      <c r="CN22" s="147">
        <f t="shared" si="4"/>
        <v>3.2074499129942813E-2</v>
      </c>
      <c r="CO22" s="147">
        <f t="shared" si="4"/>
        <v>2.9839212256829444E-2</v>
      </c>
      <c r="CP22" s="147">
        <f t="shared" si="4"/>
        <v>7.8816209622916446E-3</v>
      </c>
      <c r="CQ22" s="147">
        <f t="shared" si="4"/>
        <v>1.0781054912565901E-2</v>
      </c>
      <c r="CR22" s="147">
        <f t="shared" si="4"/>
        <v>9.5723328931499145E-3</v>
      </c>
      <c r="CS22" s="147">
        <f t="shared" si="4"/>
        <v>2.5595789987060753E-2</v>
      </c>
      <c r="CT22" s="147">
        <f t="shared" si="4"/>
        <v>3.7578979000014598E-2</v>
      </c>
      <c r="CV22" s="148">
        <f t="shared" ca="1" si="5"/>
        <v>0</v>
      </c>
      <c r="CW22" s="148">
        <f t="shared" ca="1" si="6"/>
        <v>0</v>
      </c>
      <c r="CX22" s="148">
        <f t="shared" ca="1" si="7"/>
        <v>0</v>
      </c>
      <c r="DA22" s="148">
        <f t="shared" si="8"/>
        <v>7.8816209622916446E-3</v>
      </c>
      <c r="DB22" s="148">
        <f t="shared" si="9"/>
        <v>2.2799497919025035E-2</v>
      </c>
      <c r="DC22" s="148">
        <f t="shared" si="10"/>
        <v>3.7578979000014598E-2</v>
      </c>
      <c r="DE22" s="399" t="s">
        <v>595</v>
      </c>
      <c r="DF22" s="146" t="s">
        <v>100</v>
      </c>
    </row>
    <row r="23" spans="1:114" ht="15">
      <c r="A23" s="138" t="s">
        <v>245</v>
      </c>
      <c r="B23" s="139" t="s">
        <v>75</v>
      </c>
      <c r="C23" s="140">
        <v>6676432</v>
      </c>
      <c r="D23" s="141">
        <v>7859220</v>
      </c>
      <c r="E23" s="141">
        <v>8812154</v>
      </c>
      <c r="F23" s="141">
        <v>10264856</v>
      </c>
      <c r="G23" s="141">
        <v>10175837</v>
      </c>
      <c r="H23" s="141">
        <v>9968525</v>
      </c>
      <c r="I23" s="141">
        <v>10166202</v>
      </c>
      <c r="J23" s="141">
        <v>9700915</v>
      </c>
      <c r="K23" s="141">
        <v>8423300</v>
      </c>
      <c r="L23" s="141">
        <v>6171453</v>
      </c>
      <c r="M23" s="141">
        <v>6437036</v>
      </c>
      <c r="N23" s="141">
        <v>6844652</v>
      </c>
      <c r="O23" s="141">
        <v>6503576</v>
      </c>
      <c r="P23" s="141">
        <v>6131143</v>
      </c>
      <c r="Q23" s="141">
        <v>5656140</v>
      </c>
      <c r="R23" s="141">
        <v>5327136</v>
      </c>
      <c r="S23" s="141">
        <v>6013331</v>
      </c>
      <c r="T23" s="141">
        <v>6021303</v>
      </c>
      <c r="U23" s="141">
        <v>6790510</v>
      </c>
      <c r="V23" s="141">
        <v>6072893</v>
      </c>
      <c r="W23" s="141">
        <v>6973048</v>
      </c>
      <c r="X23" s="141">
        <v>7333320</v>
      </c>
      <c r="Y23" s="141">
        <v>7146560</v>
      </c>
      <c r="Z23" s="141">
        <v>6589612</v>
      </c>
      <c r="AA23" s="141">
        <v>6511902</v>
      </c>
      <c r="AB23" s="141">
        <v>6413318</v>
      </c>
      <c r="AC23" s="141">
        <v>6058795</v>
      </c>
      <c r="AD23" s="141">
        <v>7202518</v>
      </c>
      <c r="AE23" s="141">
        <v>7082177</v>
      </c>
      <c r="AF23" s="141">
        <v>6898514</v>
      </c>
      <c r="AG23" s="141">
        <v>7400480</v>
      </c>
      <c r="AH23" s="141">
        <v>8277608</v>
      </c>
      <c r="AI23" s="141">
        <v>6549250</v>
      </c>
      <c r="AJ23" s="141">
        <v>7471320</v>
      </c>
      <c r="AK23" s="141">
        <v>8669068</v>
      </c>
      <c r="AL23" s="141">
        <v>8428948</v>
      </c>
      <c r="AM23" s="141">
        <v>7411934</v>
      </c>
      <c r="AN23" s="141">
        <v>8359488</v>
      </c>
      <c r="AO23" s="141">
        <v>8345734</v>
      </c>
      <c r="AP23" s="141">
        <v>6656522</v>
      </c>
      <c r="AQ23" s="141">
        <v>7388750</v>
      </c>
      <c r="AR23" s="141">
        <v>7132808</v>
      </c>
      <c r="AS23" s="141">
        <v>5394483</v>
      </c>
      <c r="AT23" s="141">
        <v>6456683</v>
      </c>
      <c r="AU23" s="141">
        <v>6938324</v>
      </c>
      <c r="AV23" s="141">
        <v>6112342</v>
      </c>
      <c r="AW23" s="142">
        <v>7483740</v>
      </c>
      <c r="AX23" s="145" t="s">
        <v>77</v>
      </c>
      <c r="AY23" s="146" t="s">
        <v>76</v>
      </c>
      <c r="AZ23" s="147">
        <f t="shared" si="4"/>
        <v>0.18668017997868361</v>
      </c>
      <c r="BA23" s="147">
        <f t="shared" si="4"/>
        <v>0.19167031515367289</v>
      </c>
      <c r="BB23" s="147">
        <f t="shared" si="4"/>
        <v>0.17947872262134443</v>
      </c>
      <c r="BC23" s="147">
        <f t="shared" si="4"/>
        <v>0.16422528392116445</v>
      </c>
      <c r="BD23" s="147">
        <f t="shared" si="4"/>
        <v>0.14293415183864372</v>
      </c>
      <c r="BE23" s="147">
        <f t="shared" si="4"/>
        <v>0.15250918073997943</v>
      </c>
      <c r="BF23" s="147">
        <f t="shared" si="4"/>
        <v>0.15884158478118895</v>
      </c>
      <c r="BG23" s="147">
        <f t="shared" si="4"/>
        <v>0.16542340367700487</v>
      </c>
      <c r="BH23" s="147">
        <f t="shared" si="4"/>
        <v>0.1805191712939522</v>
      </c>
      <c r="BI23" s="147">
        <f t="shared" si="4"/>
        <v>0.19488191610168679</v>
      </c>
      <c r="BJ23" s="147">
        <f t="shared" si="4"/>
        <v>0.19586581847383019</v>
      </c>
      <c r="BK23" s="147">
        <f t="shared" si="4"/>
        <v>0.20403902154940196</v>
      </c>
      <c r="BL23" s="147">
        <f t="shared" si="4"/>
        <v>0.20377162862847673</v>
      </c>
      <c r="BM23" s="147">
        <f t="shared" si="4"/>
        <v>0.18575423766081717</v>
      </c>
      <c r="BN23" s="147">
        <f t="shared" si="4"/>
        <v>0.18727085236222946</v>
      </c>
      <c r="BO23" s="147">
        <f t="shared" si="4"/>
        <v>0.19437712780740624</v>
      </c>
      <c r="BP23" s="147">
        <f t="shared" si="4"/>
        <v>0.1781500143706059</v>
      </c>
      <c r="BQ23" s="147">
        <f t="shared" si="4"/>
        <v>0.18304694702645699</v>
      </c>
      <c r="BR23" s="147">
        <f t="shared" si="4"/>
        <v>0.17098902243918035</v>
      </c>
      <c r="BS23" s="147">
        <f t="shared" si="4"/>
        <v>0.18404855677925291</v>
      </c>
      <c r="BT23" s="147">
        <f t="shared" si="4"/>
        <v>0.18042686600218394</v>
      </c>
      <c r="BU23" s="147">
        <f t="shared" si="4"/>
        <v>0.19419278371338475</v>
      </c>
      <c r="BV23" s="147">
        <f t="shared" si="4"/>
        <v>0.1944929957209614</v>
      </c>
      <c r="BW23" s="147">
        <f t="shared" si="4"/>
        <v>0.19875741236618252</v>
      </c>
      <c r="BX23" s="147">
        <f t="shared" si="4"/>
        <v>0.18239036018829821</v>
      </c>
      <c r="BY23" s="147">
        <f t="shared" si="4"/>
        <v>0.18866980300169026</v>
      </c>
      <c r="BZ23" s="147">
        <f t="shared" si="4"/>
        <v>0.17760513740431311</v>
      </c>
      <c r="CA23" s="147">
        <f t="shared" si="4"/>
        <v>0.16410973222341774</v>
      </c>
      <c r="CB23" s="147">
        <f t="shared" si="4"/>
        <v>0.17148286911183941</v>
      </c>
      <c r="CC23" s="147">
        <f t="shared" si="4"/>
        <v>0.23328455284295921</v>
      </c>
      <c r="CD23" s="147">
        <f t="shared" si="4"/>
        <v>0.2720484082405874</v>
      </c>
      <c r="CE23" s="147">
        <f t="shared" si="4"/>
        <v>0.26605194905816781</v>
      </c>
      <c r="CF23" s="147">
        <f t="shared" si="4"/>
        <v>0.2571474261312609</v>
      </c>
      <c r="CG23" s="147">
        <f t="shared" si="4"/>
        <v>0.3032999624209245</v>
      </c>
      <c r="CH23" s="147">
        <f t="shared" si="4"/>
        <v>0.28178298597388085</v>
      </c>
      <c r="CI23" s="147">
        <f t="shared" si="4"/>
        <v>0.28004552495177149</v>
      </c>
      <c r="CJ23" s="147">
        <f t="shared" si="4"/>
        <v>0.27401348149916721</v>
      </c>
      <c r="CK23" s="147">
        <f t="shared" si="4"/>
        <v>0.25287884854956061</v>
      </c>
      <c r="CL23" s="147">
        <f t="shared" si="4"/>
        <v>0.25495140662481786</v>
      </c>
      <c r="CM23" s="147">
        <f t="shared" si="4"/>
        <v>0.25676485704898727</v>
      </c>
      <c r="CN23" s="147">
        <f t="shared" si="4"/>
        <v>0.28006647226985698</v>
      </c>
      <c r="CO23" s="147">
        <f t="shared" si="4"/>
        <v>0.26558235157377552</v>
      </c>
      <c r="CP23" s="147">
        <f t="shared" si="4"/>
        <v>0.28056259026738289</v>
      </c>
      <c r="CQ23" s="147">
        <f t="shared" si="4"/>
        <v>0.29049969055538422</v>
      </c>
      <c r="CR23" s="147">
        <f t="shared" si="4"/>
        <v>0.28768438137344149</v>
      </c>
      <c r="CS23" s="147">
        <f t="shared" si="4"/>
        <v>0.27400559619886539</v>
      </c>
      <c r="CT23" s="147">
        <f t="shared" si="4"/>
        <v>0.26567063269258406</v>
      </c>
      <c r="CV23" s="148">
        <f t="shared" ca="1" si="5"/>
        <v>0</v>
      </c>
      <c r="CW23" s="148">
        <f t="shared" ca="1" si="6"/>
        <v>0</v>
      </c>
      <c r="CX23" s="148">
        <f t="shared" ca="1" si="7"/>
        <v>0</v>
      </c>
      <c r="DA23" s="148">
        <f t="shared" si="8"/>
        <v>0.25287884854956061</v>
      </c>
      <c r="DB23" s="148">
        <f t="shared" si="9"/>
        <v>0.2736637472087774</v>
      </c>
      <c r="DC23" s="148">
        <f t="shared" si="10"/>
        <v>0.3032999624209245</v>
      </c>
      <c r="DE23" s="399" t="s">
        <v>595</v>
      </c>
      <c r="DF23" s="146" t="s">
        <v>76</v>
      </c>
    </row>
    <row r="24" spans="1:114" ht="15">
      <c r="A24" s="138" t="s">
        <v>245</v>
      </c>
      <c r="B24" s="139" t="s">
        <v>100</v>
      </c>
      <c r="C24" s="140">
        <v>9575307</v>
      </c>
      <c r="D24" s="141">
        <v>9444981</v>
      </c>
      <c r="E24" s="141">
        <v>9592968</v>
      </c>
      <c r="F24" s="141">
        <v>13028293</v>
      </c>
      <c r="G24" s="141">
        <v>15134172</v>
      </c>
      <c r="H24" s="141">
        <v>11910082</v>
      </c>
      <c r="I24" s="141">
        <v>10146244</v>
      </c>
      <c r="J24" s="141">
        <v>10021051</v>
      </c>
      <c r="K24" s="141">
        <v>8920850</v>
      </c>
      <c r="L24" s="141">
        <v>6822453</v>
      </c>
      <c r="M24" s="141">
        <v>4496073</v>
      </c>
      <c r="N24" s="141">
        <v>6061464</v>
      </c>
      <c r="O24" s="141">
        <v>6195792</v>
      </c>
      <c r="P24" s="141">
        <v>4028100</v>
      </c>
      <c r="Q24" s="141">
        <v>5375730</v>
      </c>
      <c r="R24" s="141">
        <v>4268786</v>
      </c>
      <c r="S24" s="141">
        <v>5424624</v>
      </c>
      <c r="T24" s="141">
        <v>4691084</v>
      </c>
      <c r="U24" s="141">
        <v>4885964</v>
      </c>
      <c r="V24" s="141">
        <v>5656610</v>
      </c>
      <c r="W24" s="141">
        <v>4694261</v>
      </c>
      <c r="X24" s="141">
        <v>5401499</v>
      </c>
      <c r="Y24" s="141">
        <v>11304914</v>
      </c>
      <c r="Z24" s="141">
        <v>12567468</v>
      </c>
      <c r="AA24" s="141">
        <v>11339312</v>
      </c>
      <c r="AB24" s="141">
        <v>14225315</v>
      </c>
      <c r="AC24" s="141">
        <v>17570959</v>
      </c>
      <c r="AD24" s="141">
        <v>13556836</v>
      </c>
      <c r="AE24" s="141">
        <v>16260478</v>
      </c>
      <c r="AF24" s="141">
        <v>16423526</v>
      </c>
      <c r="AG24" s="141">
        <v>18222884</v>
      </c>
      <c r="AH24" s="141">
        <v>11039632</v>
      </c>
      <c r="AI24" s="141">
        <v>11702561</v>
      </c>
      <c r="AJ24" s="141">
        <v>14012338</v>
      </c>
      <c r="AK24" s="141">
        <v>12630168</v>
      </c>
      <c r="AL24" s="141">
        <v>13127500</v>
      </c>
      <c r="AM24" s="141">
        <v>10743858</v>
      </c>
      <c r="AN24" s="141">
        <v>9604702</v>
      </c>
      <c r="AO24" s="141">
        <v>8344863</v>
      </c>
      <c r="AP24" s="141">
        <v>10400184</v>
      </c>
      <c r="AQ24" s="141">
        <v>11758814</v>
      </c>
      <c r="AR24" s="141">
        <v>10910845</v>
      </c>
      <c r="AS24" s="141">
        <v>12460072</v>
      </c>
      <c r="AT24" s="141">
        <v>12102315</v>
      </c>
      <c r="AU24" s="141">
        <v>12128322</v>
      </c>
      <c r="AV24" s="141">
        <v>16458691</v>
      </c>
      <c r="AW24" s="142">
        <v>19521794</v>
      </c>
      <c r="AX24" s="145" t="s">
        <v>96</v>
      </c>
      <c r="AY24" s="146" t="s">
        <v>79</v>
      </c>
      <c r="AZ24" s="147">
        <f t="shared" si="4"/>
        <v>2.7642624574246918E-2</v>
      </c>
      <c r="BA24" s="147">
        <f t="shared" si="4"/>
        <v>2.9365829358680508E-2</v>
      </c>
      <c r="BB24" s="147">
        <f t="shared" si="4"/>
        <v>2.6949570255813869E-2</v>
      </c>
      <c r="BC24" s="147">
        <f t="shared" si="4"/>
        <v>2.5271265303359793E-2</v>
      </c>
      <c r="BD24" s="147">
        <f t="shared" si="4"/>
        <v>1.932677765557508E-2</v>
      </c>
      <c r="BE24" s="147">
        <f t="shared" si="4"/>
        <v>1.8593760730177981E-2</v>
      </c>
      <c r="BF24" s="147">
        <f t="shared" si="4"/>
        <v>1.925777873133001E-2</v>
      </c>
      <c r="BG24" s="147">
        <f t="shared" si="4"/>
        <v>1.543359113171958E-2</v>
      </c>
      <c r="BH24" s="147">
        <f t="shared" si="4"/>
        <v>1.221565064694668E-2</v>
      </c>
      <c r="BI24" s="147">
        <f t="shared" si="4"/>
        <v>1.3888463855950694E-2</v>
      </c>
      <c r="BJ24" s="147">
        <f t="shared" si="4"/>
        <v>1.5689564227819221E-2</v>
      </c>
      <c r="BK24" s="147">
        <f t="shared" si="4"/>
        <v>1.4267574220998835E-2</v>
      </c>
      <c r="BL24" s="147">
        <f t="shared" si="4"/>
        <v>1.389269059994234E-2</v>
      </c>
      <c r="BM24" s="147">
        <f t="shared" si="4"/>
        <v>1.3170368857619569E-2</v>
      </c>
      <c r="BN24" s="147">
        <f t="shared" si="4"/>
        <v>1.0586073876636772E-2</v>
      </c>
      <c r="BO24" s="147">
        <f t="shared" si="4"/>
        <v>4.0674610131076778E-3</v>
      </c>
      <c r="BP24" s="147">
        <f t="shared" si="4"/>
        <v>7.5891339130839137E-3</v>
      </c>
      <c r="BQ24" s="147">
        <f t="shared" si="4"/>
        <v>1.036375636828773E-2</v>
      </c>
      <c r="BR24" s="147">
        <f t="shared" si="4"/>
        <v>2.7990120802301111E-2</v>
      </c>
      <c r="BS24" s="147">
        <f t="shared" si="4"/>
        <v>4.0489385982731177E-2</v>
      </c>
      <c r="BT24" s="147">
        <f t="shared" si="4"/>
        <v>3.2703525285536959E-2</v>
      </c>
      <c r="BU24" s="147">
        <f t="shared" si="4"/>
        <v>4.2284198548242752E-2</v>
      </c>
      <c r="BV24" s="147">
        <f t="shared" si="4"/>
        <v>3.6636537778295994E-2</v>
      </c>
      <c r="BW24" s="147">
        <f t="shared" si="4"/>
        <v>3.6184657139354107E-2</v>
      </c>
      <c r="BX24" s="147">
        <f t="shared" si="4"/>
        <v>4.5624696600440579E-2</v>
      </c>
      <c r="BY24" s="147">
        <f t="shared" si="4"/>
        <v>2.6483025776163377E-2</v>
      </c>
      <c r="BZ24" s="147">
        <f t="shared" si="4"/>
        <v>1.7615530392277021E-2</v>
      </c>
      <c r="CA24" s="147">
        <f t="shared" si="4"/>
        <v>2.3354995374335975E-2</v>
      </c>
      <c r="CB24" s="147">
        <f t="shared" si="4"/>
        <v>3.0964542837428936E-2</v>
      </c>
      <c r="CC24" s="147">
        <f t="shared" si="4"/>
        <v>3.0330262684781069E-2</v>
      </c>
      <c r="CD24" s="147">
        <f t="shared" si="4"/>
        <v>4.2882659895348854E-2</v>
      </c>
      <c r="CE24" s="147">
        <f t="shared" si="4"/>
        <v>5.5450999836021024E-2</v>
      </c>
      <c r="CF24" s="147">
        <f t="shared" si="4"/>
        <v>5.752907565715995E-2</v>
      </c>
      <c r="CG24" s="147">
        <f t="shared" si="4"/>
        <v>8.2656034887786903E-2</v>
      </c>
      <c r="CH24" s="147">
        <f t="shared" si="4"/>
        <v>7.5696362040342566E-2</v>
      </c>
      <c r="CI24" s="147">
        <f t="shared" si="4"/>
        <v>7.9692044932276176E-2</v>
      </c>
      <c r="CJ24" s="147">
        <f t="shared" si="4"/>
        <v>8.0084469990764157E-2</v>
      </c>
      <c r="CK24" s="147">
        <f t="shared" si="4"/>
        <v>8.4916147464492317E-2</v>
      </c>
      <c r="CL24" s="147">
        <f t="shared" si="4"/>
        <v>8.2747355921819074E-2</v>
      </c>
      <c r="CM24" s="147">
        <f t="shared" si="4"/>
        <v>9.0572985472252079E-2</v>
      </c>
      <c r="CN24" s="147">
        <f t="shared" si="4"/>
        <v>7.7741693787451008E-2</v>
      </c>
      <c r="CO24" s="147">
        <f t="shared" si="4"/>
        <v>7.2054753605048372E-2</v>
      </c>
      <c r="CP24" s="147">
        <f t="shared" si="4"/>
        <v>8.2714111469160162E-2</v>
      </c>
      <c r="CQ24" s="147">
        <f t="shared" si="4"/>
        <v>5.5209833844451016E-2</v>
      </c>
      <c r="CR24" s="147">
        <f t="shared" si="4"/>
        <v>0.10953963139753704</v>
      </c>
      <c r="CS24" s="147">
        <f t="shared" si="4"/>
        <v>0.12513263625088755</v>
      </c>
      <c r="CT24" s="147">
        <f t="shared" si="4"/>
        <v>0.10111975211050818</v>
      </c>
      <c r="CV24" s="148">
        <f t="shared" ca="1" si="5"/>
        <v>0</v>
      </c>
      <c r="CW24" s="148">
        <f t="shared" ca="1" si="6"/>
        <v>0</v>
      </c>
      <c r="CX24" s="148">
        <f t="shared" ca="1" si="7"/>
        <v>0</v>
      </c>
      <c r="DA24" s="148">
        <f t="shared" si="8"/>
        <v>5.5209833844451016E-2</v>
      </c>
      <c r="DB24" s="148">
        <f t="shared" si="9"/>
        <v>8.3827125922129112E-2</v>
      </c>
      <c r="DC24" s="148">
        <f t="shared" si="10"/>
        <v>0.12513263625088755</v>
      </c>
      <c r="DE24" s="399" t="s">
        <v>595</v>
      </c>
      <c r="DF24" s="146" t="s">
        <v>79</v>
      </c>
    </row>
    <row r="25" spans="1:114" ht="15">
      <c r="A25" s="138" t="s">
        <v>245</v>
      </c>
      <c r="B25" s="139" t="s">
        <v>77</v>
      </c>
      <c r="C25" s="140">
        <v>33833131</v>
      </c>
      <c r="D25" s="141">
        <v>48252857</v>
      </c>
      <c r="E25" s="141">
        <v>48605703</v>
      </c>
      <c r="F25" s="141">
        <v>57113486</v>
      </c>
      <c r="G25" s="141">
        <v>56078535</v>
      </c>
      <c r="H25" s="141">
        <v>63162041</v>
      </c>
      <c r="I25" s="141">
        <v>61333145</v>
      </c>
      <c r="J25" s="141">
        <v>62025366</v>
      </c>
      <c r="K25" s="141">
        <v>64450529</v>
      </c>
      <c r="L25" s="141">
        <v>58982042</v>
      </c>
      <c r="M25" s="141">
        <v>60762674</v>
      </c>
      <c r="N25" s="141">
        <v>59988391</v>
      </c>
      <c r="O25" s="141">
        <v>62120632</v>
      </c>
      <c r="P25" s="141">
        <v>61801669</v>
      </c>
      <c r="Q25" s="141">
        <v>49035342</v>
      </c>
      <c r="R25" s="141">
        <v>46296245</v>
      </c>
      <c r="S25" s="141">
        <v>41441026</v>
      </c>
      <c r="T25" s="141">
        <v>50348621</v>
      </c>
      <c r="U25" s="141">
        <v>50790859</v>
      </c>
      <c r="V25" s="141">
        <v>51399589</v>
      </c>
      <c r="W25" s="141">
        <v>55876208</v>
      </c>
      <c r="X25" s="141">
        <v>59738623</v>
      </c>
      <c r="Y25" s="141">
        <v>62800133</v>
      </c>
      <c r="Z25" s="141">
        <v>66589578</v>
      </c>
      <c r="AA25" s="141">
        <v>57733207</v>
      </c>
      <c r="AB25" s="141">
        <v>61986505</v>
      </c>
      <c r="AC25" s="141">
        <v>60322159</v>
      </c>
      <c r="AD25" s="141">
        <v>57452942</v>
      </c>
      <c r="AE25" s="141">
        <v>61346060</v>
      </c>
      <c r="AF25" s="141">
        <v>90062568</v>
      </c>
      <c r="AG25" s="141">
        <v>118487749</v>
      </c>
      <c r="AH25" s="141">
        <v>93698328</v>
      </c>
      <c r="AI25" s="141">
        <v>82462254</v>
      </c>
      <c r="AJ25" s="141">
        <v>97227631</v>
      </c>
      <c r="AK25" s="141">
        <v>93201560</v>
      </c>
      <c r="AL25" s="141">
        <v>92606253</v>
      </c>
      <c r="AM25" s="141">
        <v>86713258</v>
      </c>
      <c r="AN25" s="141">
        <v>83845092</v>
      </c>
      <c r="AO25" s="141">
        <v>82150218</v>
      </c>
      <c r="AP25" s="141">
        <v>79768943</v>
      </c>
      <c r="AQ25" s="141">
        <v>91113286</v>
      </c>
      <c r="AR25" s="141">
        <v>84545651</v>
      </c>
      <c r="AS25" s="141">
        <v>88114059</v>
      </c>
      <c r="AT25" s="141">
        <v>91697205</v>
      </c>
      <c r="AU25" s="141">
        <v>86925896</v>
      </c>
      <c r="AV25" s="141">
        <v>83704909</v>
      </c>
      <c r="AW25" s="142">
        <v>90540929</v>
      </c>
      <c r="AX25" s="145" t="s">
        <v>51</v>
      </c>
      <c r="AY25" s="146" t="s">
        <v>45</v>
      </c>
      <c r="AZ25" s="147">
        <f t="shared" si="4"/>
        <v>0.25645133939662584</v>
      </c>
      <c r="BA25" s="147">
        <f t="shared" si="4"/>
        <v>0.28057164966262682</v>
      </c>
      <c r="BB25" s="147">
        <f t="shared" si="4"/>
        <v>0.28773843829364765</v>
      </c>
      <c r="BC25" s="147">
        <f t="shared" si="4"/>
        <v>0.28841031985739113</v>
      </c>
      <c r="BD25" s="147">
        <f t="shared" si="4"/>
        <v>0.28422274789741619</v>
      </c>
      <c r="BE25" s="147">
        <f t="shared" si="4"/>
        <v>0.32735663873677279</v>
      </c>
      <c r="BF25" s="147">
        <f t="shared" si="4"/>
        <v>0.34518717929714071</v>
      </c>
      <c r="BG25" s="147">
        <f t="shared" si="4"/>
        <v>0.36789294202980316</v>
      </c>
      <c r="BH25" s="147">
        <f t="shared" si="4"/>
        <v>0.38789789053683887</v>
      </c>
      <c r="BI25" s="147">
        <f t="shared" si="4"/>
        <v>0.42770290506584907</v>
      </c>
      <c r="BJ25" s="147">
        <f t="shared" si="4"/>
        <v>0.44244952042357727</v>
      </c>
      <c r="BK25" s="147">
        <f t="shared" si="4"/>
        <v>0.45914864768741248</v>
      </c>
      <c r="BL25" s="147">
        <f t="shared" si="4"/>
        <v>0.45093222533231508</v>
      </c>
      <c r="BM25" s="147">
        <f t="shared" si="4"/>
        <v>0.46196496236017609</v>
      </c>
      <c r="BN25" s="147">
        <f t="shared" si="4"/>
        <v>0.4540248418672258</v>
      </c>
      <c r="BO25" s="147">
        <f t="shared" si="4"/>
        <v>0.48066935061714472</v>
      </c>
      <c r="BP25" s="147">
        <f t="shared" si="4"/>
        <v>0.47108159974482522</v>
      </c>
      <c r="BQ25" s="147">
        <f t="shared" si="4"/>
        <v>0.47277981300491967</v>
      </c>
      <c r="BR25" s="147">
        <f t="shared" si="4"/>
        <v>0.47245731189952883</v>
      </c>
      <c r="BS25" s="147">
        <f t="shared" si="4"/>
        <v>0.46113000724918968</v>
      </c>
      <c r="BT25" s="147">
        <f t="shared" si="4"/>
        <v>0.47344931036626225</v>
      </c>
      <c r="BU25" s="147">
        <f t="shared" si="4"/>
        <v>0.43423315252127165</v>
      </c>
      <c r="BV25" s="147">
        <f t="shared" si="4"/>
        <v>0.41091234478598421</v>
      </c>
      <c r="BW25" s="147">
        <f t="shared" si="4"/>
        <v>0.41171465014044756</v>
      </c>
      <c r="BX25" s="147">
        <f t="shared" si="4"/>
        <v>0.4414023535613103</v>
      </c>
      <c r="BY25" s="147">
        <f t="shared" si="4"/>
        <v>0.47362484689348522</v>
      </c>
      <c r="BZ25" s="147">
        <f t="shared" si="4"/>
        <v>0.49162041494232356</v>
      </c>
      <c r="CA25" s="147">
        <f t="shared" si="4"/>
        <v>0.49332581701019385</v>
      </c>
      <c r="CB25" s="147">
        <f t="shared" si="4"/>
        <v>0.48242217266270387</v>
      </c>
      <c r="CC25" s="147">
        <f t="shared" si="4"/>
        <v>0.45832203393417409</v>
      </c>
      <c r="CD25" s="147">
        <f t="shared" si="4"/>
        <v>0.44780525659790726</v>
      </c>
      <c r="CE25" s="147">
        <f t="shared" si="4"/>
        <v>0.46602233351663991</v>
      </c>
      <c r="CF25" s="147">
        <f t="shared" si="4"/>
        <v>0.43563404842412246</v>
      </c>
      <c r="CG25" s="147">
        <f t="shared" si="4"/>
        <v>0.37712497539959222</v>
      </c>
      <c r="CH25" s="147">
        <f t="shared" si="4"/>
        <v>0.38914202552242272</v>
      </c>
      <c r="CI25" s="147">
        <f t="shared" si="4"/>
        <v>0.39786795126969371</v>
      </c>
      <c r="CJ25" s="147">
        <f t="shared" si="4"/>
        <v>0.3962468117604378</v>
      </c>
      <c r="CK25" s="147">
        <f t="shared" si="4"/>
        <v>0.41315932457565641</v>
      </c>
      <c r="CL25" s="147">
        <f t="shared" si="4"/>
        <v>0.4138814904499008</v>
      </c>
      <c r="CM25" s="147">
        <f t="shared" si="4"/>
        <v>0.40072993809803015</v>
      </c>
      <c r="CN25" s="147">
        <f t="shared" si="4"/>
        <v>0.39675085897917917</v>
      </c>
      <c r="CO25" s="147">
        <f t="shared" si="4"/>
        <v>0.43232634460278896</v>
      </c>
      <c r="CP25" s="147">
        <f t="shared" si="4"/>
        <v>0.37049313457542904</v>
      </c>
      <c r="CQ25" s="147">
        <f t="shared" si="4"/>
        <v>0.42174228212268494</v>
      </c>
      <c r="CR25" s="147">
        <f t="shared" si="4"/>
        <v>0.38762795666507732</v>
      </c>
      <c r="CS25" s="147">
        <f t="shared" si="4"/>
        <v>0.39938963533372662</v>
      </c>
      <c r="CT25" s="147">
        <f t="shared" si="4"/>
        <v>0.42727798049258547</v>
      </c>
      <c r="CV25" s="148">
        <f t="shared" ca="1" si="5"/>
        <v>0</v>
      </c>
      <c r="CW25" s="148">
        <f t="shared" ca="1" si="6"/>
        <v>0</v>
      </c>
      <c r="CX25" s="148">
        <f t="shared" ca="1" si="7"/>
        <v>0</v>
      </c>
      <c r="DA25" s="148">
        <f t="shared" si="8"/>
        <v>0.37049313457542904</v>
      </c>
      <c r="DB25" s="148">
        <f t="shared" si="9"/>
        <v>0.40395965055142186</v>
      </c>
      <c r="DC25" s="148">
        <f>MAX(CF25:CT25)</f>
        <v>0.43563404842412246</v>
      </c>
      <c r="DE25" s="399" t="s">
        <v>595</v>
      </c>
      <c r="DF25" s="146" t="s">
        <v>45</v>
      </c>
    </row>
    <row r="26" spans="1:114" ht="15">
      <c r="A26" s="138" t="s">
        <v>245</v>
      </c>
      <c r="B26" s="139" t="s">
        <v>96</v>
      </c>
      <c r="C26" s="140">
        <v>5008546</v>
      </c>
      <c r="D26" s="141">
        <v>7391520</v>
      </c>
      <c r="E26" s="141">
        <v>7297155</v>
      </c>
      <c r="F26" s="141">
        <v>8787532</v>
      </c>
      <c r="G26" s="141">
        <v>7581595</v>
      </c>
      <c r="H26" s="141">
        <v>7699799</v>
      </c>
      <c r="I26" s="141">
        <v>7435207</v>
      </c>
      <c r="J26" s="141">
        <v>5786240</v>
      </c>
      <c r="K26" s="141">
        <v>4360987</v>
      </c>
      <c r="L26" s="141">
        <v>4202977</v>
      </c>
      <c r="M26" s="141">
        <v>4866847</v>
      </c>
      <c r="N26" s="141">
        <v>4194335</v>
      </c>
      <c r="O26" s="141">
        <v>4234856</v>
      </c>
      <c r="P26" s="141">
        <v>4381495</v>
      </c>
      <c r="Q26" s="141">
        <v>2771646</v>
      </c>
      <c r="R26" s="141">
        <v>968702</v>
      </c>
      <c r="S26" s="141">
        <v>1765231</v>
      </c>
      <c r="T26" s="141">
        <v>2850425</v>
      </c>
      <c r="U26" s="141">
        <v>8313503</v>
      </c>
      <c r="V26" s="141">
        <v>11306347</v>
      </c>
      <c r="W26" s="141">
        <v>10126633</v>
      </c>
      <c r="X26" s="141">
        <v>13004938</v>
      </c>
      <c r="Y26" s="141">
        <v>11827476</v>
      </c>
      <c r="Z26" s="141">
        <v>12121841</v>
      </c>
      <c r="AA26" s="141">
        <v>14440260</v>
      </c>
      <c r="AB26" s="141">
        <v>8700000</v>
      </c>
      <c r="AC26" s="141">
        <v>5982338</v>
      </c>
      <c r="AD26" s="141">
        <v>8175347</v>
      </c>
      <c r="AE26" s="141">
        <v>11076492</v>
      </c>
      <c r="AF26" s="141">
        <v>11709200</v>
      </c>
      <c r="AG26" s="141">
        <v>18676769</v>
      </c>
      <c r="AH26" s="141">
        <v>19528356</v>
      </c>
      <c r="AI26" s="141">
        <v>18447916</v>
      </c>
      <c r="AJ26" s="141">
        <v>26496112</v>
      </c>
      <c r="AK26" s="141">
        <v>25036556</v>
      </c>
      <c r="AL26" s="141">
        <v>26352301</v>
      </c>
      <c r="AM26" s="141">
        <v>25340447</v>
      </c>
      <c r="AN26" s="141">
        <v>28152548</v>
      </c>
      <c r="AO26" s="141">
        <v>26660150</v>
      </c>
      <c r="AP26" s="141">
        <v>28135844</v>
      </c>
      <c r="AQ26" s="141">
        <v>25289900</v>
      </c>
      <c r="AR26" s="141">
        <v>22936754</v>
      </c>
      <c r="AS26" s="141">
        <v>25976450</v>
      </c>
      <c r="AT26" s="141">
        <v>17426682</v>
      </c>
      <c r="AU26" s="141">
        <v>33097544</v>
      </c>
      <c r="AV26" s="141">
        <v>38224247</v>
      </c>
      <c r="AW26" s="142">
        <v>34460788</v>
      </c>
      <c r="AX26" s="145" t="s">
        <v>224</v>
      </c>
      <c r="AY26" s="146" t="s">
        <v>44</v>
      </c>
      <c r="AZ26" s="147">
        <f t="shared" si="4"/>
        <v>0.44339038133253333</v>
      </c>
      <c r="BA26" s="147">
        <f t="shared" si="4"/>
        <v>0.43285994557918489</v>
      </c>
      <c r="BB26" s="147">
        <f t="shared" si="4"/>
        <v>0.44115757604929073</v>
      </c>
      <c r="BC26" s="147">
        <f t="shared" si="4"/>
        <v>0.45811421009332187</v>
      </c>
      <c r="BD26" s="147">
        <f t="shared" si="4"/>
        <v>0.49191546663364843</v>
      </c>
      <c r="BE26" s="147">
        <f t="shared" si="4"/>
        <v>0.45165084039544812</v>
      </c>
      <c r="BF26" s="147">
        <f t="shared" si="4"/>
        <v>0.42769078815231754</v>
      </c>
      <c r="BG26" s="147">
        <f t="shared" si="4"/>
        <v>0.40220181106133207</v>
      </c>
      <c r="BH26" s="147">
        <f t="shared" si="4"/>
        <v>0.37420674679763355</v>
      </c>
      <c r="BI26" s="147">
        <f t="shared" si="4"/>
        <v>0.32417788096867062</v>
      </c>
      <c r="BJ26" s="147">
        <f t="shared" si="4"/>
        <v>0.31300628844737038</v>
      </c>
      <c r="BK26" s="147">
        <f t="shared" si="4"/>
        <v>0.28065094931676277</v>
      </c>
      <c r="BL26" s="147">
        <f t="shared" si="4"/>
        <v>0.29010365165665519</v>
      </c>
      <c r="BM26" s="147">
        <f t="shared" si="4"/>
        <v>0.3090280719601039</v>
      </c>
      <c r="BN26" s="147">
        <f t="shared" si="4"/>
        <v>0.30598364915672049</v>
      </c>
      <c r="BO26" s="147">
        <f t="shared" si="4"/>
        <v>0.28059474076319385</v>
      </c>
      <c r="BP26" s="147">
        <f t="shared" si="4"/>
        <v>0.29400556310032189</v>
      </c>
      <c r="BQ26" s="147">
        <f t="shared" si="4"/>
        <v>0.29486118243867432</v>
      </c>
      <c r="BR26" s="147">
        <f t="shared" si="4"/>
        <v>0.28925130559717338</v>
      </c>
      <c r="BS26" s="147">
        <f t="shared" si="4"/>
        <v>0.27232767116711754</v>
      </c>
      <c r="BT26" s="147">
        <f t="shared" ref="BT26:CT26" si="11">W64/SUM(W$59:W$64)</f>
        <v>0.27574189474770938</v>
      </c>
      <c r="BU26" s="147">
        <f t="shared" si="11"/>
        <v>0.28788467497394349</v>
      </c>
      <c r="BV26" s="147">
        <f t="shared" si="11"/>
        <v>0.30080400628934856</v>
      </c>
      <c r="BW26" s="147">
        <f t="shared" si="11"/>
        <v>0.29615905274071314</v>
      </c>
      <c r="BX26" s="147">
        <f t="shared" si="11"/>
        <v>0.2741822193686026</v>
      </c>
      <c r="BY26" s="147">
        <f t="shared" si="11"/>
        <v>0.2484420347948543</v>
      </c>
      <c r="BZ26" s="147">
        <f t="shared" si="11"/>
        <v>0.24363208569372988</v>
      </c>
      <c r="CA26" s="147">
        <f t="shared" si="11"/>
        <v>0.25997137984654861</v>
      </c>
      <c r="CB26" s="147">
        <f t="shared" si="11"/>
        <v>0.24995337563674688</v>
      </c>
      <c r="CC26" s="147">
        <f t="shared" si="11"/>
        <v>0.21772550523237569</v>
      </c>
      <c r="CD26" s="147">
        <f t="shared" si="11"/>
        <v>0.17843162334891968</v>
      </c>
      <c r="CE26" s="147">
        <f t="shared" si="11"/>
        <v>0.1576276450270141</v>
      </c>
      <c r="CF26" s="147">
        <f t="shared" si="11"/>
        <v>0.19277632597903951</v>
      </c>
      <c r="CG26" s="147">
        <f t="shared" si="11"/>
        <v>0.18485933455104267</v>
      </c>
      <c r="CH26" s="147">
        <f t="shared" si="11"/>
        <v>0.2083122368222079</v>
      </c>
      <c r="CI26" s="147">
        <f t="shared" si="11"/>
        <v>0.19864819800024483</v>
      </c>
      <c r="CJ26" s="147">
        <f t="shared" si="11"/>
        <v>0.20775968102241957</v>
      </c>
      <c r="CK26" s="147">
        <f t="shared" si="11"/>
        <v>0.20372726430772056</v>
      </c>
      <c r="CL26" s="147">
        <f t="shared" si="11"/>
        <v>0.20240723367480362</v>
      </c>
      <c r="CM26" s="147">
        <f t="shared" si="11"/>
        <v>0.20288400393532405</v>
      </c>
      <c r="CN26" s="147">
        <f t="shared" si="11"/>
        <v>0.19065402568816434</v>
      </c>
      <c r="CO26" s="147">
        <f t="shared" si="11"/>
        <v>0.1777899509811629</v>
      </c>
      <c r="CP26" s="147">
        <f t="shared" si="11"/>
        <v>0.24117145085288647</v>
      </c>
      <c r="CQ26" s="147">
        <f t="shared" si="11"/>
        <v>0.20131158680719602</v>
      </c>
      <c r="CR26" s="147">
        <f t="shared" si="11"/>
        <v>0.18261262060753281</v>
      </c>
      <c r="CS26" s="147">
        <f>AV64/SUM(AV$59:AV$64)</f>
        <v>0.15586670101593825</v>
      </c>
      <c r="CT26" s="147">
        <f t="shared" si="11"/>
        <v>0.1463927999500082</v>
      </c>
      <c r="CV26" s="148">
        <f t="shared" ca="1" si="5"/>
        <v>0</v>
      </c>
      <c r="CW26" s="148">
        <f t="shared" ca="1" si="6"/>
        <v>0</v>
      </c>
      <c r="CX26" s="148">
        <f t="shared" ca="1" si="7"/>
        <v>0</v>
      </c>
      <c r="DA26" s="148">
        <f t="shared" si="8"/>
        <v>0.1463927999500082</v>
      </c>
      <c r="DB26" s="148">
        <f>AVERAGE(CF26:CT26)</f>
        <v>0.19314489427971279</v>
      </c>
      <c r="DC26" s="148">
        <f t="shared" si="10"/>
        <v>0.24117145085288647</v>
      </c>
      <c r="DE26" s="399" t="s">
        <v>595</v>
      </c>
      <c r="DF26" s="146" t="s">
        <v>44</v>
      </c>
    </row>
    <row r="27" spans="1:114" ht="15">
      <c r="A27" s="138" t="s">
        <v>245</v>
      </c>
      <c r="B27" s="139" t="s">
        <v>51</v>
      </c>
      <c r="C27" s="140">
        <v>46508754</v>
      </c>
      <c r="D27" s="141">
        <v>70672171</v>
      </c>
      <c r="E27" s="141">
        <v>77962128</v>
      </c>
      <c r="F27" s="141">
        <v>100345169</v>
      </c>
      <c r="G27" s="141">
        <v>111538506</v>
      </c>
      <c r="H27" s="141">
        <v>135612977</v>
      </c>
      <c r="I27" s="141">
        <v>133331859</v>
      </c>
      <c r="J27" s="141">
        <v>138003152</v>
      </c>
      <c r="K27" s="141">
        <v>138527896</v>
      </c>
      <c r="L27" s="141">
        <v>129530664</v>
      </c>
      <c r="M27" s="141">
        <v>137341305</v>
      </c>
      <c r="N27" s="141">
        <v>135124150</v>
      </c>
      <c r="O27" s="141">
        <v>137599853</v>
      </c>
      <c r="P27" s="141">
        <v>153980000</v>
      </c>
      <c r="Q27" s="141">
        <v>118881497</v>
      </c>
      <c r="R27" s="141">
        <v>114484308</v>
      </c>
      <c r="S27" s="141">
        <v>109623166</v>
      </c>
      <c r="T27" s="141">
        <v>130082057</v>
      </c>
      <c r="U27" s="141">
        <v>140406069</v>
      </c>
      <c r="V27" s="141">
        <v>128874322</v>
      </c>
      <c r="W27" s="141">
        <v>146739328</v>
      </c>
      <c r="X27" s="141">
        <v>133717576</v>
      </c>
      <c r="Y27" s="141">
        <v>132849521</v>
      </c>
      <c r="Z27" s="141">
        <v>138086623</v>
      </c>
      <c r="AA27" s="141">
        <v>139834968</v>
      </c>
      <c r="AB27" s="141">
        <v>155723514</v>
      </c>
      <c r="AC27" s="141">
        <v>167090543</v>
      </c>
      <c r="AD27" s="141">
        <v>172825389</v>
      </c>
      <c r="AE27" s="141">
        <v>172798653</v>
      </c>
      <c r="AF27" s="141">
        <v>176978404</v>
      </c>
      <c r="AG27" s="141">
        <v>195090482</v>
      </c>
      <c r="AH27" s="141">
        <v>164214874</v>
      </c>
      <c r="AI27" s="141">
        <v>139764607</v>
      </c>
      <c r="AJ27" s="141">
        <v>120945572</v>
      </c>
      <c r="AK27" s="141">
        <v>128764241</v>
      </c>
      <c r="AL27" s="141">
        <v>131632485</v>
      </c>
      <c r="AM27" s="141">
        <v>125443163</v>
      </c>
      <c r="AN27" s="141">
        <v>137015010</v>
      </c>
      <c r="AO27" s="141">
        <v>133387879</v>
      </c>
      <c r="AP27" s="141">
        <v>124533548</v>
      </c>
      <c r="AQ27" s="141">
        <v>129089198</v>
      </c>
      <c r="AR27" s="141">
        <v>137627566</v>
      </c>
      <c r="AS27" s="141">
        <v>116362147</v>
      </c>
      <c r="AT27" s="141">
        <v>133128907</v>
      </c>
      <c r="AU27" s="141">
        <v>117131483</v>
      </c>
      <c r="AV27" s="141">
        <v>122018453</v>
      </c>
      <c r="AW27" s="142">
        <v>145640256</v>
      </c>
      <c r="AX27" s="145" t="s">
        <v>246</v>
      </c>
      <c r="AY27" s="149" t="s">
        <v>211</v>
      </c>
      <c r="AZ27" s="150">
        <f t="shared" ref="AZ27:CT27" si="12">C75</f>
        <v>0</v>
      </c>
      <c r="BA27" s="150">
        <f t="shared" si="12"/>
        <v>0</v>
      </c>
      <c r="BB27" s="150">
        <f t="shared" si="12"/>
        <v>0</v>
      </c>
      <c r="BC27" s="150">
        <f t="shared" si="12"/>
        <v>0</v>
      </c>
      <c r="BD27" s="150">
        <f t="shared" si="12"/>
        <v>0</v>
      </c>
      <c r="BE27" s="150">
        <f t="shared" si="12"/>
        <v>0</v>
      </c>
      <c r="BF27" s="150">
        <f t="shared" si="12"/>
        <v>0</v>
      </c>
      <c r="BG27" s="150">
        <f t="shared" si="12"/>
        <v>0</v>
      </c>
      <c r="BH27" s="150">
        <f t="shared" si="12"/>
        <v>-3457958</v>
      </c>
      <c r="BI27" s="150">
        <f t="shared" si="12"/>
        <v>-7614121</v>
      </c>
      <c r="BJ27" s="150">
        <f t="shared" si="12"/>
        <v>6238156</v>
      </c>
      <c r="BK27" s="150">
        <f t="shared" si="12"/>
        <v>-5426302</v>
      </c>
      <c r="BL27" s="150">
        <f t="shared" si="12"/>
        <v>-8224462</v>
      </c>
      <c r="BM27" s="150">
        <f t="shared" si="12"/>
        <v>-2400635</v>
      </c>
      <c r="BN27" s="150">
        <f t="shared" si="12"/>
        <v>23622270</v>
      </c>
      <c r="BO27" s="150">
        <f t="shared" si="12"/>
        <v>14693192</v>
      </c>
      <c r="BP27" s="150">
        <f t="shared" si="12"/>
        <v>33676426</v>
      </c>
      <c r="BQ27" s="150">
        <f t="shared" si="12"/>
        <v>27651458</v>
      </c>
      <c r="BR27" s="150">
        <f t="shared" si="12"/>
        <v>23113835</v>
      </c>
      <c r="BS27" s="150">
        <f t="shared" si="12"/>
        <v>17504277</v>
      </c>
      <c r="BT27" s="150">
        <f t="shared" si="12"/>
        <v>25215094</v>
      </c>
      <c r="BU27" s="150">
        <f t="shared" si="12"/>
        <v>26158943</v>
      </c>
      <c r="BV27" s="150">
        <f t="shared" si="12"/>
        <v>30378383</v>
      </c>
      <c r="BW27" s="150">
        <f t="shared" si="12"/>
        <v>34123962</v>
      </c>
      <c r="BX27" s="150">
        <f t="shared" si="12"/>
        <v>26874299</v>
      </c>
      <c r="BY27" s="150">
        <f t="shared" si="12"/>
        <v>16785219</v>
      </c>
      <c r="BZ27" s="150">
        <f t="shared" si="12"/>
        <v>7427491</v>
      </c>
      <c r="CA27" s="150">
        <f t="shared" si="12"/>
        <v>22531702</v>
      </c>
      <c r="CB27" s="150">
        <f t="shared" si="12"/>
        <v>11718613</v>
      </c>
      <c r="CC27" s="150">
        <f t="shared" si="12"/>
        <v>-2452088</v>
      </c>
      <c r="CD27" s="150">
        <f t="shared" si="12"/>
        <v>4375488</v>
      </c>
      <c r="CE27" s="150">
        <f t="shared" si="12"/>
        <v>3270427</v>
      </c>
      <c r="CF27" s="150">
        <f t="shared" si="12"/>
        <v>968768</v>
      </c>
      <c r="CG27" s="150">
        <f t="shared" si="12"/>
        <v>8817156</v>
      </c>
      <c r="CH27" s="150">
        <f t="shared" si="12"/>
        <v>5113752</v>
      </c>
      <c r="CI27" s="150">
        <f t="shared" si="12"/>
        <v>2322437</v>
      </c>
      <c r="CJ27" s="150">
        <f t="shared" si="12"/>
        <v>2161479</v>
      </c>
      <c r="CK27" s="150">
        <f t="shared" si="12"/>
        <v>1990228</v>
      </c>
      <c r="CL27" s="150">
        <f t="shared" si="12"/>
        <v>196701</v>
      </c>
      <c r="CM27" s="150">
        <f t="shared" si="12"/>
        <v>2357523</v>
      </c>
      <c r="CN27" s="150">
        <f t="shared" si="12"/>
        <v>3397029</v>
      </c>
      <c r="CO27" s="150">
        <f t="shared" si="12"/>
        <v>645244</v>
      </c>
      <c r="CP27" s="150">
        <f t="shared" si="12"/>
        <v>482422</v>
      </c>
      <c r="CQ27" s="150">
        <f t="shared" si="12"/>
        <v>1317982</v>
      </c>
      <c r="CR27" s="150">
        <f t="shared" si="12"/>
        <v>2073495</v>
      </c>
      <c r="CS27" s="150">
        <f t="shared" si="12"/>
        <v>2408184</v>
      </c>
      <c r="CT27" s="150">
        <f t="shared" si="12"/>
        <v>735379</v>
      </c>
      <c r="CV27" s="151">
        <f t="shared" ca="1" si="5"/>
        <v>0</v>
      </c>
      <c r="CW27" s="151">
        <f t="shared" ca="1" si="6"/>
        <v>0</v>
      </c>
      <c r="CX27" s="151">
        <f t="shared" ca="1" si="7"/>
        <v>0</v>
      </c>
      <c r="CY27" s="152"/>
      <c r="CZ27" s="152"/>
      <c r="DA27" s="151">
        <f t="shared" si="8"/>
        <v>196701</v>
      </c>
      <c r="DB27" s="151">
        <f>AVERAGE(CF27:CT27)</f>
        <v>2332518.6</v>
      </c>
      <c r="DC27" s="151">
        <f t="shared" si="10"/>
        <v>8817156</v>
      </c>
      <c r="DE27" s="399" t="s">
        <v>595</v>
      </c>
      <c r="DF27" s="149" t="s">
        <v>211</v>
      </c>
    </row>
    <row r="28" spans="1:114" ht="16" thickBot="1">
      <c r="A28" s="138" t="s">
        <v>245</v>
      </c>
      <c r="B28" s="139" t="s">
        <v>224</v>
      </c>
      <c r="C28" s="140">
        <v>84342480</v>
      </c>
      <c r="D28" s="141">
        <v>112867876</v>
      </c>
      <c r="E28" s="141">
        <v>124057479</v>
      </c>
      <c r="F28" s="141">
        <v>165326973</v>
      </c>
      <c r="G28" s="141">
        <v>200336396</v>
      </c>
      <c r="H28" s="141">
        <v>194158005</v>
      </c>
      <c r="I28" s="141">
        <v>172700908</v>
      </c>
      <c r="J28" s="141">
        <v>157002674</v>
      </c>
      <c r="K28" s="141">
        <v>139706833</v>
      </c>
      <c r="L28" s="141">
        <v>102796155</v>
      </c>
      <c r="M28" s="141">
        <v>101130053</v>
      </c>
      <c r="N28" s="141">
        <v>85997702</v>
      </c>
      <c r="O28" s="141">
        <v>91689012</v>
      </c>
      <c r="P28" s="141">
        <v>107035760</v>
      </c>
      <c r="Q28" s="141">
        <v>83413880</v>
      </c>
      <c r="R28" s="141">
        <v>70418006</v>
      </c>
      <c r="S28" s="141">
        <v>70912978</v>
      </c>
      <c r="T28" s="141">
        <v>83599526</v>
      </c>
      <c r="U28" s="141">
        <v>88399520</v>
      </c>
      <c r="V28" s="141">
        <v>80041127</v>
      </c>
      <c r="W28" s="141">
        <v>88123695</v>
      </c>
      <c r="X28" s="141">
        <v>90721741</v>
      </c>
      <c r="Y28" s="141">
        <v>100597737</v>
      </c>
      <c r="Z28" s="141">
        <v>100866496</v>
      </c>
      <c r="AA28" s="141">
        <v>88088136</v>
      </c>
      <c r="AB28" s="141">
        <v>83654407</v>
      </c>
      <c r="AC28" s="141">
        <v>86307546</v>
      </c>
      <c r="AD28" s="141">
        <v>94492449</v>
      </c>
      <c r="AE28" s="141">
        <v>92684234</v>
      </c>
      <c r="AF28" s="141">
        <v>86232588</v>
      </c>
      <c r="AG28" s="141">
        <v>79946929</v>
      </c>
      <c r="AH28" s="141">
        <v>57145892</v>
      </c>
      <c r="AI28" s="141">
        <v>62940143</v>
      </c>
      <c r="AJ28" s="141">
        <v>61055894</v>
      </c>
      <c r="AK28" s="141">
        <v>70166981</v>
      </c>
      <c r="AL28" s="141">
        <v>66968477</v>
      </c>
      <c r="AM28" s="141">
        <v>67380383</v>
      </c>
      <c r="AN28" s="141">
        <v>68359438</v>
      </c>
      <c r="AO28" s="141">
        <v>66264744</v>
      </c>
      <c r="AP28" s="141">
        <v>63704038</v>
      </c>
      <c r="AQ28" s="141">
        <v>62640431</v>
      </c>
      <c r="AR28" s="141">
        <v>57416743</v>
      </c>
      <c r="AS28" s="141">
        <v>78758521</v>
      </c>
      <c r="AT28" s="141">
        <v>63620014</v>
      </c>
      <c r="AU28" s="141">
        <v>55632005</v>
      </c>
      <c r="AV28" s="141">
        <v>48112486</v>
      </c>
      <c r="AW28" s="142">
        <v>50471365</v>
      </c>
      <c r="AX28" s="145" t="s">
        <v>142</v>
      </c>
      <c r="AY28" s="153" t="s">
        <v>93</v>
      </c>
      <c r="AZ28" s="154">
        <f>C74</f>
        <v>185997985</v>
      </c>
      <c r="BA28" s="154">
        <f t="shared" ref="BA28:CT28" si="13">D74</f>
        <v>273247012</v>
      </c>
      <c r="BB28" s="154">
        <f t="shared" si="13"/>
        <v>282278379</v>
      </c>
      <c r="BC28" s="154">
        <f t="shared" si="13"/>
        <v>382445493</v>
      </c>
      <c r="BD28" s="154">
        <f t="shared" si="13"/>
        <v>417950029</v>
      </c>
      <c r="BE28" s="154">
        <f t="shared" si="13"/>
        <v>426965749</v>
      </c>
      <c r="BF28" s="154">
        <f t="shared" si="13"/>
        <v>405622181</v>
      </c>
      <c r="BG28" s="154">
        <f t="shared" si="13"/>
        <v>419941430</v>
      </c>
      <c r="BH28" s="154">
        <f t="shared" si="13"/>
        <v>395445381</v>
      </c>
      <c r="BI28" s="154">
        <f t="shared" si="13"/>
        <v>334381256</v>
      </c>
      <c r="BJ28" s="154">
        <f t="shared" si="13"/>
        <v>326893057</v>
      </c>
      <c r="BK28" s="154">
        <f t="shared" si="13"/>
        <v>323173307</v>
      </c>
      <c r="BL28" s="154">
        <f t="shared" si="13"/>
        <v>334801625</v>
      </c>
      <c r="BM28" s="154">
        <f t="shared" si="13"/>
        <v>356687766</v>
      </c>
      <c r="BN28" s="154">
        <f t="shared" si="13"/>
        <v>271367717</v>
      </c>
      <c r="BO28" s="154">
        <f t="shared" si="13"/>
        <v>244655971</v>
      </c>
      <c r="BP28" s="154">
        <f t="shared" si="13"/>
        <v>219934312</v>
      </c>
      <c r="BQ28" s="154">
        <f t="shared" si="13"/>
        <v>266041514</v>
      </c>
      <c r="BR28" s="154">
        <f t="shared" si="13"/>
        <v>287567570</v>
      </c>
      <c r="BS28" s="154">
        <f t="shared" si="13"/>
        <v>279743964</v>
      </c>
      <c r="BT28" s="154">
        <f t="shared" si="13"/>
        <v>304432563</v>
      </c>
      <c r="BU28" s="154">
        <f t="shared" si="13"/>
        <v>296960845</v>
      </c>
      <c r="BV28" s="154">
        <f t="shared" si="13"/>
        <v>310890390</v>
      </c>
      <c r="BW28" s="154">
        <f t="shared" si="13"/>
        <v>323131975</v>
      </c>
      <c r="BX28" s="154">
        <f t="shared" si="13"/>
        <v>308682005</v>
      </c>
      <c r="BY28" s="154">
        <f t="shared" si="13"/>
        <v>331394770</v>
      </c>
      <c r="BZ28" s="154">
        <f t="shared" si="13"/>
        <v>355454908</v>
      </c>
      <c r="CA28" s="154">
        <f t="shared" si="13"/>
        <v>356795000</v>
      </c>
      <c r="CB28" s="154">
        <f t="shared" si="13"/>
        <v>365356400</v>
      </c>
      <c r="CC28" s="154">
        <f t="shared" si="13"/>
        <v>412022100</v>
      </c>
      <c r="CD28" s="154">
        <f t="shared" si="13"/>
        <v>448338000</v>
      </c>
      <c r="CE28" s="154">
        <f t="shared" si="13"/>
        <v>365090511</v>
      </c>
      <c r="CF28" s="154">
        <f t="shared" si="13"/>
        <v>340314599</v>
      </c>
      <c r="CG28" s="154">
        <f t="shared" si="13"/>
        <v>339203135</v>
      </c>
      <c r="CH28" s="154">
        <f t="shared" si="13"/>
        <v>346270013</v>
      </c>
      <c r="CI28" s="154">
        <f t="shared" si="13"/>
        <v>343914817</v>
      </c>
      <c r="CJ28" s="154">
        <f t="shared" si="13"/>
        <v>333095071</v>
      </c>
      <c r="CK28" s="154">
        <f t="shared" si="13"/>
        <v>352220912</v>
      </c>
      <c r="CL28" s="154">
        <f t="shared" si="13"/>
        <v>344651751</v>
      </c>
      <c r="CM28" s="154">
        <f t="shared" si="13"/>
        <v>332180848</v>
      </c>
      <c r="CN28" s="154">
        <f t="shared" si="13"/>
        <v>343530612</v>
      </c>
      <c r="CO28" s="154">
        <f t="shared" si="13"/>
        <v>333386568</v>
      </c>
      <c r="CP28" s="154">
        <f t="shared" si="13"/>
        <v>334639330</v>
      </c>
      <c r="CQ28" s="154">
        <f t="shared" si="13"/>
        <v>335634780</v>
      </c>
      <c r="CR28" s="154">
        <f t="shared" si="13"/>
        <v>314168191</v>
      </c>
      <c r="CS28" s="154">
        <f t="shared" si="13"/>
        <v>327286287</v>
      </c>
      <c r="CT28" s="154">
        <f t="shared" si="13"/>
        <v>362386542</v>
      </c>
      <c r="CV28" s="151">
        <f t="shared" ca="1" si="5"/>
        <v>0</v>
      </c>
      <c r="CW28" s="151">
        <f t="shared" ca="1" si="6"/>
        <v>0</v>
      </c>
      <c r="CX28" s="151">
        <f t="shared" ca="1" si="7"/>
        <v>0</v>
      </c>
      <c r="CY28" s="152"/>
      <c r="CZ28" s="152"/>
      <c r="DA28" s="151">
        <f t="shared" si="8"/>
        <v>314168191</v>
      </c>
      <c r="DB28" s="151">
        <f t="shared" si="9"/>
        <v>338858897.06666666</v>
      </c>
      <c r="DC28" s="151">
        <f t="shared" si="10"/>
        <v>362386542</v>
      </c>
      <c r="DE28" s="399" t="s">
        <v>595</v>
      </c>
      <c r="DF28" s="401" t="s">
        <v>93</v>
      </c>
    </row>
    <row r="29" spans="1:114" ht="15">
      <c r="A29" s="138" t="s">
        <v>245</v>
      </c>
      <c r="B29" s="139" t="s">
        <v>225</v>
      </c>
      <c r="C29" s="140">
        <v>0</v>
      </c>
      <c r="D29" s="141">
        <v>0</v>
      </c>
      <c r="E29" s="141">
        <v>0</v>
      </c>
      <c r="F29" s="141">
        <v>0</v>
      </c>
      <c r="G29" s="141">
        <v>0</v>
      </c>
      <c r="H29" s="141">
        <v>0</v>
      </c>
      <c r="I29" s="141">
        <v>0</v>
      </c>
      <c r="J29" s="141">
        <v>0</v>
      </c>
      <c r="K29" s="141">
        <v>0</v>
      </c>
      <c r="L29" s="141">
        <v>0</v>
      </c>
      <c r="M29" s="141">
        <v>0</v>
      </c>
      <c r="N29" s="141">
        <v>0</v>
      </c>
      <c r="O29" s="141">
        <v>0</v>
      </c>
      <c r="P29" s="141">
        <v>0</v>
      </c>
      <c r="Q29" s="141">
        <v>0</v>
      </c>
      <c r="R29" s="141">
        <v>0</v>
      </c>
      <c r="S29" s="141">
        <v>0</v>
      </c>
      <c r="T29" s="141">
        <v>0</v>
      </c>
      <c r="U29" s="141">
        <v>0</v>
      </c>
      <c r="V29" s="141">
        <v>0</v>
      </c>
      <c r="W29" s="141">
        <v>0</v>
      </c>
      <c r="X29" s="141">
        <v>0</v>
      </c>
      <c r="Y29" s="141">
        <v>0</v>
      </c>
      <c r="Z29" s="141">
        <v>0</v>
      </c>
      <c r="AA29" s="141">
        <v>0</v>
      </c>
      <c r="AB29" s="141">
        <v>0</v>
      </c>
      <c r="AC29" s="141">
        <v>0</v>
      </c>
      <c r="AD29" s="141">
        <v>0</v>
      </c>
      <c r="AE29" s="141">
        <v>0</v>
      </c>
      <c r="AF29" s="141">
        <v>0</v>
      </c>
      <c r="AG29" s="141">
        <v>0</v>
      </c>
      <c r="AH29" s="141">
        <v>0</v>
      </c>
      <c r="AI29" s="141">
        <v>0</v>
      </c>
      <c r="AJ29" s="141">
        <v>0</v>
      </c>
      <c r="AK29" s="141">
        <v>0</v>
      </c>
      <c r="AL29" s="141">
        <v>0</v>
      </c>
      <c r="AM29" s="141">
        <v>0</v>
      </c>
      <c r="AN29" s="141">
        <v>0</v>
      </c>
      <c r="AO29" s="141">
        <v>0</v>
      </c>
      <c r="AP29" s="141">
        <v>0</v>
      </c>
      <c r="AQ29" s="141">
        <v>0</v>
      </c>
      <c r="AR29" s="141">
        <v>0</v>
      </c>
      <c r="AS29" s="141">
        <v>0</v>
      </c>
      <c r="AT29" s="141">
        <v>0</v>
      </c>
      <c r="AU29" s="141">
        <v>0</v>
      </c>
      <c r="AV29" s="141">
        <v>0</v>
      </c>
      <c r="AW29" s="142">
        <v>0</v>
      </c>
      <c r="AX29" s="145" t="s">
        <v>247</v>
      </c>
      <c r="AY29" s="131" t="str">
        <f>B86</f>
        <v>Elec</v>
      </c>
      <c r="AZ29" s="131">
        <f t="shared" ref="AZ29:CT30" si="14">C86</f>
        <v>397650</v>
      </c>
      <c r="BA29" s="131">
        <f t="shared" si="14"/>
        <v>432699</v>
      </c>
      <c r="BB29" s="131">
        <f t="shared" si="14"/>
        <v>476143</v>
      </c>
      <c r="BC29" s="131">
        <f t="shared" si="14"/>
        <v>530132</v>
      </c>
      <c r="BD29" s="131">
        <f t="shared" si="14"/>
        <v>593411</v>
      </c>
      <c r="BE29" s="131">
        <f t="shared" si="14"/>
        <v>643437</v>
      </c>
      <c r="BF29" s="131">
        <f t="shared" si="14"/>
        <v>685084</v>
      </c>
      <c r="BG29" s="131">
        <f t="shared" si="14"/>
        <v>736411</v>
      </c>
      <c r="BH29" s="131">
        <f t="shared" si="14"/>
        <v>731086</v>
      </c>
      <c r="BI29" s="131">
        <f t="shared" si="14"/>
        <v>686570</v>
      </c>
      <c r="BJ29" s="131">
        <f t="shared" si="14"/>
        <v>613406</v>
      </c>
      <c r="BK29" s="131">
        <f t="shared" si="14"/>
        <v>594418</v>
      </c>
      <c r="BL29" s="131">
        <f t="shared" si="14"/>
        <v>639873</v>
      </c>
      <c r="BM29" s="131">
        <f t="shared" si="14"/>
        <v>625981</v>
      </c>
      <c r="BN29" s="131">
        <f t="shared" si="14"/>
        <v>647706</v>
      </c>
      <c r="BO29" s="131">
        <f t="shared" si="14"/>
        <v>763354</v>
      </c>
      <c r="BP29" s="131">
        <f t="shared" si="14"/>
        <v>759288</v>
      </c>
      <c r="BQ29" s="131">
        <f t="shared" si="14"/>
        <v>783722</v>
      </c>
      <c r="BR29" s="131">
        <f t="shared" si="14"/>
        <v>785727</v>
      </c>
      <c r="BS29" s="131">
        <f t="shared" si="14"/>
        <v>767902</v>
      </c>
      <c r="BT29" s="131">
        <f t="shared" si="14"/>
        <v>911578</v>
      </c>
      <c r="BU29" s="131">
        <f t="shared" si="14"/>
        <v>909734</v>
      </c>
      <c r="BV29" s="131">
        <f t="shared" si="14"/>
        <v>857186</v>
      </c>
      <c r="BW29" s="131">
        <f t="shared" si="14"/>
        <v>844713</v>
      </c>
      <c r="BX29" s="131">
        <f t="shared" si="14"/>
        <v>891592</v>
      </c>
      <c r="BY29" s="131">
        <f t="shared" si="14"/>
        <v>1096782</v>
      </c>
      <c r="BZ29" s="131">
        <f t="shared" si="14"/>
        <v>1163069</v>
      </c>
      <c r="CA29" s="131">
        <f t="shared" si="14"/>
        <v>1103643</v>
      </c>
      <c r="CB29" s="131">
        <f t="shared" si="14"/>
        <v>1200480</v>
      </c>
      <c r="CC29" s="131">
        <f t="shared" si="14"/>
        <v>1178367</v>
      </c>
      <c r="CD29" s="131">
        <f t="shared" si="14"/>
        <v>1231778</v>
      </c>
      <c r="CE29" s="131">
        <f t="shared" si="14"/>
        <v>1027529</v>
      </c>
      <c r="CF29" s="131">
        <f t="shared" si="14"/>
        <v>905799</v>
      </c>
      <c r="CG29" s="131">
        <f t="shared" si="14"/>
        <v>977882</v>
      </c>
      <c r="CH29" s="131">
        <f t="shared" si="14"/>
        <v>756137</v>
      </c>
      <c r="CI29" s="131">
        <f t="shared" si="14"/>
        <v>555652</v>
      </c>
      <c r="CJ29" s="131">
        <f t="shared" si="14"/>
        <v>565485</v>
      </c>
      <c r="CK29" s="131">
        <f t="shared" si="14"/>
        <v>904276</v>
      </c>
      <c r="CL29" s="131">
        <f t="shared" si="14"/>
        <v>922446</v>
      </c>
      <c r="CM29" s="131">
        <f t="shared" si="14"/>
        <v>644273</v>
      </c>
      <c r="CN29" s="131">
        <f t="shared" si="14"/>
        <v>781406</v>
      </c>
      <c r="CO29" s="131">
        <f t="shared" si="14"/>
        <v>1101084</v>
      </c>
      <c r="CP29" s="131">
        <f t="shared" si="14"/>
        <v>1285842</v>
      </c>
      <c r="CQ29" s="131">
        <f t="shared" si="14"/>
        <v>1153932</v>
      </c>
      <c r="CR29" s="155">
        <f t="shared" si="14"/>
        <v>1169936</v>
      </c>
      <c r="CS29" s="131">
        <f t="shared" si="14"/>
        <v>1056349</v>
      </c>
      <c r="CT29" s="155">
        <f t="shared" si="14"/>
        <v>1074112</v>
      </c>
      <c r="CV29" s="119" t="s">
        <v>140</v>
      </c>
      <c r="CW29" s="119" t="s">
        <v>138</v>
      </c>
      <c r="DA29" s="119" t="s">
        <v>140</v>
      </c>
      <c r="DB29" s="119" t="s">
        <v>138</v>
      </c>
    </row>
    <row r="30" spans="1:114" ht="15">
      <c r="A30" s="138" t="s">
        <v>245</v>
      </c>
      <c r="B30" s="139" t="s">
        <v>226</v>
      </c>
      <c r="C30" s="140">
        <v>0</v>
      </c>
      <c r="D30" s="141">
        <v>0</v>
      </c>
      <c r="E30" s="141">
        <v>0</v>
      </c>
      <c r="F30" s="141">
        <v>0</v>
      </c>
      <c r="G30" s="141">
        <v>0</v>
      </c>
      <c r="H30" s="141">
        <v>0</v>
      </c>
      <c r="I30" s="141">
        <v>0</v>
      </c>
      <c r="J30" s="141">
        <v>0</v>
      </c>
      <c r="K30" s="141">
        <v>0</v>
      </c>
      <c r="L30" s="141">
        <v>0</v>
      </c>
      <c r="M30" s="141">
        <v>0</v>
      </c>
      <c r="N30" s="141">
        <v>0</v>
      </c>
      <c r="O30" s="141">
        <v>0</v>
      </c>
      <c r="P30" s="141">
        <v>0</v>
      </c>
      <c r="Q30" s="141">
        <v>0</v>
      </c>
      <c r="R30" s="141">
        <v>0</v>
      </c>
      <c r="S30" s="141">
        <v>0</v>
      </c>
      <c r="T30" s="141">
        <v>0</v>
      </c>
      <c r="U30" s="141">
        <v>0</v>
      </c>
      <c r="V30" s="141">
        <v>0</v>
      </c>
      <c r="W30" s="141">
        <v>0</v>
      </c>
      <c r="X30" s="141">
        <v>0</v>
      </c>
      <c r="Y30" s="141">
        <v>0</v>
      </c>
      <c r="Z30" s="141">
        <v>0</v>
      </c>
      <c r="AA30" s="141">
        <v>0</v>
      </c>
      <c r="AB30" s="141">
        <v>0</v>
      </c>
      <c r="AC30" s="141">
        <v>0</v>
      </c>
      <c r="AD30" s="141">
        <v>0</v>
      </c>
      <c r="AE30" s="141">
        <v>0</v>
      </c>
      <c r="AF30" s="141">
        <v>0</v>
      </c>
      <c r="AG30" s="141">
        <v>0</v>
      </c>
      <c r="AH30" s="141">
        <v>0</v>
      </c>
      <c r="AI30" s="141">
        <v>0</v>
      </c>
      <c r="AJ30" s="141">
        <v>0</v>
      </c>
      <c r="AK30" s="141">
        <v>0</v>
      </c>
      <c r="AL30" s="141">
        <v>940000</v>
      </c>
      <c r="AM30" s="141">
        <v>1504000</v>
      </c>
      <c r="AN30" s="141">
        <v>1692000</v>
      </c>
      <c r="AO30" s="141">
        <v>2444000</v>
      </c>
      <c r="AP30" s="141">
        <v>2632000</v>
      </c>
      <c r="AQ30" s="141">
        <v>2632000</v>
      </c>
      <c r="AR30" s="141">
        <v>2636775</v>
      </c>
      <c r="AS30" s="141">
        <v>3712650</v>
      </c>
      <c r="AT30" s="141">
        <v>3267638</v>
      </c>
      <c r="AU30" s="141">
        <v>2875125</v>
      </c>
      <c r="AV30" s="141">
        <v>3195313</v>
      </c>
      <c r="AW30" s="142">
        <v>3831351</v>
      </c>
      <c r="AX30" s="145" t="s">
        <v>248</v>
      </c>
      <c r="AY30" s="131" t="str">
        <f>B87</f>
        <v>DistHeat</v>
      </c>
      <c r="AZ30" s="131">
        <f t="shared" si="14"/>
        <v>2278</v>
      </c>
      <c r="BA30" s="131">
        <f t="shared" si="14"/>
        <v>2479</v>
      </c>
      <c r="BB30" s="131">
        <f t="shared" si="14"/>
        <v>3063</v>
      </c>
      <c r="BC30" s="131">
        <f t="shared" si="14"/>
        <v>4198</v>
      </c>
      <c r="BD30" s="131">
        <f t="shared" si="14"/>
        <v>4495</v>
      </c>
      <c r="BE30" s="131">
        <f t="shared" si="14"/>
        <v>4899</v>
      </c>
      <c r="BF30" s="131">
        <f t="shared" si="14"/>
        <v>5362</v>
      </c>
      <c r="BG30" s="131">
        <f t="shared" si="14"/>
        <v>5639</v>
      </c>
      <c r="BH30" s="131">
        <f t="shared" si="14"/>
        <v>5838</v>
      </c>
      <c r="BI30" s="131">
        <f t="shared" si="14"/>
        <v>5961</v>
      </c>
      <c r="BJ30" s="131">
        <f t="shared" si="14"/>
        <v>5173</v>
      </c>
      <c r="BK30" s="131">
        <f t="shared" si="14"/>
        <v>5701</v>
      </c>
      <c r="BL30" s="131">
        <f t="shared" si="14"/>
        <v>5536</v>
      </c>
      <c r="BM30" s="131">
        <f t="shared" si="14"/>
        <v>5388</v>
      </c>
      <c r="BN30" s="131">
        <f t="shared" si="14"/>
        <v>0</v>
      </c>
      <c r="BO30" s="131">
        <f t="shared" si="14"/>
        <v>0</v>
      </c>
      <c r="BP30" s="131">
        <f t="shared" si="14"/>
        <v>294559</v>
      </c>
      <c r="BQ30" s="131">
        <f t="shared" si="14"/>
        <v>446939</v>
      </c>
      <c r="BR30" s="131">
        <f t="shared" si="14"/>
        <v>459885</v>
      </c>
      <c r="BS30" s="131">
        <f t="shared" si="14"/>
        <v>439145</v>
      </c>
      <c r="BT30" s="131">
        <f t="shared" si="14"/>
        <v>335697</v>
      </c>
      <c r="BU30" s="131">
        <f t="shared" si="14"/>
        <v>362024</v>
      </c>
      <c r="BV30" s="131">
        <f t="shared" si="14"/>
        <v>405850</v>
      </c>
      <c r="BW30" s="131">
        <f t="shared" si="14"/>
        <v>416804</v>
      </c>
      <c r="BX30" s="131">
        <f t="shared" si="14"/>
        <v>427758</v>
      </c>
      <c r="BY30" s="131">
        <f t="shared" si="14"/>
        <v>387197</v>
      </c>
      <c r="BZ30" s="131">
        <f t="shared" si="14"/>
        <v>346636</v>
      </c>
      <c r="CA30" s="131">
        <f t="shared" si="14"/>
        <v>306075</v>
      </c>
      <c r="CB30" s="131">
        <f t="shared" si="14"/>
        <v>351620</v>
      </c>
      <c r="CC30" s="131">
        <f t="shared" si="14"/>
        <v>380457</v>
      </c>
      <c r="CD30" s="131">
        <f t="shared" si="14"/>
        <v>318666</v>
      </c>
      <c r="CE30" s="131">
        <f t="shared" si="14"/>
        <v>256816</v>
      </c>
      <c r="CF30" s="131">
        <f t="shared" si="14"/>
        <v>222847</v>
      </c>
      <c r="CG30" s="131">
        <f t="shared" si="14"/>
        <v>299190</v>
      </c>
      <c r="CH30" s="131">
        <f t="shared" si="14"/>
        <v>275371</v>
      </c>
      <c r="CI30" s="131">
        <f t="shared" si="14"/>
        <v>252295</v>
      </c>
      <c r="CJ30" s="131">
        <f t="shared" si="14"/>
        <v>252295</v>
      </c>
      <c r="CK30" s="131">
        <f t="shared" si="14"/>
        <v>260862</v>
      </c>
      <c r="CL30" s="131">
        <f t="shared" si="14"/>
        <v>247819</v>
      </c>
      <c r="CM30" s="131">
        <f t="shared" si="14"/>
        <v>354806</v>
      </c>
      <c r="CN30" s="131">
        <f t="shared" si="14"/>
        <v>367693</v>
      </c>
      <c r="CO30" s="131">
        <f t="shared" si="14"/>
        <v>404977</v>
      </c>
      <c r="CP30" s="131">
        <f t="shared" si="14"/>
        <v>585757</v>
      </c>
      <c r="CQ30" s="131">
        <f t="shared" si="14"/>
        <v>585699</v>
      </c>
      <c r="CR30" s="155">
        <f t="shared" si="14"/>
        <v>583942</v>
      </c>
      <c r="CS30" s="131">
        <f t="shared" si="14"/>
        <v>558832</v>
      </c>
      <c r="CT30" s="131">
        <f t="shared" si="14"/>
        <v>558832</v>
      </c>
      <c r="CV30" s="156">
        <f>MAX(CT33:DE33)</f>
        <v>340791856</v>
      </c>
      <c r="CW30" s="156">
        <f>MIN(CT33:DE33)</f>
        <v>0.9210920147181878</v>
      </c>
      <c r="DA30" s="156">
        <f>MAX(CF33:CT33)</f>
        <v>340791856</v>
      </c>
      <c r="DB30" s="156">
        <f>MIN(CF33:CT33)</f>
        <v>302151318</v>
      </c>
    </row>
    <row r="31" spans="1:114" ht="15">
      <c r="A31" s="138" t="s">
        <v>245</v>
      </c>
      <c r="B31" s="139" t="s">
        <v>70</v>
      </c>
      <c r="C31" s="140">
        <v>0</v>
      </c>
      <c r="D31" s="141">
        <v>0</v>
      </c>
      <c r="E31" s="141">
        <v>0</v>
      </c>
      <c r="F31" s="141">
        <v>0</v>
      </c>
      <c r="G31" s="141">
        <v>0</v>
      </c>
      <c r="H31" s="141">
        <v>0</v>
      </c>
      <c r="I31" s="141">
        <v>0</v>
      </c>
      <c r="J31" s="141">
        <v>0</v>
      </c>
      <c r="K31" s="141">
        <v>0</v>
      </c>
      <c r="L31" s="141">
        <v>0</v>
      </c>
      <c r="M31" s="141">
        <v>0</v>
      </c>
      <c r="N31" s="141">
        <v>0</v>
      </c>
      <c r="O31" s="141">
        <v>0</v>
      </c>
      <c r="P31" s="141">
        <v>0</v>
      </c>
      <c r="Q31" s="141">
        <v>0</v>
      </c>
      <c r="R31" s="141">
        <v>0</v>
      </c>
      <c r="S31" s="141">
        <v>0</v>
      </c>
      <c r="T31" s="141">
        <v>0</v>
      </c>
      <c r="U31" s="141">
        <v>0</v>
      </c>
      <c r="V31" s="141">
        <v>0</v>
      </c>
      <c r="W31" s="141">
        <v>0</v>
      </c>
      <c r="X31" s="141">
        <v>0</v>
      </c>
      <c r="Y31" s="141">
        <v>0</v>
      </c>
      <c r="Z31" s="141">
        <v>0</v>
      </c>
      <c r="AA31" s="141">
        <v>0</v>
      </c>
      <c r="AB31" s="141">
        <v>0</v>
      </c>
      <c r="AC31" s="141">
        <v>0</v>
      </c>
      <c r="AD31" s="141">
        <v>0</v>
      </c>
      <c r="AE31" s="141">
        <v>0</v>
      </c>
      <c r="AF31" s="141">
        <v>0</v>
      </c>
      <c r="AG31" s="141">
        <v>0</v>
      </c>
      <c r="AH31" s="141">
        <v>0</v>
      </c>
      <c r="AI31" s="141">
        <v>0</v>
      </c>
      <c r="AJ31" s="141">
        <v>0</v>
      </c>
      <c r="AK31" s="141">
        <v>0</v>
      </c>
      <c r="AL31" s="141">
        <v>0</v>
      </c>
      <c r="AM31" s="141">
        <v>0</v>
      </c>
      <c r="AN31" s="141">
        <v>0</v>
      </c>
      <c r="AO31" s="141">
        <v>0</v>
      </c>
      <c r="AP31" s="141">
        <v>0</v>
      </c>
      <c r="AQ31" s="141">
        <v>0</v>
      </c>
      <c r="AR31" s="141">
        <v>0</v>
      </c>
      <c r="AS31" s="141">
        <v>0</v>
      </c>
      <c r="AT31" s="141">
        <v>0</v>
      </c>
      <c r="AU31" s="141">
        <v>0</v>
      </c>
      <c r="AV31" s="141">
        <v>0</v>
      </c>
      <c r="AW31" s="142">
        <v>0</v>
      </c>
    </row>
    <row r="32" spans="1:114" ht="15">
      <c r="A32" s="138" t="s">
        <v>245</v>
      </c>
      <c r="B32" s="139" t="s">
        <v>227</v>
      </c>
      <c r="C32" s="140">
        <v>0</v>
      </c>
      <c r="D32" s="141">
        <v>0</v>
      </c>
      <c r="E32" s="141">
        <v>0</v>
      </c>
      <c r="F32" s="141">
        <v>0</v>
      </c>
      <c r="G32" s="141">
        <v>0</v>
      </c>
      <c r="H32" s="141">
        <v>0</v>
      </c>
      <c r="I32" s="141">
        <v>0</v>
      </c>
      <c r="J32" s="141">
        <v>0</v>
      </c>
      <c r="K32" s="141">
        <v>0</v>
      </c>
      <c r="L32" s="141">
        <v>0</v>
      </c>
      <c r="M32" s="141">
        <v>0</v>
      </c>
      <c r="N32" s="141">
        <v>0</v>
      </c>
      <c r="O32" s="141">
        <v>0</v>
      </c>
      <c r="P32" s="141">
        <v>0</v>
      </c>
      <c r="Q32" s="141">
        <v>0</v>
      </c>
      <c r="R32" s="141">
        <v>0</v>
      </c>
      <c r="S32" s="141">
        <v>0</v>
      </c>
      <c r="T32" s="141">
        <v>0</v>
      </c>
      <c r="U32" s="141">
        <v>0</v>
      </c>
      <c r="V32" s="141">
        <v>0</v>
      </c>
      <c r="W32" s="141">
        <v>0</v>
      </c>
      <c r="X32" s="141">
        <v>0</v>
      </c>
      <c r="Y32" s="141">
        <v>0</v>
      </c>
      <c r="Z32" s="141">
        <v>0</v>
      </c>
      <c r="AA32" s="141">
        <v>0</v>
      </c>
      <c r="AB32" s="141">
        <v>0</v>
      </c>
      <c r="AC32" s="141">
        <v>0</v>
      </c>
      <c r="AD32" s="141">
        <v>0</v>
      </c>
      <c r="AE32" s="141">
        <v>0</v>
      </c>
      <c r="AF32" s="141">
        <v>0</v>
      </c>
      <c r="AG32" s="141">
        <v>0</v>
      </c>
      <c r="AH32" s="141">
        <v>0</v>
      </c>
      <c r="AI32" s="141">
        <v>0</v>
      </c>
      <c r="AJ32" s="141">
        <v>0</v>
      </c>
      <c r="AK32" s="141">
        <v>0</v>
      </c>
      <c r="AL32" s="141">
        <v>0</v>
      </c>
      <c r="AM32" s="141">
        <v>0</v>
      </c>
      <c r="AN32" s="141">
        <v>0</v>
      </c>
      <c r="AO32" s="141">
        <v>0</v>
      </c>
      <c r="AP32" s="141">
        <v>0</v>
      </c>
      <c r="AQ32" s="141">
        <v>0</v>
      </c>
      <c r="AR32" s="141">
        <v>0</v>
      </c>
      <c r="AS32" s="141">
        <v>0</v>
      </c>
      <c r="AT32" s="141">
        <v>0</v>
      </c>
      <c r="AU32" s="141">
        <v>0</v>
      </c>
      <c r="AV32" s="141">
        <v>0</v>
      </c>
      <c r="AW32" s="142">
        <v>0</v>
      </c>
      <c r="AY32" s="119" t="s">
        <v>249</v>
      </c>
      <c r="AZ32" s="157" t="e">
        <f>DE27+DE28</f>
        <v>#VALUE!</v>
      </c>
      <c r="BA32" s="157">
        <f t="shared" ref="BA32:CT32" si="15">BA27+BA28</f>
        <v>273247012</v>
      </c>
      <c r="BB32" s="157">
        <f t="shared" si="15"/>
        <v>282278379</v>
      </c>
      <c r="BC32" s="157">
        <f t="shared" si="15"/>
        <v>382445493</v>
      </c>
      <c r="BD32" s="157">
        <f t="shared" si="15"/>
        <v>417950029</v>
      </c>
      <c r="BE32" s="157">
        <f t="shared" si="15"/>
        <v>426965749</v>
      </c>
      <c r="BF32" s="157">
        <f t="shared" si="15"/>
        <v>405622181</v>
      </c>
      <c r="BG32" s="157">
        <f t="shared" si="15"/>
        <v>419941430</v>
      </c>
      <c r="BH32" s="157">
        <f t="shared" si="15"/>
        <v>391987423</v>
      </c>
      <c r="BI32" s="157">
        <f t="shared" si="15"/>
        <v>326767135</v>
      </c>
      <c r="BJ32" s="157">
        <f t="shared" si="15"/>
        <v>333131213</v>
      </c>
      <c r="BK32" s="157">
        <f t="shared" si="15"/>
        <v>317747005</v>
      </c>
      <c r="BL32" s="157">
        <f t="shared" si="15"/>
        <v>326577163</v>
      </c>
      <c r="BM32" s="157">
        <f t="shared" si="15"/>
        <v>354287131</v>
      </c>
      <c r="BN32" s="157">
        <f t="shared" si="15"/>
        <v>294989987</v>
      </c>
      <c r="BO32" s="157">
        <f t="shared" si="15"/>
        <v>259349163</v>
      </c>
      <c r="BP32" s="157">
        <f t="shared" si="15"/>
        <v>253610738</v>
      </c>
      <c r="BQ32" s="157">
        <f t="shared" si="15"/>
        <v>293692972</v>
      </c>
      <c r="BR32" s="157">
        <f t="shared" si="15"/>
        <v>310681405</v>
      </c>
      <c r="BS32" s="157">
        <f t="shared" si="15"/>
        <v>297248241</v>
      </c>
      <c r="BT32" s="157">
        <f t="shared" si="15"/>
        <v>329647657</v>
      </c>
      <c r="BU32" s="157">
        <f t="shared" si="15"/>
        <v>323119788</v>
      </c>
      <c r="BV32" s="157">
        <f t="shared" si="15"/>
        <v>341268773</v>
      </c>
      <c r="BW32" s="157">
        <f t="shared" si="15"/>
        <v>357255937</v>
      </c>
      <c r="BX32" s="157">
        <f t="shared" si="15"/>
        <v>335556304</v>
      </c>
      <c r="BY32" s="157">
        <f t="shared" si="15"/>
        <v>348179989</v>
      </c>
      <c r="BZ32" s="157">
        <f t="shared" si="15"/>
        <v>362882399</v>
      </c>
      <c r="CA32" s="157">
        <f t="shared" si="15"/>
        <v>379326702</v>
      </c>
      <c r="CB32" s="157">
        <f t="shared" si="15"/>
        <v>377075013</v>
      </c>
      <c r="CC32" s="157">
        <f t="shared" si="15"/>
        <v>409570012</v>
      </c>
      <c r="CD32" s="157">
        <f t="shared" si="15"/>
        <v>452713488</v>
      </c>
      <c r="CE32" s="157">
        <f t="shared" si="15"/>
        <v>368360938</v>
      </c>
      <c r="CF32" s="157">
        <f t="shared" si="15"/>
        <v>341283367</v>
      </c>
      <c r="CG32" s="157">
        <f t="shared" si="15"/>
        <v>348020291</v>
      </c>
      <c r="CH32" s="157">
        <f t="shared" si="15"/>
        <v>351383765</v>
      </c>
      <c r="CI32" s="157">
        <f t="shared" si="15"/>
        <v>346237254</v>
      </c>
      <c r="CJ32" s="157">
        <f t="shared" si="15"/>
        <v>335256550</v>
      </c>
      <c r="CK32" s="157">
        <f t="shared" si="15"/>
        <v>354211140</v>
      </c>
      <c r="CL32" s="157">
        <f t="shared" si="15"/>
        <v>344848452</v>
      </c>
      <c r="CM32" s="157">
        <f t="shared" si="15"/>
        <v>334538371</v>
      </c>
      <c r="CN32" s="157">
        <f t="shared" si="15"/>
        <v>346927641</v>
      </c>
      <c r="CO32" s="157">
        <f t="shared" si="15"/>
        <v>334031812</v>
      </c>
      <c r="CP32" s="157">
        <f t="shared" si="15"/>
        <v>335121752</v>
      </c>
      <c r="CQ32" s="157">
        <f t="shared" si="15"/>
        <v>336952762</v>
      </c>
      <c r="CR32" s="157">
        <f t="shared" si="15"/>
        <v>316241686</v>
      </c>
      <c r="CS32" s="157">
        <f t="shared" si="15"/>
        <v>329694471</v>
      </c>
      <c r="CT32" s="157">
        <f t="shared" si="15"/>
        <v>363121921</v>
      </c>
      <c r="CV32" s="143" t="s">
        <v>138</v>
      </c>
      <c r="CW32" s="143" t="s">
        <v>139</v>
      </c>
      <c r="CX32" s="143" t="s">
        <v>140</v>
      </c>
      <c r="CZ32" s="143" t="s">
        <v>141</v>
      </c>
      <c r="DA32" s="143" t="s">
        <v>138</v>
      </c>
      <c r="DB32" s="143" t="s">
        <v>139</v>
      </c>
      <c r="DC32" s="143" t="s">
        <v>140</v>
      </c>
    </row>
    <row r="33" spans="1:107" ht="16" thickBot="1">
      <c r="A33" s="158" t="s">
        <v>245</v>
      </c>
      <c r="B33" s="159" t="s">
        <v>228</v>
      </c>
      <c r="C33" s="160">
        <v>0</v>
      </c>
      <c r="D33" s="161">
        <v>0</v>
      </c>
      <c r="E33" s="161">
        <v>0</v>
      </c>
      <c r="F33" s="161">
        <v>0</v>
      </c>
      <c r="G33" s="161">
        <v>0</v>
      </c>
      <c r="H33" s="161">
        <v>0</v>
      </c>
      <c r="I33" s="161">
        <v>0</v>
      </c>
      <c r="J33" s="161">
        <v>0</v>
      </c>
      <c r="K33" s="161">
        <v>0</v>
      </c>
      <c r="L33" s="161">
        <v>0</v>
      </c>
      <c r="M33" s="161">
        <v>0</v>
      </c>
      <c r="N33" s="161">
        <v>0</v>
      </c>
      <c r="O33" s="161">
        <v>0</v>
      </c>
      <c r="P33" s="161">
        <v>0</v>
      </c>
      <c r="Q33" s="161">
        <v>0</v>
      </c>
      <c r="R33" s="161">
        <v>0</v>
      </c>
      <c r="S33" s="161">
        <v>0</v>
      </c>
      <c r="T33" s="161">
        <v>0</v>
      </c>
      <c r="U33" s="161">
        <v>0</v>
      </c>
      <c r="V33" s="161">
        <v>0</v>
      </c>
      <c r="W33" s="161">
        <v>0</v>
      </c>
      <c r="X33" s="161">
        <v>0</v>
      </c>
      <c r="Y33" s="161">
        <v>0</v>
      </c>
      <c r="Z33" s="161">
        <v>0</v>
      </c>
      <c r="AA33" s="161">
        <v>0</v>
      </c>
      <c r="AB33" s="161">
        <v>0</v>
      </c>
      <c r="AC33" s="161">
        <v>0</v>
      </c>
      <c r="AD33" s="161">
        <v>0</v>
      </c>
      <c r="AE33" s="161">
        <v>0</v>
      </c>
      <c r="AF33" s="161">
        <v>0</v>
      </c>
      <c r="AG33" s="161">
        <v>0</v>
      </c>
      <c r="AH33" s="161">
        <v>0</v>
      </c>
      <c r="AI33" s="161">
        <v>0</v>
      </c>
      <c r="AJ33" s="161">
        <v>0</v>
      </c>
      <c r="AK33" s="161">
        <v>0</v>
      </c>
      <c r="AL33" s="161">
        <v>0</v>
      </c>
      <c r="AM33" s="161">
        <v>0</v>
      </c>
      <c r="AN33" s="161">
        <v>0</v>
      </c>
      <c r="AO33" s="161">
        <v>0</v>
      </c>
      <c r="AP33" s="161">
        <v>0</v>
      </c>
      <c r="AQ33" s="161">
        <v>0</v>
      </c>
      <c r="AR33" s="161">
        <v>0</v>
      </c>
      <c r="AS33" s="161">
        <v>0</v>
      </c>
      <c r="AT33" s="161">
        <v>0</v>
      </c>
      <c r="AU33" s="161">
        <v>0</v>
      </c>
      <c r="AV33" s="161">
        <v>0</v>
      </c>
      <c r="AW33" s="162">
        <v>0</v>
      </c>
      <c r="AY33" s="163" t="s">
        <v>250</v>
      </c>
      <c r="AZ33" s="164" t="e">
        <f>DE27+DE28</f>
        <v>#VALUE!</v>
      </c>
      <c r="BA33" s="164">
        <f t="shared" ref="BA33:CT33" si="16">SUM(D59:D64)</f>
        <v>251704793</v>
      </c>
      <c r="BB33" s="164">
        <f t="shared" si="16"/>
        <v>270770737</v>
      </c>
      <c r="BC33" s="164">
        <f t="shared" si="16"/>
        <v>347728216</v>
      </c>
      <c r="BD33" s="164">
        <f t="shared" si="16"/>
        <v>392284484</v>
      </c>
      <c r="BE33" s="164">
        <f t="shared" si="16"/>
        <v>414106598</v>
      </c>
      <c r="BF33" s="164">
        <f t="shared" si="16"/>
        <v>386088505</v>
      </c>
      <c r="BG33" s="164">
        <f t="shared" si="16"/>
        <v>374912096</v>
      </c>
      <c r="BH33" s="164">
        <f t="shared" si="16"/>
        <v>356999977</v>
      </c>
      <c r="BI33" s="164">
        <f t="shared" si="16"/>
        <v>302623605</v>
      </c>
      <c r="BJ33" s="164">
        <f t="shared" si="16"/>
        <v>310196442</v>
      </c>
      <c r="BK33" s="164">
        <f t="shared" si="16"/>
        <v>293976743</v>
      </c>
      <c r="BL33" s="164">
        <f t="shared" si="16"/>
        <v>304826194</v>
      </c>
      <c r="BM33" s="164">
        <f t="shared" si="16"/>
        <v>332678230</v>
      </c>
      <c r="BN33" s="164">
        <f t="shared" si="16"/>
        <v>261820013</v>
      </c>
      <c r="BO33" s="164">
        <f t="shared" si="16"/>
        <v>238158890</v>
      </c>
      <c r="BP33" s="164">
        <f t="shared" si="16"/>
        <v>232599796</v>
      </c>
      <c r="BQ33" s="164">
        <f t="shared" si="16"/>
        <v>275037824</v>
      </c>
      <c r="BR33" s="164">
        <f t="shared" si="16"/>
        <v>297015617</v>
      </c>
      <c r="BS33" s="164">
        <f t="shared" si="16"/>
        <v>279242244</v>
      </c>
      <c r="BT33" s="164">
        <f t="shared" si="16"/>
        <v>309649584</v>
      </c>
      <c r="BU33" s="164">
        <f t="shared" si="16"/>
        <v>307560234</v>
      </c>
      <c r="BV33" s="164">
        <f t="shared" si="16"/>
        <v>322832798</v>
      </c>
      <c r="BW33" s="164">
        <f t="shared" si="16"/>
        <v>334999471</v>
      </c>
      <c r="BX33" s="164">
        <f t="shared" si="16"/>
        <v>316500954</v>
      </c>
      <c r="BY33" s="164">
        <f t="shared" si="16"/>
        <v>328512311</v>
      </c>
      <c r="BZ33" s="164">
        <f t="shared" si="16"/>
        <v>339605897</v>
      </c>
      <c r="CA33" s="164">
        <f t="shared" si="16"/>
        <v>350047040</v>
      </c>
      <c r="CB33" s="164">
        <f t="shared" si="16"/>
        <v>357715341</v>
      </c>
      <c r="CC33" s="164">
        <f t="shared" si="16"/>
        <v>386056663</v>
      </c>
      <c r="CD33" s="164">
        <f t="shared" si="16"/>
        <v>435531962</v>
      </c>
      <c r="CE33" s="164">
        <f t="shared" si="16"/>
        <v>352173199</v>
      </c>
      <c r="CF33" s="164">
        <f t="shared" si="16"/>
        <v>320671170</v>
      </c>
      <c r="CG33" s="164">
        <f t="shared" si="16"/>
        <v>320558711</v>
      </c>
      <c r="CH33" s="164">
        <f t="shared" si="16"/>
        <v>330749792</v>
      </c>
      <c r="CI33" s="164">
        <f t="shared" si="16"/>
        <v>330676682</v>
      </c>
      <c r="CJ33" s="164">
        <f t="shared" si="16"/>
        <v>316421486</v>
      </c>
      <c r="CK33" s="164">
        <f t="shared" si="16"/>
        <v>331533505</v>
      </c>
      <c r="CL33" s="164">
        <f t="shared" si="16"/>
        <v>322187334</v>
      </c>
      <c r="CM33" s="164">
        <f t="shared" si="16"/>
        <v>310642780</v>
      </c>
      <c r="CN33" s="164">
        <f t="shared" si="16"/>
        <v>325306779</v>
      </c>
      <c r="CO33" s="164">
        <f t="shared" si="16"/>
        <v>318323953</v>
      </c>
      <c r="CP33" s="164">
        <f t="shared" si="16"/>
        <v>314051007</v>
      </c>
      <c r="CQ33" s="164">
        <f t="shared" si="16"/>
        <v>315644529</v>
      </c>
      <c r="CR33" s="164">
        <f t="shared" si="16"/>
        <v>302151318</v>
      </c>
      <c r="CS33" s="164">
        <f t="shared" si="16"/>
        <v>305469845</v>
      </c>
      <c r="CT33" s="164">
        <f t="shared" si="16"/>
        <v>340791856</v>
      </c>
      <c r="CV33" s="165">
        <f>MIN(CT35:DE35)</f>
        <v>0.93850532367061368</v>
      </c>
      <c r="CW33" s="165">
        <f>AVERAGE(CT35:DE35)</f>
        <v>0.93850532367061368</v>
      </c>
      <c r="CX33" s="165">
        <f>MAX(CT35:DE35)</f>
        <v>0.93850532367061368</v>
      </c>
      <c r="DA33" s="165">
        <f>MIN(CF35:CT35)</f>
        <v>0.9210920147181878</v>
      </c>
      <c r="DB33" s="165">
        <f>AVERAGE(CF35:CT35)</f>
        <v>0.93898005451667677</v>
      </c>
      <c r="DC33" s="165">
        <f>MAX(CF35:CT35)</f>
        <v>0.9554443053405679</v>
      </c>
    </row>
    <row r="34" spans="1:107" ht="15" thickTop="1">
      <c r="AZ34" s="166"/>
      <c r="BA34" s="166"/>
      <c r="BB34" s="166"/>
      <c r="BC34" s="166"/>
      <c r="BD34" s="166"/>
      <c r="BE34" s="166"/>
      <c r="BF34" s="166"/>
      <c r="BG34" s="166"/>
      <c r="BH34" s="166"/>
      <c r="BI34" s="166"/>
      <c r="BJ34" s="166"/>
      <c r="BK34" s="166"/>
      <c r="BL34" s="166"/>
      <c r="BM34" s="166"/>
      <c r="BN34" s="166"/>
      <c r="BO34" s="166"/>
      <c r="BP34" s="166"/>
      <c r="BQ34" s="166"/>
      <c r="BR34" s="166"/>
      <c r="BS34" s="166"/>
      <c r="BT34" s="166"/>
      <c r="BU34" s="166"/>
      <c r="BV34" s="166"/>
      <c r="BW34" s="166"/>
      <c r="BX34" s="166"/>
      <c r="BY34" s="166"/>
      <c r="BZ34" s="166"/>
      <c r="CA34" s="166"/>
      <c r="CB34" s="166"/>
      <c r="CC34" s="166"/>
      <c r="CD34" s="166"/>
      <c r="CE34" s="166"/>
      <c r="CF34" s="166"/>
      <c r="CG34" s="166"/>
      <c r="CH34" s="166"/>
      <c r="CI34" s="166"/>
      <c r="CJ34" s="166"/>
      <c r="CK34" s="166"/>
      <c r="CL34" s="166"/>
      <c r="CM34" s="166"/>
      <c r="CN34" s="166"/>
      <c r="CO34" s="166"/>
      <c r="CP34" s="166"/>
      <c r="CQ34" s="166"/>
      <c r="CR34" s="166"/>
      <c r="CS34" s="166"/>
      <c r="CT34" s="166"/>
    </row>
    <row r="35" spans="1:107" ht="16" thickBot="1">
      <c r="A35" s="120" t="s">
        <v>251</v>
      </c>
      <c r="AY35" s="116" t="s">
        <v>82</v>
      </c>
      <c r="AZ35" s="167" t="e">
        <f>DE33/(DE28+DE27)</f>
        <v>#VALUE!</v>
      </c>
      <c r="BA35" s="167">
        <f t="shared" ref="BA35:CT35" si="17">BA33/(BA28+BA27)</f>
        <v>0.92116210588242409</v>
      </c>
      <c r="BB35" s="167">
        <f t="shared" si="17"/>
        <v>0.95923300239725406</v>
      </c>
      <c r="BC35" s="167">
        <f t="shared" si="17"/>
        <v>0.909222941215312</v>
      </c>
      <c r="BD35" s="167">
        <f t="shared" si="17"/>
        <v>0.9385918334270531</v>
      </c>
      <c r="BE35" s="167">
        <f t="shared" si="17"/>
        <v>0.96988247645129022</v>
      </c>
      <c r="BF35" s="167">
        <f t="shared" si="17"/>
        <v>0.95184268288326179</v>
      </c>
      <c r="BG35" s="167">
        <f t="shared" si="17"/>
        <v>0.89277234684846407</v>
      </c>
      <c r="BH35" s="167">
        <f t="shared" si="17"/>
        <v>0.91074344750086533</v>
      </c>
      <c r="BI35" s="167">
        <f t="shared" si="17"/>
        <v>0.92611395879821268</v>
      </c>
      <c r="BJ35" s="167">
        <f t="shared" si="17"/>
        <v>0.93115394143508257</v>
      </c>
      <c r="BK35" s="167">
        <f t="shared" si="17"/>
        <v>0.92519123193623809</v>
      </c>
      <c r="BL35" s="167">
        <f t="shared" si="17"/>
        <v>0.93339715245183874</v>
      </c>
      <c r="BM35" s="167">
        <f t="shared" si="17"/>
        <v>0.93900737817089952</v>
      </c>
      <c r="BN35" s="167">
        <f t="shared" si="17"/>
        <v>0.88755559353951907</v>
      </c>
      <c r="BO35" s="167">
        <f t="shared" si="17"/>
        <v>0.91829442302846376</v>
      </c>
      <c r="BP35" s="167">
        <f t="shared" si="17"/>
        <v>0.91715279027341501</v>
      </c>
      <c r="BQ35" s="167">
        <f t="shared" si="17"/>
        <v>0.93648078170559701</v>
      </c>
      <c r="BR35" s="167">
        <f t="shared" si="17"/>
        <v>0.95601349878020536</v>
      </c>
      <c r="BS35" s="167">
        <f t="shared" si="17"/>
        <v>0.93942437829262038</v>
      </c>
      <c r="BT35" s="167">
        <f t="shared" si="17"/>
        <v>0.93933500640655243</v>
      </c>
      <c r="BU35" s="167">
        <f t="shared" si="17"/>
        <v>0.95184586466737842</v>
      </c>
      <c r="BV35" s="167">
        <f t="shared" si="17"/>
        <v>0.94597813671044551</v>
      </c>
      <c r="BW35" s="167">
        <f t="shared" si="17"/>
        <v>0.93770162033724302</v>
      </c>
      <c r="BX35" s="167">
        <f t="shared" si="17"/>
        <v>0.94321265977467672</v>
      </c>
      <c r="BY35" s="167">
        <f t="shared" si="17"/>
        <v>0.94351289958826434</v>
      </c>
      <c r="BZ35" s="167">
        <f t="shared" si="17"/>
        <v>0.93585662444873774</v>
      </c>
      <c r="CA35" s="167">
        <f t="shared" si="17"/>
        <v>0.92281149245327843</v>
      </c>
      <c r="CB35" s="167">
        <f t="shared" si="17"/>
        <v>0.94865830051698496</v>
      </c>
      <c r="CC35" s="167">
        <f t="shared" si="17"/>
        <v>0.94259015965260662</v>
      </c>
      <c r="CD35" s="167">
        <f t="shared" si="17"/>
        <v>0.96204768257313333</v>
      </c>
      <c r="CE35" s="167">
        <f t="shared" si="17"/>
        <v>0.95605468080331579</v>
      </c>
      <c r="CF35" s="167">
        <f t="shared" si="17"/>
        <v>0.93960386296821785</v>
      </c>
      <c r="CG35" s="167">
        <f t="shared" si="17"/>
        <v>0.9210920147181878</v>
      </c>
      <c r="CH35" s="167">
        <f t="shared" si="17"/>
        <v>0.94127795574163764</v>
      </c>
      <c r="CI35" s="167">
        <f t="shared" si="17"/>
        <v>0.95505806547322025</v>
      </c>
      <c r="CJ35" s="167">
        <f t="shared" si="17"/>
        <v>0.94381895297795082</v>
      </c>
      <c r="CK35" s="167">
        <f t="shared" si="17"/>
        <v>0.93597707006052944</v>
      </c>
      <c r="CL35" s="167">
        <f t="shared" si="17"/>
        <v>0.93428673416228647</v>
      </c>
      <c r="CM35" s="167">
        <f t="shared" si="17"/>
        <v>0.92857144928227087</v>
      </c>
      <c r="CN35" s="167">
        <f t="shared" si="17"/>
        <v>0.93767904472045227</v>
      </c>
      <c r="CO35" s="167">
        <f t="shared" si="17"/>
        <v>0.95297496095970646</v>
      </c>
      <c r="CP35" s="167">
        <f t="shared" si="17"/>
        <v>0.93712510490814094</v>
      </c>
      <c r="CQ35" s="167">
        <f t="shared" si="17"/>
        <v>0.93676195774884319</v>
      </c>
      <c r="CR35" s="167">
        <f t="shared" si="17"/>
        <v>0.9554443053405679</v>
      </c>
      <c r="CS35" s="167">
        <f t="shared" si="17"/>
        <v>0.92652401501752812</v>
      </c>
      <c r="CT35" s="167">
        <f t="shared" si="17"/>
        <v>0.93850532367061368</v>
      </c>
    </row>
    <row r="36" spans="1:107" ht="34" thickTop="1" thickBot="1">
      <c r="A36" s="133" t="s">
        <v>136</v>
      </c>
      <c r="B36" s="134" t="s">
        <v>137</v>
      </c>
      <c r="C36" s="135">
        <v>1966</v>
      </c>
      <c r="D36" s="136">
        <v>1967</v>
      </c>
      <c r="E36" s="136">
        <v>1968</v>
      </c>
      <c r="F36" s="136">
        <v>1969</v>
      </c>
      <c r="G36" s="136">
        <v>1970</v>
      </c>
      <c r="H36" s="136">
        <v>1971</v>
      </c>
      <c r="I36" s="136">
        <v>1972</v>
      </c>
      <c r="J36" s="136">
        <v>1973</v>
      </c>
      <c r="K36" s="136">
        <v>1974</v>
      </c>
      <c r="L36" s="136">
        <v>1975</v>
      </c>
      <c r="M36" s="136">
        <v>1976</v>
      </c>
      <c r="N36" s="136">
        <v>1977</v>
      </c>
      <c r="O36" s="136">
        <v>1978</v>
      </c>
      <c r="P36" s="136">
        <v>1979</v>
      </c>
      <c r="Q36" s="136">
        <v>1980</v>
      </c>
      <c r="R36" s="136">
        <v>1981</v>
      </c>
      <c r="S36" s="136">
        <v>1982</v>
      </c>
      <c r="T36" s="136">
        <v>1983</v>
      </c>
      <c r="U36" s="136">
        <v>1984</v>
      </c>
      <c r="V36" s="136">
        <v>1985</v>
      </c>
      <c r="W36" s="136">
        <v>1986</v>
      </c>
      <c r="X36" s="136">
        <v>1987</v>
      </c>
      <c r="Y36" s="136">
        <v>1988</v>
      </c>
      <c r="Z36" s="136">
        <v>1989</v>
      </c>
      <c r="AA36" s="136">
        <v>1990</v>
      </c>
      <c r="AB36" s="136">
        <v>1991</v>
      </c>
      <c r="AC36" s="136">
        <v>1992</v>
      </c>
      <c r="AD36" s="136">
        <v>1993</v>
      </c>
      <c r="AE36" s="136">
        <v>1994</v>
      </c>
      <c r="AF36" s="136">
        <v>1995</v>
      </c>
      <c r="AG36" s="136">
        <v>1996</v>
      </c>
      <c r="AH36" s="136">
        <v>1997</v>
      </c>
      <c r="AI36" s="136">
        <v>1998</v>
      </c>
      <c r="AJ36" s="136">
        <v>1999</v>
      </c>
      <c r="AK36" s="136">
        <v>2000</v>
      </c>
      <c r="AL36" s="136">
        <v>2001</v>
      </c>
      <c r="AM36" s="136">
        <v>2002</v>
      </c>
      <c r="AN36" s="136">
        <v>2003</v>
      </c>
      <c r="AO36" s="136">
        <v>2004</v>
      </c>
      <c r="AP36" s="136">
        <v>2005</v>
      </c>
      <c r="AQ36" s="136">
        <v>2006</v>
      </c>
      <c r="AR36" s="136">
        <v>2007</v>
      </c>
      <c r="AS36" s="136">
        <v>2008</v>
      </c>
      <c r="AT36" s="136">
        <v>2009</v>
      </c>
      <c r="AU36" s="136">
        <v>2010</v>
      </c>
      <c r="AV36" s="136">
        <v>2011</v>
      </c>
      <c r="AW36" s="137">
        <v>2012</v>
      </c>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c r="CS36" s="166"/>
      <c r="CT36" s="166"/>
    </row>
    <row r="37" spans="1:107" ht="15">
      <c r="A37" s="168" t="s">
        <v>245</v>
      </c>
      <c r="B37" s="149" t="s">
        <v>221</v>
      </c>
      <c r="C37" s="169">
        <v>185997985</v>
      </c>
      <c r="D37" s="170">
        <v>273247012</v>
      </c>
      <c r="E37" s="170">
        <v>282278379</v>
      </c>
      <c r="F37" s="170">
        <v>382445493</v>
      </c>
      <c r="G37" s="170">
        <v>417950029</v>
      </c>
      <c r="H37" s="170">
        <v>426965749</v>
      </c>
      <c r="I37" s="170">
        <v>405622181</v>
      </c>
      <c r="J37" s="170">
        <v>419941430</v>
      </c>
      <c r="K37" s="170">
        <v>395445381</v>
      </c>
      <c r="L37" s="170">
        <v>334381256</v>
      </c>
      <c r="M37" s="170">
        <v>326893057</v>
      </c>
      <c r="N37" s="170">
        <v>323173307</v>
      </c>
      <c r="O37" s="170">
        <v>334801625</v>
      </c>
      <c r="P37" s="170">
        <v>356687766</v>
      </c>
      <c r="Q37" s="170">
        <v>271367717</v>
      </c>
      <c r="R37" s="170">
        <v>244655971</v>
      </c>
      <c r="S37" s="170">
        <v>219934312</v>
      </c>
      <c r="T37" s="170">
        <v>266041514</v>
      </c>
      <c r="U37" s="170">
        <v>287567570</v>
      </c>
      <c r="V37" s="170">
        <v>279743964</v>
      </c>
      <c r="W37" s="170">
        <v>304432563</v>
      </c>
      <c r="X37" s="170">
        <v>296960845</v>
      </c>
      <c r="Y37" s="170">
        <v>310890390</v>
      </c>
      <c r="Z37" s="170">
        <v>323131975</v>
      </c>
      <c r="AA37" s="170">
        <v>308682005</v>
      </c>
      <c r="AB37" s="170">
        <v>331394770</v>
      </c>
      <c r="AC37" s="170">
        <v>355454908</v>
      </c>
      <c r="AD37" s="170">
        <v>356795000</v>
      </c>
      <c r="AE37" s="170">
        <v>365356400</v>
      </c>
      <c r="AF37" s="170">
        <v>412022100</v>
      </c>
      <c r="AG37" s="170">
        <v>448338000</v>
      </c>
      <c r="AH37" s="170">
        <v>365090511</v>
      </c>
      <c r="AI37" s="170">
        <v>340314599</v>
      </c>
      <c r="AJ37" s="170">
        <v>339203135</v>
      </c>
      <c r="AK37" s="170">
        <v>346270013</v>
      </c>
      <c r="AL37" s="170">
        <v>343914817</v>
      </c>
      <c r="AM37" s="170">
        <v>333095071</v>
      </c>
      <c r="AN37" s="170">
        <v>352220912</v>
      </c>
      <c r="AO37" s="170">
        <v>344651751</v>
      </c>
      <c r="AP37" s="170">
        <v>332180848</v>
      </c>
      <c r="AQ37" s="170">
        <v>343530612</v>
      </c>
      <c r="AR37" s="170">
        <v>333386568</v>
      </c>
      <c r="AS37" s="170">
        <v>334639330</v>
      </c>
      <c r="AT37" s="170">
        <v>335634780</v>
      </c>
      <c r="AU37" s="170">
        <v>314168191</v>
      </c>
      <c r="AV37" s="170">
        <v>327286287</v>
      </c>
      <c r="AW37" s="171">
        <v>362386542</v>
      </c>
      <c r="AZ37" s="166"/>
      <c r="BA37" s="166"/>
      <c r="BB37" s="166"/>
      <c r="BC37" s="166"/>
      <c r="BD37" s="166"/>
      <c r="BE37" s="166"/>
      <c r="BF37" s="166"/>
      <c r="BG37" s="166"/>
      <c r="BH37" s="166"/>
      <c r="BI37" s="166"/>
      <c r="BJ37" s="166"/>
      <c r="BK37" s="166"/>
      <c r="BL37" s="166"/>
      <c r="BM37" s="166"/>
      <c r="BN37" s="166"/>
      <c r="BO37" s="166"/>
      <c r="BP37" s="166"/>
      <c r="BQ37" s="166"/>
      <c r="BR37" s="166"/>
      <c r="BS37" s="166"/>
      <c r="BT37" s="166"/>
      <c r="BU37" s="166"/>
      <c r="BV37" s="166"/>
      <c r="BW37" s="166"/>
      <c r="BX37" s="166"/>
      <c r="BY37" s="166"/>
      <c r="BZ37" s="166"/>
      <c r="CA37" s="166"/>
      <c r="CB37" s="166"/>
      <c r="CC37" s="166"/>
      <c r="CD37" s="166"/>
      <c r="CE37" s="166"/>
      <c r="CF37" s="166"/>
      <c r="CG37" s="166"/>
      <c r="CH37" s="166"/>
      <c r="CI37" s="166"/>
      <c r="CJ37" s="166"/>
      <c r="CK37" s="166"/>
      <c r="CL37" s="166"/>
      <c r="CM37" s="166"/>
      <c r="CN37" s="166"/>
      <c r="CO37" s="166"/>
      <c r="CP37" s="166"/>
      <c r="CQ37" s="172"/>
      <c r="CR37" s="166"/>
      <c r="CS37" s="166"/>
      <c r="CT37" s="166"/>
    </row>
    <row r="38" spans="1:107" ht="15">
      <c r="A38" s="168" t="s">
        <v>245</v>
      </c>
      <c r="B38" s="149" t="s">
        <v>222</v>
      </c>
      <c r="C38" s="169">
        <v>0</v>
      </c>
      <c r="D38" s="170">
        <v>0</v>
      </c>
      <c r="E38" s="170">
        <v>0</v>
      </c>
      <c r="F38" s="170">
        <v>0</v>
      </c>
      <c r="G38" s="170">
        <v>0</v>
      </c>
      <c r="H38" s="170">
        <v>0</v>
      </c>
      <c r="I38" s="170">
        <v>0</v>
      </c>
      <c r="J38" s="170">
        <v>0</v>
      </c>
      <c r="K38" s="170">
        <v>580861</v>
      </c>
      <c r="L38" s="170">
        <v>1043962</v>
      </c>
      <c r="M38" s="170">
        <v>17707318</v>
      </c>
      <c r="N38" s="170">
        <v>7997768</v>
      </c>
      <c r="O38" s="170">
        <v>7048312</v>
      </c>
      <c r="P38" s="170">
        <v>15999378</v>
      </c>
      <c r="Q38" s="170">
        <v>40447931</v>
      </c>
      <c r="R38" s="170">
        <v>18916466</v>
      </c>
      <c r="S38" s="170">
        <v>34931831</v>
      </c>
      <c r="T38" s="170">
        <v>27811868</v>
      </c>
      <c r="U38" s="170">
        <v>23113835</v>
      </c>
      <c r="V38" s="170">
        <v>17504277</v>
      </c>
      <c r="W38" s="170">
        <v>25215094</v>
      </c>
      <c r="X38" s="170">
        <v>26158943</v>
      </c>
      <c r="Y38" s="170">
        <v>30378383</v>
      </c>
      <c r="Z38" s="170">
        <v>34123962</v>
      </c>
      <c r="AA38" s="170">
        <v>26874299</v>
      </c>
      <c r="AB38" s="170">
        <v>16785219</v>
      </c>
      <c r="AC38" s="170">
        <v>7427491</v>
      </c>
      <c r="AD38" s="170">
        <v>22711040</v>
      </c>
      <c r="AE38" s="170">
        <v>11718613</v>
      </c>
      <c r="AF38" s="170">
        <v>7788812</v>
      </c>
      <c r="AG38" s="170">
        <v>5096000</v>
      </c>
      <c r="AH38" s="170">
        <v>3327099</v>
      </c>
      <c r="AI38" s="170">
        <v>2827414</v>
      </c>
      <c r="AJ38" s="170">
        <v>10851000</v>
      </c>
      <c r="AK38" s="170">
        <v>5716847</v>
      </c>
      <c r="AL38" s="170">
        <v>2741196</v>
      </c>
      <c r="AM38" s="170">
        <v>2738484</v>
      </c>
      <c r="AN38" s="170">
        <v>2580000</v>
      </c>
      <c r="AO38" s="170">
        <v>728103</v>
      </c>
      <c r="AP38" s="170">
        <v>2928251</v>
      </c>
      <c r="AQ38" s="170">
        <v>4057043</v>
      </c>
      <c r="AR38" s="170">
        <v>1195329</v>
      </c>
      <c r="AS38" s="170">
        <v>1336445</v>
      </c>
      <c r="AT38" s="170">
        <v>1803916</v>
      </c>
      <c r="AU38" s="170">
        <v>2213437</v>
      </c>
      <c r="AV38" s="170">
        <v>2414087</v>
      </c>
      <c r="AW38" s="171">
        <v>740546</v>
      </c>
      <c r="AZ38" s="173"/>
      <c r="BA38" s="173"/>
      <c r="BB38" s="173"/>
      <c r="BC38" s="173"/>
      <c r="BD38" s="173"/>
      <c r="BE38" s="173"/>
      <c r="BF38" s="173"/>
      <c r="BG38" s="173"/>
      <c r="BH38" s="173"/>
      <c r="BI38" s="173"/>
      <c r="BJ38" s="173"/>
      <c r="BK38" s="173"/>
      <c r="BL38" s="173"/>
      <c r="BM38" s="173"/>
      <c r="BN38" s="173"/>
      <c r="BO38" s="173"/>
      <c r="BP38" s="173"/>
      <c r="BQ38" s="173"/>
      <c r="BR38" s="173"/>
      <c r="BS38" s="173"/>
      <c r="BT38" s="173"/>
      <c r="BU38" s="173"/>
      <c r="BV38" s="173"/>
      <c r="BW38" s="173"/>
      <c r="BX38" s="173"/>
      <c r="BY38" s="173"/>
      <c r="BZ38" s="173"/>
      <c r="CA38" s="173"/>
      <c r="CB38" s="173"/>
      <c r="CC38" s="173"/>
      <c r="CD38" s="173"/>
      <c r="CE38" s="173"/>
      <c r="CF38" s="173"/>
      <c r="CG38" s="173"/>
      <c r="CH38" s="173"/>
      <c r="CI38" s="173"/>
      <c r="CJ38" s="173"/>
      <c r="CK38" s="173"/>
      <c r="CL38" s="173"/>
      <c r="CM38" s="173"/>
      <c r="CN38" s="173"/>
      <c r="CO38" s="173"/>
      <c r="CP38" s="173"/>
      <c r="CQ38" s="173"/>
      <c r="CR38" s="173"/>
      <c r="CS38" s="173"/>
      <c r="CT38" s="173"/>
    </row>
    <row r="39" spans="1:107" ht="15">
      <c r="A39" s="138" t="s">
        <v>245</v>
      </c>
      <c r="B39" s="139" t="s">
        <v>223</v>
      </c>
      <c r="C39" s="140">
        <v>0</v>
      </c>
      <c r="D39" s="141">
        <v>0</v>
      </c>
      <c r="E39" s="141">
        <v>0</v>
      </c>
      <c r="F39" s="141">
        <v>0</v>
      </c>
      <c r="G39" s="141">
        <v>0</v>
      </c>
      <c r="H39" s="141">
        <v>0</v>
      </c>
      <c r="I39" s="141">
        <v>0</v>
      </c>
      <c r="J39" s="141">
        <v>0</v>
      </c>
      <c r="K39" s="141">
        <v>0</v>
      </c>
      <c r="L39" s="141">
        <v>16323187</v>
      </c>
      <c r="M39" s="141">
        <v>15047699</v>
      </c>
      <c r="N39" s="141">
        <v>15637362</v>
      </c>
      <c r="O39" s="141">
        <v>13193154</v>
      </c>
      <c r="P39" s="141">
        <v>14051245</v>
      </c>
      <c r="Q39" s="141">
        <v>11201509</v>
      </c>
      <c r="R39" s="141">
        <v>13766937</v>
      </c>
      <c r="S39" s="141">
        <v>13831447</v>
      </c>
      <c r="T39" s="141">
        <v>12413750</v>
      </c>
      <c r="U39" s="141">
        <v>13392263</v>
      </c>
      <c r="V39" s="141">
        <v>11667536</v>
      </c>
      <c r="W39" s="141">
        <v>13168000</v>
      </c>
      <c r="X39" s="141">
        <v>13253000</v>
      </c>
      <c r="Y39" s="141">
        <v>13619000</v>
      </c>
      <c r="Z39" s="141">
        <v>14632000</v>
      </c>
      <c r="AA39" s="141">
        <v>14169000</v>
      </c>
      <c r="AB39" s="141">
        <v>14537000</v>
      </c>
      <c r="AC39" s="141">
        <v>14865000</v>
      </c>
      <c r="AD39" s="141">
        <v>15405000</v>
      </c>
      <c r="AE39" s="141">
        <v>15895000</v>
      </c>
      <c r="AF39" s="141">
        <v>19345000</v>
      </c>
      <c r="AG39" s="141">
        <v>21440796</v>
      </c>
      <c r="AH39" s="141">
        <v>16905304</v>
      </c>
      <c r="AI39" s="141">
        <v>15225340</v>
      </c>
      <c r="AJ39" s="141">
        <v>15723812</v>
      </c>
      <c r="AK39" s="141">
        <v>15556268</v>
      </c>
      <c r="AL39" s="141">
        <v>15755428</v>
      </c>
      <c r="AM39" s="141">
        <v>15197000</v>
      </c>
      <c r="AN39" s="141">
        <v>16554512</v>
      </c>
      <c r="AO39" s="141">
        <v>15890576</v>
      </c>
      <c r="AP39" s="141">
        <v>15347072</v>
      </c>
      <c r="AQ39" s="141">
        <v>16115632</v>
      </c>
      <c r="AR39" s="141">
        <v>15916264</v>
      </c>
      <c r="AS39" s="141">
        <v>14782248</v>
      </c>
      <c r="AT39" s="141">
        <v>15419352</v>
      </c>
      <c r="AU39" s="141">
        <v>13679796</v>
      </c>
      <c r="AV39" s="141">
        <v>14957592</v>
      </c>
      <c r="AW39" s="142">
        <v>15632500</v>
      </c>
    </row>
    <row r="40" spans="1:107" ht="15">
      <c r="A40" s="138" t="s">
        <v>245</v>
      </c>
      <c r="B40" s="139" t="s">
        <v>75</v>
      </c>
      <c r="C40" s="140">
        <v>699275</v>
      </c>
      <c r="D40" s="141">
        <v>809417</v>
      </c>
      <c r="E40" s="141">
        <v>892837</v>
      </c>
      <c r="F40" s="141">
        <v>1045873</v>
      </c>
      <c r="G40" s="141">
        <v>1144949</v>
      </c>
      <c r="H40" s="141">
        <v>1219003</v>
      </c>
      <c r="I40" s="141">
        <v>1385357</v>
      </c>
      <c r="J40" s="141">
        <v>1333183</v>
      </c>
      <c r="K40" s="141">
        <v>1221838</v>
      </c>
      <c r="L40" s="141">
        <v>1086020</v>
      </c>
      <c r="M40" s="141">
        <v>700098</v>
      </c>
      <c r="N40" s="141">
        <v>590311</v>
      </c>
      <c r="O40" s="141">
        <v>110106</v>
      </c>
      <c r="P40" s="141">
        <v>151497</v>
      </c>
      <c r="Q40" s="141">
        <v>193</v>
      </c>
      <c r="R40" s="141">
        <v>186</v>
      </c>
      <c r="S40" s="141">
        <v>165</v>
      </c>
      <c r="T40" s="141">
        <v>131</v>
      </c>
      <c r="U40" s="141">
        <v>125</v>
      </c>
      <c r="V40" s="141">
        <v>106</v>
      </c>
      <c r="W40" s="141">
        <v>207</v>
      </c>
      <c r="X40" s="141">
        <v>229</v>
      </c>
      <c r="Y40" s="141">
        <v>251</v>
      </c>
      <c r="Z40" s="141">
        <v>394</v>
      </c>
      <c r="AA40" s="141">
        <v>443</v>
      </c>
      <c r="AB40" s="141">
        <v>14535</v>
      </c>
      <c r="AC40" s="141">
        <v>18032</v>
      </c>
      <c r="AD40" s="141">
        <v>23241</v>
      </c>
      <c r="AE40" s="141">
        <v>27828</v>
      </c>
      <c r="AF40" s="141">
        <v>28290</v>
      </c>
      <c r="AG40" s="141">
        <v>125</v>
      </c>
      <c r="AH40" s="141">
        <v>1571</v>
      </c>
      <c r="AI40" s="141">
        <v>1413</v>
      </c>
      <c r="AJ40" s="141">
        <v>484</v>
      </c>
      <c r="AK40" s="141">
        <v>222</v>
      </c>
      <c r="AL40" s="141">
        <v>231</v>
      </c>
      <c r="AM40" s="141">
        <v>213</v>
      </c>
      <c r="AN40" s="141">
        <v>262</v>
      </c>
      <c r="AO40" s="141">
        <v>264</v>
      </c>
      <c r="AP40" s="141">
        <v>235</v>
      </c>
      <c r="AQ40" s="141">
        <v>236</v>
      </c>
      <c r="AR40" s="141">
        <v>0</v>
      </c>
      <c r="AS40" s="141">
        <v>0</v>
      </c>
      <c r="AT40" s="141">
        <v>0</v>
      </c>
      <c r="AU40" s="141">
        <v>0</v>
      </c>
      <c r="AV40" s="141">
        <v>0</v>
      </c>
      <c r="AW40" s="142">
        <v>0</v>
      </c>
      <c r="AZ40" s="156"/>
      <c r="BA40" s="156"/>
      <c r="BB40" s="156"/>
      <c r="BC40" s="156"/>
      <c r="BD40" s="156"/>
      <c r="BE40" s="156"/>
      <c r="BF40" s="156"/>
      <c r="BG40" s="156"/>
      <c r="BH40" s="156"/>
      <c r="BI40" s="156"/>
      <c r="BJ40" s="156"/>
      <c r="BK40" s="156"/>
      <c r="BL40" s="156"/>
      <c r="BM40" s="156"/>
      <c r="BN40" s="156"/>
      <c r="BO40" s="156"/>
      <c r="BP40" s="156"/>
      <c r="BQ40" s="156"/>
      <c r="BR40" s="156"/>
      <c r="BS40" s="156"/>
      <c r="BT40" s="156"/>
      <c r="BU40" s="156"/>
      <c r="BV40" s="156"/>
      <c r="BW40" s="156"/>
      <c r="BX40" s="156"/>
      <c r="BY40" s="156"/>
      <c r="BZ40" s="156"/>
      <c r="CA40" s="156"/>
      <c r="CB40" s="156"/>
      <c r="CC40" s="156"/>
      <c r="CD40" s="156"/>
      <c r="CE40" s="156"/>
      <c r="CF40" s="156"/>
      <c r="CG40" s="156"/>
      <c r="CH40" s="156"/>
      <c r="CI40" s="156"/>
      <c r="CJ40" s="156"/>
      <c r="CK40" s="156"/>
      <c r="CL40" s="156"/>
      <c r="CM40" s="156"/>
      <c r="CN40" s="156"/>
      <c r="CO40" s="156"/>
      <c r="CP40" s="156"/>
      <c r="CQ40" s="156"/>
      <c r="CR40" s="156"/>
      <c r="CS40" s="156"/>
      <c r="CT40" s="156"/>
    </row>
    <row r="41" spans="1:107" ht="15">
      <c r="A41" s="138" t="s">
        <v>245</v>
      </c>
      <c r="B41" s="139" t="s">
        <v>100</v>
      </c>
      <c r="C41" s="140">
        <v>0</v>
      </c>
      <c r="D41" s="141">
        <v>0</v>
      </c>
      <c r="E41" s="141">
        <v>0</v>
      </c>
      <c r="F41" s="141">
        <v>0</v>
      </c>
      <c r="G41" s="141">
        <v>0</v>
      </c>
      <c r="H41" s="141">
        <v>0</v>
      </c>
      <c r="I41" s="141">
        <v>0</v>
      </c>
      <c r="J41" s="141">
        <v>0</v>
      </c>
      <c r="K41" s="141">
        <v>0</v>
      </c>
      <c r="L41" s="141">
        <v>0</v>
      </c>
      <c r="M41" s="141">
        <v>0</v>
      </c>
      <c r="N41" s="141">
        <v>0</v>
      </c>
      <c r="O41" s="141">
        <v>0</v>
      </c>
      <c r="P41" s="141">
        <v>0</v>
      </c>
      <c r="Q41" s="141">
        <v>0</v>
      </c>
      <c r="R41" s="141">
        <v>0</v>
      </c>
      <c r="S41" s="141">
        <v>0</v>
      </c>
      <c r="T41" s="141">
        <v>0</v>
      </c>
      <c r="U41" s="141">
        <v>0</v>
      </c>
      <c r="V41" s="141">
        <v>0</v>
      </c>
      <c r="W41" s="141">
        <v>0</v>
      </c>
      <c r="X41" s="141">
        <v>0</v>
      </c>
      <c r="Y41" s="141">
        <v>0</v>
      </c>
      <c r="Z41" s="141">
        <v>0</v>
      </c>
      <c r="AA41" s="141">
        <v>0</v>
      </c>
      <c r="AB41" s="141">
        <v>0</v>
      </c>
      <c r="AC41" s="141">
        <v>0</v>
      </c>
      <c r="AD41" s="141">
        <v>0</v>
      </c>
      <c r="AE41" s="141">
        <v>0</v>
      </c>
      <c r="AF41" s="141">
        <v>0</v>
      </c>
      <c r="AG41" s="141">
        <v>0</v>
      </c>
      <c r="AH41" s="141">
        <v>0</v>
      </c>
      <c r="AI41" s="141">
        <v>0</v>
      </c>
      <c r="AJ41" s="141">
        <v>4794986</v>
      </c>
      <c r="AK41" s="141">
        <v>6393315</v>
      </c>
      <c r="AL41" s="141">
        <v>7090342</v>
      </c>
      <c r="AM41" s="141">
        <v>4898925</v>
      </c>
      <c r="AN41" s="141">
        <v>2939355</v>
      </c>
      <c r="AO41" s="141">
        <v>1865684</v>
      </c>
      <c r="AP41" s="141">
        <v>1819997</v>
      </c>
      <c r="AQ41" s="141">
        <v>1324762</v>
      </c>
      <c r="AR41" s="141">
        <v>1412309</v>
      </c>
      <c r="AS41" s="141">
        <v>9984841</v>
      </c>
      <c r="AT41" s="141">
        <v>8699334</v>
      </c>
      <c r="AU41" s="141">
        <v>9236029</v>
      </c>
      <c r="AV41" s="141">
        <v>8639949</v>
      </c>
      <c r="AW41" s="142">
        <v>6715184</v>
      </c>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c r="CF41" s="174"/>
      <c r="CG41" s="174"/>
      <c r="CH41" s="174"/>
      <c r="CI41" s="174"/>
      <c r="CJ41" s="174"/>
      <c r="CK41" s="174"/>
      <c r="CL41" s="174"/>
      <c r="CM41" s="174"/>
      <c r="CN41" s="174"/>
      <c r="CO41" s="174"/>
      <c r="CP41" s="174"/>
      <c r="CQ41" s="174"/>
      <c r="CR41" s="174"/>
      <c r="CS41" s="174"/>
      <c r="CT41" s="174"/>
    </row>
    <row r="42" spans="1:107" ht="15">
      <c r="A42" s="138" t="s">
        <v>245</v>
      </c>
      <c r="B42" s="139" t="s">
        <v>77</v>
      </c>
      <c r="C42" s="140">
        <v>8692</v>
      </c>
      <c r="D42" s="141">
        <v>8520</v>
      </c>
      <c r="E42" s="141">
        <v>8117</v>
      </c>
      <c r="F42" s="141">
        <v>7721</v>
      </c>
      <c r="G42" s="141">
        <v>7685</v>
      </c>
      <c r="H42" s="141">
        <v>6983</v>
      </c>
      <c r="I42" s="141">
        <v>6235</v>
      </c>
      <c r="J42" s="141">
        <v>6131</v>
      </c>
      <c r="K42" s="141">
        <v>5189</v>
      </c>
      <c r="L42" s="141">
        <v>6174</v>
      </c>
      <c r="M42" s="141">
        <v>5794</v>
      </c>
      <c r="N42" s="141">
        <v>5664</v>
      </c>
      <c r="O42" s="141">
        <v>5702</v>
      </c>
      <c r="P42" s="141">
        <v>5278</v>
      </c>
      <c r="Q42" s="141">
        <v>4085</v>
      </c>
      <c r="R42" s="141">
        <v>3604</v>
      </c>
      <c r="S42" s="141">
        <v>3369</v>
      </c>
      <c r="T42" s="141">
        <v>3787</v>
      </c>
      <c r="U42" s="141">
        <v>4449</v>
      </c>
      <c r="V42" s="141">
        <v>5457</v>
      </c>
      <c r="W42" s="141">
        <v>7104</v>
      </c>
      <c r="X42" s="141">
        <v>12645</v>
      </c>
      <c r="Y42" s="141">
        <v>11415</v>
      </c>
      <c r="Z42" s="141">
        <v>5950</v>
      </c>
      <c r="AA42" s="141">
        <v>6484</v>
      </c>
      <c r="AB42" s="141">
        <v>6152</v>
      </c>
      <c r="AC42" s="141">
        <v>6407</v>
      </c>
      <c r="AD42" s="141">
        <v>6816</v>
      </c>
      <c r="AE42" s="141">
        <v>4007</v>
      </c>
      <c r="AF42" s="141">
        <v>1512</v>
      </c>
      <c r="AG42" s="141">
        <v>1972</v>
      </c>
      <c r="AH42" s="141">
        <v>1962</v>
      </c>
      <c r="AI42" s="141">
        <v>2488</v>
      </c>
      <c r="AJ42" s="141">
        <v>2186</v>
      </c>
      <c r="AK42" s="141">
        <v>1896</v>
      </c>
      <c r="AL42" s="141">
        <v>1728</v>
      </c>
      <c r="AM42" s="141">
        <v>9505</v>
      </c>
      <c r="AN42" s="141">
        <v>7281</v>
      </c>
      <c r="AO42" s="141">
        <v>8104</v>
      </c>
      <c r="AP42" s="141">
        <v>6794</v>
      </c>
      <c r="AQ42" s="141">
        <v>5764</v>
      </c>
      <c r="AR42" s="141">
        <v>4427</v>
      </c>
      <c r="AS42" s="141">
        <v>3095</v>
      </c>
      <c r="AT42" s="141">
        <v>2567</v>
      </c>
      <c r="AU42" s="141">
        <v>1681</v>
      </c>
      <c r="AV42" s="141">
        <v>4462</v>
      </c>
      <c r="AW42" s="142">
        <v>2541</v>
      </c>
      <c r="CQ42" s="175"/>
    </row>
    <row r="43" spans="1:107" ht="15">
      <c r="A43" s="138" t="s">
        <v>245</v>
      </c>
      <c r="B43" s="139" t="s">
        <v>96</v>
      </c>
      <c r="C43" s="140">
        <v>0</v>
      </c>
      <c r="D43" s="141">
        <v>0</v>
      </c>
      <c r="E43" s="141">
        <v>0</v>
      </c>
      <c r="F43" s="141">
        <v>0</v>
      </c>
      <c r="G43" s="141">
        <v>0</v>
      </c>
      <c r="H43" s="141">
        <v>0</v>
      </c>
      <c r="I43" s="141">
        <v>0</v>
      </c>
      <c r="J43" s="141">
        <v>0</v>
      </c>
      <c r="K43" s="141">
        <v>0</v>
      </c>
      <c r="L43" s="141">
        <v>0</v>
      </c>
      <c r="M43" s="141">
        <v>0</v>
      </c>
      <c r="N43" s="141">
        <v>0</v>
      </c>
      <c r="O43" s="141">
        <v>0</v>
      </c>
      <c r="P43" s="141">
        <v>0</v>
      </c>
      <c r="Q43" s="141">
        <v>0</v>
      </c>
      <c r="R43" s="141">
        <v>0</v>
      </c>
      <c r="S43" s="141">
        <v>0</v>
      </c>
      <c r="T43" s="141">
        <v>0</v>
      </c>
      <c r="U43" s="141">
        <v>0</v>
      </c>
      <c r="V43" s="141">
        <v>0</v>
      </c>
      <c r="W43" s="141">
        <v>0</v>
      </c>
      <c r="X43" s="141">
        <v>0</v>
      </c>
      <c r="Y43" s="141">
        <v>0</v>
      </c>
      <c r="Z43" s="141">
        <v>0</v>
      </c>
      <c r="AA43" s="141">
        <v>0</v>
      </c>
      <c r="AB43" s="141">
        <v>0</v>
      </c>
      <c r="AC43" s="141">
        <v>0</v>
      </c>
      <c r="AD43" s="141">
        <v>0</v>
      </c>
      <c r="AE43" s="141">
        <v>0</v>
      </c>
      <c r="AF43" s="141">
        <v>0</v>
      </c>
      <c r="AG43" s="141">
        <v>0</v>
      </c>
      <c r="AH43" s="141">
        <v>0</v>
      </c>
      <c r="AI43" s="141">
        <v>0</v>
      </c>
      <c r="AJ43" s="141">
        <v>0</v>
      </c>
      <c r="AK43" s="141">
        <v>0</v>
      </c>
      <c r="AL43" s="141">
        <v>0</v>
      </c>
      <c r="AM43" s="141">
        <v>0</v>
      </c>
      <c r="AN43" s="141">
        <v>0</v>
      </c>
      <c r="AO43" s="141">
        <v>0</v>
      </c>
      <c r="AP43" s="141">
        <v>0</v>
      </c>
      <c r="AQ43" s="141">
        <v>0</v>
      </c>
      <c r="AR43" s="141">
        <v>0</v>
      </c>
      <c r="AS43" s="141">
        <v>0</v>
      </c>
      <c r="AT43" s="141">
        <v>0</v>
      </c>
      <c r="AU43" s="141">
        <v>0</v>
      </c>
      <c r="AV43" s="141">
        <v>0</v>
      </c>
      <c r="AW43" s="142">
        <v>0</v>
      </c>
      <c r="AZ43" s="156"/>
    </row>
    <row r="44" spans="1:107" ht="15">
      <c r="A44" s="138" t="s">
        <v>245</v>
      </c>
      <c r="B44" s="139" t="s">
        <v>51</v>
      </c>
      <c r="C44" s="140">
        <v>42532</v>
      </c>
      <c r="D44" s="141">
        <v>50942</v>
      </c>
      <c r="E44" s="141">
        <v>50979</v>
      </c>
      <c r="F44" s="141">
        <v>56763</v>
      </c>
      <c r="G44" s="141">
        <v>42332</v>
      </c>
      <c r="H44" s="141">
        <v>52433</v>
      </c>
      <c r="I44" s="141">
        <v>59057</v>
      </c>
      <c r="J44" s="141">
        <v>75638</v>
      </c>
      <c r="K44" s="141">
        <v>48358</v>
      </c>
      <c r="L44" s="141">
        <v>97669</v>
      </c>
      <c r="M44" s="141">
        <v>95038</v>
      </c>
      <c r="N44" s="141">
        <v>145126</v>
      </c>
      <c r="O44" s="141">
        <v>143899</v>
      </c>
      <c r="P44" s="141">
        <v>294314</v>
      </c>
      <c r="Q44" s="141">
        <v>8707</v>
      </c>
      <c r="R44" s="141">
        <v>8629</v>
      </c>
      <c r="S44" s="141">
        <v>49682</v>
      </c>
      <c r="T44" s="141">
        <v>49726</v>
      </c>
      <c r="U44" s="141">
        <v>78869</v>
      </c>
      <c r="V44" s="141">
        <v>107344</v>
      </c>
      <c r="W44" s="141">
        <v>135946</v>
      </c>
      <c r="X44" s="141">
        <v>164726</v>
      </c>
      <c r="Y44" s="141">
        <v>193539</v>
      </c>
      <c r="Z44" s="141">
        <v>162433</v>
      </c>
      <c r="AA44" s="141">
        <v>130702</v>
      </c>
      <c r="AB44" s="141">
        <v>131921</v>
      </c>
      <c r="AC44" s="141">
        <v>133351</v>
      </c>
      <c r="AD44" s="141">
        <v>138147</v>
      </c>
      <c r="AE44" s="141">
        <v>228841</v>
      </c>
      <c r="AF44" s="141">
        <v>40129</v>
      </c>
      <c r="AG44" s="141">
        <v>56980</v>
      </c>
      <c r="AH44" s="141">
        <v>94298</v>
      </c>
      <c r="AI44" s="141">
        <v>69327</v>
      </c>
      <c r="AJ44" s="141">
        <v>54876</v>
      </c>
      <c r="AK44" s="141">
        <v>55597</v>
      </c>
      <c r="AL44" s="141">
        <v>66831</v>
      </c>
      <c r="AM44" s="141">
        <v>62158</v>
      </c>
      <c r="AN44" s="141">
        <v>38851</v>
      </c>
      <c r="AO44" s="141">
        <v>40505</v>
      </c>
      <c r="AP44" s="141">
        <v>49686</v>
      </c>
      <c r="AQ44" s="141">
        <v>23454</v>
      </c>
      <c r="AR44" s="141">
        <v>7735</v>
      </c>
      <c r="AS44" s="141">
        <v>8405</v>
      </c>
      <c r="AT44" s="141">
        <v>8263</v>
      </c>
      <c r="AU44" s="141">
        <v>9185</v>
      </c>
      <c r="AV44" s="141">
        <v>16963</v>
      </c>
      <c r="AW44" s="142">
        <v>27400</v>
      </c>
    </row>
    <row r="45" spans="1:107" ht="15">
      <c r="A45" s="138" t="s">
        <v>245</v>
      </c>
      <c r="B45" s="139" t="s">
        <v>224</v>
      </c>
      <c r="C45" s="140">
        <v>4004916</v>
      </c>
      <c r="D45" s="141">
        <v>3914953</v>
      </c>
      <c r="E45" s="141">
        <v>4604917</v>
      </c>
      <c r="F45" s="141">
        <v>6027736</v>
      </c>
      <c r="G45" s="141">
        <v>7365591</v>
      </c>
      <c r="H45" s="141">
        <v>7126412</v>
      </c>
      <c r="I45" s="141">
        <v>7574411</v>
      </c>
      <c r="J45" s="141">
        <v>6212350</v>
      </c>
      <c r="K45" s="141">
        <v>6115033</v>
      </c>
      <c r="L45" s="141">
        <v>4692276</v>
      </c>
      <c r="M45" s="141">
        <v>4036616</v>
      </c>
      <c r="N45" s="141">
        <v>3492850</v>
      </c>
      <c r="O45" s="141">
        <v>3257820</v>
      </c>
      <c r="P45" s="141">
        <v>4228848</v>
      </c>
      <c r="Q45" s="141">
        <v>3301237</v>
      </c>
      <c r="R45" s="141">
        <v>3591874</v>
      </c>
      <c r="S45" s="141">
        <v>2527344</v>
      </c>
      <c r="T45" s="141">
        <v>2501548</v>
      </c>
      <c r="U45" s="141">
        <v>2487365</v>
      </c>
      <c r="V45" s="141">
        <v>3995737</v>
      </c>
      <c r="W45" s="141">
        <v>2740332</v>
      </c>
      <c r="X45" s="141">
        <v>2179863</v>
      </c>
      <c r="Y45" s="141">
        <v>3488338</v>
      </c>
      <c r="Z45" s="141">
        <v>1653370</v>
      </c>
      <c r="AA45" s="141">
        <v>1309202</v>
      </c>
      <c r="AB45" s="141">
        <v>2038140</v>
      </c>
      <c r="AC45" s="141">
        <v>3568653</v>
      </c>
      <c r="AD45" s="141">
        <v>3490237</v>
      </c>
      <c r="AE45" s="141">
        <v>3272077</v>
      </c>
      <c r="AF45" s="141">
        <v>2178206</v>
      </c>
      <c r="AG45" s="141">
        <v>2234254</v>
      </c>
      <c r="AH45" s="141">
        <v>1633660</v>
      </c>
      <c r="AI45" s="141">
        <v>1122333</v>
      </c>
      <c r="AJ45" s="141">
        <v>1797624</v>
      </c>
      <c r="AK45" s="141">
        <v>1267752</v>
      </c>
      <c r="AL45" s="141">
        <v>1280150</v>
      </c>
      <c r="AM45" s="141">
        <v>1640756</v>
      </c>
      <c r="AN45" s="141">
        <v>817024</v>
      </c>
      <c r="AO45" s="141">
        <v>1051697</v>
      </c>
      <c r="AP45" s="141">
        <v>679587</v>
      </c>
      <c r="AQ45" s="141">
        <v>619384</v>
      </c>
      <c r="AR45" s="141">
        <v>821943</v>
      </c>
      <c r="AS45" s="141">
        <v>3018384</v>
      </c>
      <c r="AT45" s="141">
        <v>77113</v>
      </c>
      <c r="AU45" s="141">
        <v>455361</v>
      </c>
      <c r="AV45" s="141">
        <v>499909</v>
      </c>
      <c r="AW45" s="142">
        <v>581891</v>
      </c>
      <c r="CQ45" s="157"/>
    </row>
    <row r="46" spans="1:107" ht="15">
      <c r="A46" s="138" t="s">
        <v>245</v>
      </c>
      <c r="B46" s="139" t="s">
        <v>225</v>
      </c>
      <c r="C46" s="140">
        <v>0</v>
      </c>
      <c r="D46" s="141">
        <v>0</v>
      </c>
      <c r="E46" s="141">
        <v>0</v>
      </c>
      <c r="F46" s="141">
        <v>0</v>
      </c>
      <c r="G46" s="141">
        <v>0</v>
      </c>
      <c r="H46" s="141">
        <v>0</v>
      </c>
      <c r="I46" s="141">
        <v>0</v>
      </c>
      <c r="J46" s="141">
        <v>0</v>
      </c>
      <c r="K46" s="141">
        <v>0</v>
      </c>
      <c r="L46" s="141">
        <v>0</v>
      </c>
      <c r="M46" s="141">
        <v>0</v>
      </c>
      <c r="N46" s="141">
        <v>0</v>
      </c>
      <c r="O46" s="141">
        <v>0</v>
      </c>
      <c r="P46" s="141">
        <v>0</v>
      </c>
      <c r="Q46" s="141">
        <v>0</v>
      </c>
      <c r="R46" s="141">
        <v>0</v>
      </c>
      <c r="S46" s="141">
        <v>0</v>
      </c>
      <c r="T46" s="141">
        <v>0</v>
      </c>
      <c r="U46" s="141">
        <v>0</v>
      </c>
      <c r="V46" s="141">
        <v>0</v>
      </c>
      <c r="W46" s="141">
        <v>0</v>
      </c>
      <c r="X46" s="141">
        <v>0</v>
      </c>
      <c r="Y46" s="141">
        <v>0</v>
      </c>
      <c r="Z46" s="141">
        <v>0</v>
      </c>
      <c r="AA46" s="141">
        <v>0</v>
      </c>
      <c r="AB46" s="141">
        <v>0</v>
      </c>
      <c r="AC46" s="141">
        <v>0</v>
      </c>
      <c r="AD46" s="141">
        <v>0</v>
      </c>
      <c r="AE46" s="141">
        <v>0</v>
      </c>
      <c r="AF46" s="141">
        <v>0</v>
      </c>
      <c r="AG46" s="141">
        <v>0</v>
      </c>
      <c r="AH46" s="141">
        <v>0</v>
      </c>
      <c r="AI46" s="141">
        <v>0</v>
      </c>
      <c r="AJ46" s="141">
        <v>0</v>
      </c>
      <c r="AK46" s="141">
        <v>0</v>
      </c>
      <c r="AL46" s="141">
        <v>0</v>
      </c>
      <c r="AM46" s="141">
        <v>0</v>
      </c>
      <c r="AN46" s="141">
        <v>0</v>
      </c>
      <c r="AO46" s="141">
        <v>0</v>
      </c>
      <c r="AP46" s="141">
        <v>0</v>
      </c>
      <c r="AQ46" s="141">
        <v>0</v>
      </c>
      <c r="AR46" s="141">
        <v>0</v>
      </c>
      <c r="AS46" s="141">
        <v>0</v>
      </c>
      <c r="AT46" s="141">
        <v>0</v>
      </c>
      <c r="AU46" s="141">
        <v>0</v>
      </c>
      <c r="AV46" s="141">
        <v>0</v>
      </c>
      <c r="AW46" s="142">
        <v>0</v>
      </c>
    </row>
    <row r="47" spans="1:107" ht="15">
      <c r="A47" s="138" t="s">
        <v>245</v>
      </c>
      <c r="B47" s="139" t="s">
        <v>226</v>
      </c>
      <c r="C47" s="140">
        <v>0</v>
      </c>
      <c r="D47" s="141">
        <v>0</v>
      </c>
      <c r="E47" s="141">
        <v>0</v>
      </c>
      <c r="F47" s="141">
        <v>0</v>
      </c>
      <c r="G47" s="141">
        <v>0</v>
      </c>
      <c r="H47" s="141">
        <v>0</v>
      </c>
      <c r="I47" s="141">
        <v>0</v>
      </c>
      <c r="J47" s="141">
        <v>0</v>
      </c>
      <c r="K47" s="141">
        <v>0</v>
      </c>
      <c r="L47" s="141">
        <v>0</v>
      </c>
      <c r="M47" s="141">
        <v>0</v>
      </c>
      <c r="N47" s="141">
        <v>0</v>
      </c>
      <c r="O47" s="141">
        <v>0</v>
      </c>
      <c r="P47" s="141">
        <v>0</v>
      </c>
      <c r="Q47" s="141">
        <v>0</v>
      </c>
      <c r="R47" s="141">
        <v>0</v>
      </c>
      <c r="S47" s="141">
        <v>0</v>
      </c>
      <c r="T47" s="141">
        <v>0</v>
      </c>
      <c r="U47" s="141">
        <v>0</v>
      </c>
      <c r="V47" s="141">
        <v>0</v>
      </c>
      <c r="W47" s="141">
        <v>0</v>
      </c>
      <c r="X47" s="141">
        <v>0</v>
      </c>
      <c r="Y47" s="141">
        <v>0</v>
      </c>
      <c r="Z47" s="141">
        <v>0</v>
      </c>
      <c r="AA47" s="141">
        <v>0</v>
      </c>
      <c r="AB47" s="141">
        <v>0</v>
      </c>
      <c r="AC47" s="141">
        <v>0</v>
      </c>
      <c r="AD47" s="141">
        <v>0</v>
      </c>
      <c r="AE47" s="141">
        <v>0</v>
      </c>
      <c r="AF47" s="141">
        <v>0</v>
      </c>
      <c r="AG47" s="141">
        <v>0</v>
      </c>
      <c r="AH47" s="141">
        <v>0</v>
      </c>
      <c r="AI47" s="141">
        <v>0</v>
      </c>
      <c r="AJ47" s="141">
        <v>0</v>
      </c>
      <c r="AK47" s="141">
        <v>0</v>
      </c>
      <c r="AL47" s="141">
        <v>0</v>
      </c>
      <c r="AM47" s="141">
        <v>0</v>
      </c>
      <c r="AN47" s="141">
        <v>0</v>
      </c>
      <c r="AO47" s="141">
        <v>0</v>
      </c>
      <c r="AP47" s="141">
        <v>0</v>
      </c>
      <c r="AQ47" s="141">
        <v>3</v>
      </c>
      <c r="AR47" s="141">
        <v>7</v>
      </c>
      <c r="AS47" s="141">
        <v>6</v>
      </c>
      <c r="AT47" s="141">
        <v>24</v>
      </c>
      <c r="AU47" s="141">
        <v>24</v>
      </c>
      <c r="AV47" s="141">
        <v>521</v>
      </c>
      <c r="AW47" s="142">
        <v>966</v>
      </c>
      <c r="AZ47" s="176">
        <v>2008</v>
      </c>
      <c r="BA47" s="176">
        <v>2009</v>
      </c>
      <c r="BB47" s="176">
        <v>2010</v>
      </c>
      <c r="BC47" s="176">
        <v>2011</v>
      </c>
      <c r="BD47" s="176">
        <v>2012</v>
      </c>
    </row>
    <row r="48" spans="1:107" ht="15">
      <c r="A48" s="138" t="s">
        <v>245</v>
      </c>
      <c r="B48" s="139" t="s">
        <v>70</v>
      </c>
      <c r="C48" s="140">
        <v>0</v>
      </c>
      <c r="D48" s="141">
        <v>0</v>
      </c>
      <c r="E48" s="141">
        <v>0</v>
      </c>
      <c r="F48" s="141">
        <v>0</v>
      </c>
      <c r="G48" s="141">
        <v>0</v>
      </c>
      <c r="H48" s="141">
        <v>0</v>
      </c>
      <c r="I48" s="141">
        <v>0</v>
      </c>
      <c r="J48" s="141">
        <v>0</v>
      </c>
      <c r="K48" s="141">
        <v>0</v>
      </c>
      <c r="L48" s="141">
        <v>0</v>
      </c>
      <c r="M48" s="141">
        <v>0</v>
      </c>
      <c r="N48" s="141">
        <v>0</v>
      </c>
      <c r="O48" s="141">
        <v>0</v>
      </c>
      <c r="P48" s="141">
        <v>0</v>
      </c>
      <c r="Q48" s="141">
        <v>0</v>
      </c>
      <c r="R48" s="141">
        <v>0</v>
      </c>
      <c r="S48" s="141">
        <v>0</v>
      </c>
      <c r="T48" s="141">
        <v>0</v>
      </c>
      <c r="U48" s="141">
        <v>0</v>
      </c>
      <c r="V48" s="141">
        <v>0</v>
      </c>
      <c r="W48" s="141">
        <v>0</v>
      </c>
      <c r="X48" s="141">
        <v>0</v>
      </c>
      <c r="Y48" s="141">
        <v>0</v>
      </c>
      <c r="Z48" s="141">
        <v>0</v>
      </c>
      <c r="AA48" s="141">
        <v>0</v>
      </c>
      <c r="AB48" s="141">
        <v>0</v>
      </c>
      <c r="AC48" s="141">
        <v>0</v>
      </c>
      <c r="AD48" s="141">
        <v>0</v>
      </c>
      <c r="AE48" s="141">
        <v>2824</v>
      </c>
      <c r="AF48" s="141">
        <v>2848</v>
      </c>
      <c r="AG48" s="141">
        <v>1199</v>
      </c>
      <c r="AH48" s="141">
        <v>8721</v>
      </c>
      <c r="AI48" s="141">
        <v>7725</v>
      </c>
      <c r="AJ48" s="141">
        <v>4955</v>
      </c>
      <c r="AK48" s="141">
        <v>5460</v>
      </c>
      <c r="AL48" s="141">
        <v>9186</v>
      </c>
      <c r="AM48" s="141">
        <v>8423</v>
      </c>
      <c r="AN48" s="141">
        <v>47522</v>
      </c>
      <c r="AO48" s="141">
        <v>45835</v>
      </c>
      <c r="AP48" s="141">
        <v>23236</v>
      </c>
      <c r="AQ48" s="141">
        <v>23237</v>
      </c>
      <c r="AR48" s="141">
        <v>0</v>
      </c>
      <c r="AS48" s="141">
        <v>0</v>
      </c>
      <c r="AT48" s="141">
        <v>0</v>
      </c>
      <c r="AU48" s="141">
        <v>0</v>
      </c>
      <c r="AV48" s="141">
        <v>0</v>
      </c>
      <c r="AW48" s="142">
        <v>0</v>
      </c>
      <c r="AY48" s="177" t="s">
        <v>155</v>
      </c>
      <c r="AZ48" s="176" t="s">
        <v>149</v>
      </c>
      <c r="BA48" s="176" t="s">
        <v>149</v>
      </c>
      <c r="BB48" s="176" t="s">
        <v>149</v>
      </c>
      <c r="BC48" s="176" t="s">
        <v>149</v>
      </c>
      <c r="BD48" s="176" t="s">
        <v>149</v>
      </c>
    </row>
    <row r="49" spans="1:58" ht="15">
      <c r="A49" s="138" t="s">
        <v>245</v>
      </c>
      <c r="B49" s="139" t="s">
        <v>227</v>
      </c>
      <c r="C49" s="140">
        <v>397650</v>
      </c>
      <c r="D49" s="141">
        <v>432699</v>
      </c>
      <c r="E49" s="141">
        <v>476143</v>
      </c>
      <c r="F49" s="141">
        <v>530132</v>
      </c>
      <c r="G49" s="141">
        <v>593411</v>
      </c>
      <c r="H49" s="141">
        <v>643437</v>
      </c>
      <c r="I49" s="141">
        <v>685084</v>
      </c>
      <c r="J49" s="141">
        <v>736411</v>
      </c>
      <c r="K49" s="141">
        <v>731086</v>
      </c>
      <c r="L49" s="141">
        <v>686570</v>
      </c>
      <c r="M49" s="141">
        <v>613406</v>
      </c>
      <c r="N49" s="141">
        <v>594418</v>
      </c>
      <c r="O49" s="141">
        <v>639873</v>
      </c>
      <c r="P49" s="141">
        <v>625981</v>
      </c>
      <c r="Q49" s="141">
        <v>647706</v>
      </c>
      <c r="R49" s="141">
        <v>763354</v>
      </c>
      <c r="S49" s="141">
        <v>759288</v>
      </c>
      <c r="T49" s="141">
        <v>783722</v>
      </c>
      <c r="U49" s="141">
        <v>785727</v>
      </c>
      <c r="V49" s="141">
        <v>767902</v>
      </c>
      <c r="W49" s="141">
        <v>911578</v>
      </c>
      <c r="X49" s="141">
        <v>909734</v>
      </c>
      <c r="Y49" s="141">
        <v>857186</v>
      </c>
      <c r="Z49" s="141">
        <v>844713</v>
      </c>
      <c r="AA49" s="141">
        <v>891592</v>
      </c>
      <c r="AB49" s="141">
        <v>1096782</v>
      </c>
      <c r="AC49" s="141">
        <v>1163069</v>
      </c>
      <c r="AD49" s="141">
        <v>1103643</v>
      </c>
      <c r="AE49" s="141">
        <v>1200480</v>
      </c>
      <c r="AF49" s="141">
        <v>1178367</v>
      </c>
      <c r="AG49" s="141">
        <v>1231778</v>
      </c>
      <c r="AH49" s="141">
        <v>1027529</v>
      </c>
      <c r="AI49" s="141">
        <v>905799</v>
      </c>
      <c r="AJ49" s="141">
        <v>977882</v>
      </c>
      <c r="AK49" s="141">
        <v>756137</v>
      </c>
      <c r="AL49" s="141">
        <v>555652</v>
      </c>
      <c r="AM49" s="141">
        <v>565485</v>
      </c>
      <c r="AN49" s="141">
        <v>904276</v>
      </c>
      <c r="AO49" s="141">
        <v>922446</v>
      </c>
      <c r="AP49" s="141">
        <v>644273</v>
      </c>
      <c r="AQ49" s="141">
        <v>781406</v>
      </c>
      <c r="AR49" s="141">
        <v>1101084</v>
      </c>
      <c r="AS49" s="141">
        <v>1285842</v>
      </c>
      <c r="AT49" s="141">
        <v>1153932</v>
      </c>
      <c r="AU49" s="141">
        <v>1169936</v>
      </c>
      <c r="AV49" s="141">
        <v>1056349</v>
      </c>
      <c r="AW49" s="142">
        <v>1074112</v>
      </c>
      <c r="AY49" s="116" t="s">
        <v>150</v>
      </c>
      <c r="AZ49" s="116">
        <v>4223</v>
      </c>
      <c r="BA49" s="116">
        <v>3754</v>
      </c>
      <c r="BB49" s="116">
        <v>3768</v>
      </c>
      <c r="BC49" s="116">
        <v>3365</v>
      </c>
      <c r="BD49" s="116">
        <v>3897</v>
      </c>
    </row>
    <row r="50" spans="1:58" ht="16" thickBot="1">
      <c r="A50" s="158" t="s">
        <v>245</v>
      </c>
      <c r="B50" s="159" t="s">
        <v>228</v>
      </c>
      <c r="C50" s="160">
        <v>2278</v>
      </c>
      <c r="D50" s="161">
        <v>2479</v>
      </c>
      <c r="E50" s="161">
        <v>3063</v>
      </c>
      <c r="F50" s="161">
        <v>4198</v>
      </c>
      <c r="G50" s="161">
        <v>4495</v>
      </c>
      <c r="H50" s="161">
        <v>4899</v>
      </c>
      <c r="I50" s="161">
        <v>5362</v>
      </c>
      <c r="J50" s="161">
        <v>5639</v>
      </c>
      <c r="K50" s="161">
        <v>5838</v>
      </c>
      <c r="L50" s="161">
        <v>5961</v>
      </c>
      <c r="M50" s="161">
        <v>5173</v>
      </c>
      <c r="N50" s="161">
        <v>5701</v>
      </c>
      <c r="O50" s="161">
        <v>5536</v>
      </c>
      <c r="P50" s="161">
        <v>5388</v>
      </c>
      <c r="Q50" s="161">
        <v>0</v>
      </c>
      <c r="R50" s="161">
        <v>0</v>
      </c>
      <c r="S50" s="161">
        <v>294559</v>
      </c>
      <c r="T50" s="161">
        <v>446939</v>
      </c>
      <c r="U50" s="161">
        <v>459885</v>
      </c>
      <c r="V50" s="161">
        <v>439145</v>
      </c>
      <c r="W50" s="161">
        <v>335697</v>
      </c>
      <c r="X50" s="161">
        <v>362024</v>
      </c>
      <c r="Y50" s="161">
        <v>405850</v>
      </c>
      <c r="Z50" s="161">
        <v>416804</v>
      </c>
      <c r="AA50" s="161">
        <v>427758</v>
      </c>
      <c r="AB50" s="161">
        <v>387197</v>
      </c>
      <c r="AC50" s="161">
        <v>346636</v>
      </c>
      <c r="AD50" s="161">
        <v>306075</v>
      </c>
      <c r="AE50" s="161">
        <v>351620</v>
      </c>
      <c r="AF50" s="161">
        <v>380457</v>
      </c>
      <c r="AG50" s="161">
        <v>318666</v>
      </c>
      <c r="AH50" s="161">
        <v>256816</v>
      </c>
      <c r="AI50" s="161">
        <v>222847</v>
      </c>
      <c r="AJ50" s="161">
        <v>299190</v>
      </c>
      <c r="AK50" s="161">
        <v>275371</v>
      </c>
      <c r="AL50" s="161">
        <v>252295</v>
      </c>
      <c r="AM50" s="161">
        <v>252295</v>
      </c>
      <c r="AN50" s="161">
        <v>260862</v>
      </c>
      <c r="AO50" s="161">
        <v>247819</v>
      </c>
      <c r="AP50" s="161">
        <v>354806</v>
      </c>
      <c r="AQ50" s="161">
        <v>367693</v>
      </c>
      <c r="AR50" s="161">
        <v>404977</v>
      </c>
      <c r="AS50" s="161">
        <v>585757</v>
      </c>
      <c r="AT50" s="161">
        <v>585699</v>
      </c>
      <c r="AU50" s="161">
        <v>583942</v>
      </c>
      <c r="AV50" s="161">
        <v>558832</v>
      </c>
      <c r="AW50" s="162">
        <v>558832</v>
      </c>
      <c r="AY50" s="116" t="s">
        <v>151</v>
      </c>
      <c r="BA50" s="116">
        <v>2985</v>
      </c>
      <c r="BB50" s="116">
        <v>2741</v>
      </c>
      <c r="BC50" s="116">
        <v>2656</v>
      </c>
    </row>
    <row r="51" spans="1:58" ht="14" thickTop="1">
      <c r="BF51" s="116" t="s">
        <v>139</v>
      </c>
    </row>
    <row r="52" spans="1:58">
      <c r="BA52" s="130">
        <f>BA49/(BA49+BA50)</f>
        <v>0.55705594301825201</v>
      </c>
      <c r="BB52" s="130">
        <f>BB49/(BB49+BB50)</f>
        <v>0.57889076663081884</v>
      </c>
      <c r="BC52" s="130">
        <f>BC49/(BC49+BC50)</f>
        <v>0.55887726291313733</v>
      </c>
      <c r="BF52" s="165">
        <f>AVERAGE(BA52:BC52)</f>
        <v>0.56494132418740273</v>
      </c>
    </row>
    <row r="54" spans="1:58" ht="16" thickBot="1">
      <c r="A54" s="120" t="s">
        <v>252</v>
      </c>
    </row>
    <row r="55" spans="1:58" ht="34" thickTop="1" thickBot="1">
      <c r="A55" s="133" t="s">
        <v>136</v>
      </c>
      <c r="B55" s="134" t="s">
        <v>137</v>
      </c>
      <c r="C55" s="135">
        <v>1966</v>
      </c>
      <c r="D55" s="136">
        <v>1967</v>
      </c>
      <c r="E55" s="136">
        <v>1968</v>
      </c>
      <c r="F55" s="136">
        <v>1969</v>
      </c>
      <c r="G55" s="136">
        <v>1970</v>
      </c>
      <c r="H55" s="136">
        <v>1971</v>
      </c>
      <c r="I55" s="136">
        <v>1972</v>
      </c>
      <c r="J55" s="136">
        <v>1973</v>
      </c>
      <c r="K55" s="136">
        <v>1974</v>
      </c>
      <c r="L55" s="136">
        <v>1975</v>
      </c>
      <c r="M55" s="136">
        <v>1976</v>
      </c>
      <c r="N55" s="136">
        <v>1977</v>
      </c>
      <c r="O55" s="136">
        <v>1978</v>
      </c>
      <c r="P55" s="136">
        <v>1979</v>
      </c>
      <c r="Q55" s="136">
        <v>1980</v>
      </c>
      <c r="R55" s="136">
        <v>1981</v>
      </c>
      <c r="S55" s="136">
        <v>1982</v>
      </c>
      <c r="T55" s="136">
        <v>1983</v>
      </c>
      <c r="U55" s="136">
        <v>1984</v>
      </c>
      <c r="V55" s="136">
        <v>1985</v>
      </c>
      <c r="W55" s="136">
        <v>1986</v>
      </c>
      <c r="X55" s="136">
        <v>1987</v>
      </c>
      <c r="Y55" s="136">
        <v>1988</v>
      </c>
      <c r="Z55" s="136">
        <v>1989</v>
      </c>
      <c r="AA55" s="136">
        <v>1990</v>
      </c>
      <c r="AB55" s="136">
        <v>1991</v>
      </c>
      <c r="AC55" s="136">
        <v>1992</v>
      </c>
      <c r="AD55" s="136">
        <v>1993</v>
      </c>
      <c r="AE55" s="136">
        <v>1994</v>
      </c>
      <c r="AF55" s="136">
        <v>1995</v>
      </c>
      <c r="AG55" s="136">
        <v>1996</v>
      </c>
      <c r="AH55" s="136">
        <v>1997</v>
      </c>
      <c r="AI55" s="136">
        <v>1998</v>
      </c>
      <c r="AJ55" s="136">
        <v>1999</v>
      </c>
      <c r="AK55" s="136">
        <v>2000</v>
      </c>
      <c r="AL55" s="136">
        <v>2001</v>
      </c>
      <c r="AM55" s="136">
        <v>2002</v>
      </c>
      <c r="AN55" s="136">
        <v>2003</v>
      </c>
      <c r="AO55" s="136">
        <v>2004</v>
      </c>
      <c r="AP55" s="136">
        <v>2005</v>
      </c>
      <c r="AQ55" s="136">
        <v>2006</v>
      </c>
      <c r="AR55" s="136">
        <v>2007</v>
      </c>
      <c r="AS55" s="136">
        <v>2008</v>
      </c>
      <c r="AT55" s="136">
        <v>2009</v>
      </c>
      <c r="AU55" s="136">
        <v>2010</v>
      </c>
      <c r="AV55" s="136">
        <v>2011</v>
      </c>
      <c r="AW55" s="137">
        <v>2012</v>
      </c>
    </row>
    <row r="56" spans="1:58" ht="15">
      <c r="A56" s="138" t="s">
        <v>245</v>
      </c>
      <c r="B56" s="139" t="s">
        <v>221</v>
      </c>
      <c r="C56" s="140">
        <f t="shared" ref="C56:AW61" si="18">C20-C37</f>
        <v>-185997985</v>
      </c>
      <c r="D56" s="140">
        <f t="shared" si="18"/>
        <v>-273247012</v>
      </c>
      <c r="E56" s="140">
        <f t="shared" si="18"/>
        <v>-282278379</v>
      </c>
      <c r="F56" s="140">
        <f t="shared" si="18"/>
        <v>-382445493</v>
      </c>
      <c r="G56" s="140">
        <f t="shared" si="18"/>
        <v>-417950029</v>
      </c>
      <c r="H56" s="140">
        <f t="shared" si="18"/>
        <v>-426965749</v>
      </c>
      <c r="I56" s="140">
        <f t="shared" si="18"/>
        <v>-405622181</v>
      </c>
      <c r="J56" s="140">
        <f t="shared" si="18"/>
        <v>-419941430</v>
      </c>
      <c r="K56" s="140">
        <f t="shared" si="18"/>
        <v>-395445381</v>
      </c>
      <c r="L56" s="140">
        <f t="shared" si="18"/>
        <v>-334381256</v>
      </c>
      <c r="M56" s="140">
        <f t="shared" si="18"/>
        <v>-326893057</v>
      </c>
      <c r="N56" s="140">
        <f t="shared" si="18"/>
        <v>-323173307</v>
      </c>
      <c r="O56" s="140">
        <f t="shared" si="18"/>
        <v>-334801625</v>
      </c>
      <c r="P56" s="140">
        <f t="shared" si="18"/>
        <v>-356687766</v>
      </c>
      <c r="Q56" s="140">
        <f t="shared" si="18"/>
        <v>-271367717</v>
      </c>
      <c r="R56" s="140">
        <f t="shared" si="18"/>
        <v>-244655971</v>
      </c>
      <c r="S56" s="140">
        <f t="shared" si="18"/>
        <v>-219934312</v>
      </c>
      <c r="T56" s="140">
        <f t="shared" si="18"/>
        <v>-266041514</v>
      </c>
      <c r="U56" s="140">
        <f t="shared" si="18"/>
        <v>-287567570</v>
      </c>
      <c r="V56" s="140">
        <f t="shared" si="18"/>
        <v>-279743964</v>
      </c>
      <c r="W56" s="140">
        <f t="shared" si="18"/>
        <v>-304432563</v>
      </c>
      <c r="X56" s="140">
        <f t="shared" si="18"/>
        <v>-296960845</v>
      </c>
      <c r="Y56" s="140">
        <f t="shared" si="18"/>
        <v>-310890390</v>
      </c>
      <c r="Z56" s="140">
        <f t="shared" si="18"/>
        <v>-323131975</v>
      </c>
      <c r="AA56" s="140">
        <f t="shared" si="18"/>
        <v>-308682005</v>
      </c>
      <c r="AB56" s="140">
        <f t="shared" si="18"/>
        <v>-331394770</v>
      </c>
      <c r="AC56" s="140">
        <f t="shared" si="18"/>
        <v>-355454908</v>
      </c>
      <c r="AD56" s="140">
        <f t="shared" si="18"/>
        <v>-356795000</v>
      </c>
      <c r="AE56" s="140">
        <f t="shared" si="18"/>
        <v>-365356400</v>
      </c>
      <c r="AF56" s="140">
        <f t="shared" si="18"/>
        <v>-412022100</v>
      </c>
      <c r="AG56" s="140">
        <f t="shared" si="18"/>
        <v>-448338000</v>
      </c>
      <c r="AH56" s="140">
        <f t="shared" si="18"/>
        <v>-365090511</v>
      </c>
      <c r="AI56" s="140">
        <f t="shared" si="18"/>
        <v>-340314599</v>
      </c>
      <c r="AJ56" s="140">
        <f t="shared" si="18"/>
        <v>-339203135</v>
      </c>
      <c r="AK56" s="140">
        <f t="shared" si="18"/>
        <v>-346270013</v>
      </c>
      <c r="AL56" s="140">
        <f t="shared" si="18"/>
        <v>-343914817</v>
      </c>
      <c r="AM56" s="140">
        <f t="shared" si="18"/>
        <v>-333095071</v>
      </c>
      <c r="AN56" s="140">
        <f t="shared" si="18"/>
        <v>-352220912</v>
      </c>
      <c r="AO56" s="140">
        <f t="shared" si="18"/>
        <v>-344651751</v>
      </c>
      <c r="AP56" s="140">
        <f t="shared" si="18"/>
        <v>-332180848</v>
      </c>
      <c r="AQ56" s="140">
        <f t="shared" si="18"/>
        <v>-343530612</v>
      </c>
      <c r="AR56" s="140">
        <f t="shared" si="18"/>
        <v>-333386568</v>
      </c>
      <c r="AS56" s="140">
        <f t="shared" si="18"/>
        <v>-334639330</v>
      </c>
      <c r="AT56" s="140">
        <f t="shared" si="18"/>
        <v>-335634780</v>
      </c>
      <c r="AU56" s="140">
        <f t="shared" si="18"/>
        <v>-314168191</v>
      </c>
      <c r="AV56" s="140">
        <f t="shared" si="18"/>
        <v>-327286287</v>
      </c>
      <c r="AW56" s="140">
        <f t="shared" si="18"/>
        <v>-362386542</v>
      </c>
    </row>
    <row r="57" spans="1:58" ht="15">
      <c r="A57" s="138" t="s">
        <v>245</v>
      </c>
      <c r="B57" s="139" t="s">
        <v>222</v>
      </c>
      <c r="C57" s="140">
        <f t="shared" si="18"/>
        <v>0</v>
      </c>
      <c r="D57" s="140">
        <f t="shared" si="18"/>
        <v>0</v>
      </c>
      <c r="E57" s="140">
        <f t="shared" si="18"/>
        <v>0</v>
      </c>
      <c r="F57" s="140">
        <f t="shared" si="18"/>
        <v>0</v>
      </c>
      <c r="G57" s="140">
        <f t="shared" si="18"/>
        <v>0</v>
      </c>
      <c r="H57" s="140">
        <f t="shared" si="18"/>
        <v>0</v>
      </c>
      <c r="I57" s="140">
        <f t="shared" si="18"/>
        <v>0</v>
      </c>
      <c r="J57" s="140">
        <f t="shared" si="18"/>
        <v>0</v>
      </c>
      <c r="K57" s="140">
        <f t="shared" si="18"/>
        <v>3457958</v>
      </c>
      <c r="L57" s="140">
        <f t="shared" si="18"/>
        <v>7614121</v>
      </c>
      <c r="M57" s="140">
        <f t="shared" si="18"/>
        <v>-6238156</v>
      </c>
      <c r="N57" s="140">
        <f t="shared" si="18"/>
        <v>5426302</v>
      </c>
      <c r="O57" s="140">
        <f t="shared" si="18"/>
        <v>8224462</v>
      </c>
      <c r="P57" s="140">
        <f t="shared" si="18"/>
        <v>2400635</v>
      </c>
      <c r="Q57" s="140">
        <f t="shared" si="18"/>
        <v>-23622270</v>
      </c>
      <c r="R57" s="140">
        <f t="shared" si="18"/>
        <v>-14693192</v>
      </c>
      <c r="S57" s="140">
        <f t="shared" si="18"/>
        <v>-33676426</v>
      </c>
      <c r="T57" s="140">
        <f t="shared" si="18"/>
        <v>-27651458</v>
      </c>
      <c r="U57" s="140">
        <f t="shared" si="18"/>
        <v>-23113835</v>
      </c>
      <c r="V57" s="140">
        <f t="shared" si="18"/>
        <v>-17504277</v>
      </c>
      <c r="W57" s="140">
        <f t="shared" si="18"/>
        <v>-25215094</v>
      </c>
      <c r="X57" s="140">
        <f t="shared" si="18"/>
        <v>-26158943</v>
      </c>
      <c r="Y57" s="140">
        <f t="shared" si="18"/>
        <v>-30378383</v>
      </c>
      <c r="Z57" s="140">
        <f t="shared" si="18"/>
        <v>-34123962</v>
      </c>
      <c r="AA57" s="140">
        <f t="shared" si="18"/>
        <v>-26874299</v>
      </c>
      <c r="AB57" s="140">
        <f t="shared" si="18"/>
        <v>-16785219</v>
      </c>
      <c r="AC57" s="140">
        <f t="shared" si="18"/>
        <v>-7427491</v>
      </c>
      <c r="AD57" s="140">
        <f t="shared" si="18"/>
        <v>-22531702</v>
      </c>
      <c r="AE57" s="140">
        <f t="shared" si="18"/>
        <v>-11718613</v>
      </c>
      <c r="AF57" s="140">
        <f t="shared" si="18"/>
        <v>2452088</v>
      </c>
      <c r="AG57" s="140">
        <f t="shared" si="18"/>
        <v>-4375488</v>
      </c>
      <c r="AH57" s="140">
        <f t="shared" si="18"/>
        <v>-3270427</v>
      </c>
      <c r="AI57" s="140">
        <f t="shared" si="18"/>
        <v>-968768</v>
      </c>
      <c r="AJ57" s="140">
        <f t="shared" si="18"/>
        <v>-8817156</v>
      </c>
      <c r="AK57" s="140">
        <f t="shared" si="18"/>
        <v>-5113752</v>
      </c>
      <c r="AL57" s="140">
        <f t="shared" si="18"/>
        <v>-2322437</v>
      </c>
      <c r="AM57" s="140">
        <f t="shared" si="18"/>
        <v>-2161479</v>
      </c>
      <c r="AN57" s="140">
        <f t="shared" si="18"/>
        <v>-1990228</v>
      </c>
      <c r="AO57" s="140">
        <f t="shared" si="18"/>
        <v>-196701</v>
      </c>
      <c r="AP57" s="140">
        <f t="shared" si="18"/>
        <v>-2357523</v>
      </c>
      <c r="AQ57" s="140">
        <f t="shared" si="18"/>
        <v>-3397029</v>
      </c>
      <c r="AR57" s="140">
        <f t="shared" si="18"/>
        <v>-645244</v>
      </c>
      <c r="AS57" s="140">
        <f t="shared" si="18"/>
        <v>-482422</v>
      </c>
      <c r="AT57" s="140">
        <f t="shared" si="18"/>
        <v>-1317982</v>
      </c>
      <c r="AU57" s="140">
        <f t="shared" si="18"/>
        <v>-2073495</v>
      </c>
      <c r="AV57" s="140">
        <f t="shared" si="18"/>
        <v>-2408184</v>
      </c>
      <c r="AW57" s="140">
        <f t="shared" si="18"/>
        <v>-735379</v>
      </c>
    </row>
    <row r="58" spans="1:58" ht="15">
      <c r="A58" s="138" t="s">
        <v>245</v>
      </c>
      <c r="B58" s="139" t="s">
        <v>223</v>
      </c>
      <c r="C58" s="140">
        <f t="shared" si="18"/>
        <v>0</v>
      </c>
      <c r="D58" s="140">
        <f t="shared" si="18"/>
        <v>0</v>
      </c>
      <c r="E58" s="140">
        <f t="shared" si="18"/>
        <v>0</v>
      </c>
      <c r="F58" s="140">
        <f t="shared" si="18"/>
        <v>0</v>
      </c>
      <c r="G58" s="140">
        <f t="shared" si="18"/>
        <v>0</v>
      </c>
      <c r="H58" s="140">
        <f t="shared" si="18"/>
        <v>0</v>
      </c>
      <c r="I58" s="140">
        <f t="shared" si="18"/>
        <v>0</v>
      </c>
      <c r="J58" s="140">
        <f t="shared" si="18"/>
        <v>0</v>
      </c>
      <c r="K58" s="140">
        <f t="shared" si="18"/>
        <v>0</v>
      </c>
      <c r="L58" s="140">
        <f t="shared" si="18"/>
        <v>0</v>
      </c>
      <c r="M58" s="140">
        <f t="shared" si="18"/>
        <v>0</v>
      </c>
      <c r="N58" s="140">
        <f t="shared" si="18"/>
        <v>0</v>
      </c>
      <c r="O58" s="140">
        <f t="shared" si="18"/>
        <v>0</v>
      </c>
      <c r="P58" s="140">
        <f t="shared" si="18"/>
        <v>0</v>
      </c>
      <c r="Q58" s="140">
        <f t="shared" si="18"/>
        <v>0</v>
      </c>
      <c r="R58" s="140">
        <f t="shared" si="18"/>
        <v>0</v>
      </c>
      <c r="S58" s="140">
        <f t="shared" si="18"/>
        <v>0</v>
      </c>
      <c r="T58" s="140">
        <f t="shared" si="18"/>
        <v>0</v>
      </c>
      <c r="U58" s="140">
        <f t="shared" si="18"/>
        <v>0</v>
      </c>
      <c r="V58" s="140">
        <f t="shared" si="18"/>
        <v>0</v>
      </c>
      <c r="W58" s="140">
        <f t="shared" si="18"/>
        <v>0</v>
      </c>
      <c r="X58" s="140">
        <f t="shared" si="18"/>
        <v>0</v>
      </c>
      <c r="Y58" s="140">
        <f t="shared" si="18"/>
        <v>0</v>
      </c>
      <c r="Z58" s="140">
        <f t="shared" si="18"/>
        <v>0</v>
      </c>
      <c r="AA58" s="140">
        <f t="shared" si="18"/>
        <v>0</v>
      </c>
      <c r="AB58" s="140">
        <f t="shared" si="18"/>
        <v>0</v>
      </c>
      <c r="AC58" s="140">
        <f t="shared" si="18"/>
        <v>0</v>
      </c>
      <c r="AD58" s="140">
        <f t="shared" si="18"/>
        <v>0</v>
      </c>
      <c r="AE58" s="140">
        <f t="shared" si="18"/>
        <v>0</v>
      </c>
      <c r="AF58" s="140">
        <f t="shared" si="18"/>
        <v>0</v>
      </c>
      <c r="AG58" s="140">
        <f t="shared" si="18"/>
        <v>0</v>
      </c>
      <c r="AH58" s="140">
        <f t="shared" si="18"/>
        <v>0</v>
      </c>
      <c r="AI58" s="140">
        <f t="shared" si="18"/>
        <v>0</v>
      </c>
      <c r="AJ58" s="140">
        <f t="shared" si="18"/>
        <v>0</v>
      </c>
      <c r="AK58" s="140">
        <f t="shared" si="18"/>
        <v>0</v>
      </c>
      <c r="AL58" s="140">
        <f t="shared" si="18"/>
        <v>0</v>
      </c>
      <c r="AM58" s="140">
        <f t="shared" si="18"/>
        <v>0</v>
      </c>
      <c r="AN58" s="140">
        <f t="shared" si="18"/>
        <v>0</v>
      </c>
      <c r="AO58" s="140">
        <f t="shared" si="18"/>
        <v>0</v>
      </c>
      <c r="AP58" s="140">
        <f t="shared" si="18"/>
        <v>0</v>
      </c>
      <c r="AQ58" s="140">
        <f t="shared" si="18"/>
        <v>0</v>
      </c>
      <c r="AR58" s="140">
        <f t="shared" si="18"/>
        <v>0</v>
      </c>
      <c r="AS58" s="140">
        <f t="shared" si="18"/>
        <v>0</v>
      </c>
      <c r="AT58" s="140">
        <f t="shared" si="18"/>
        <v>0</v>
      </c>
      <c r="AU58" s="140">
        <f t="shared" si="18"/>
        <v>0</v>
      </c>
      <c r="AV58" s="140">
        <f t="shared" si="18"/>
        <v>0</v>
      </c>
      <c r="AW58" s="140">
        <f t="shared" si="18"/>
        <v>0</v>
      </c>
    </row>
    <row r="59" spans="1:58" ht="15">
      <c r="A59" s="178" t="s">
        <v>245</v>
      </c>
      <c r="B59" s="146" t="s">
        <v>75</v>
      </c>
      <c r="C59" s="179">
        <f t="shared" si="18"/>
        <v>5977157</v>
      </c>
      <c r="D59" s="179">
        <f t="shared" si="18"/>
        <v>7049803</v>
      </c>
      <c r="E59" s="179">
        <f t="shared" si="18"/>
        <v>7919317</v>
      </c>
      <c r="F59" s="179">
        <f t="shared" si="18"/>
        <v>9218983</v>
      </c>
      <c r="G59" s="179">
        <f t="shared" si="18"/>
        <v>9030888</v>
      </c>
      <c r="H59" s="179">
        <f t="shared" si="18"/>
        <v>8749522</v>
      </c>
      <c r="I59" s="179">
        <f t="shared" si="18"/>
        <v>8780845</v>
      </c>
      <c r="J59" s="179">
        <f t="shared" si="18"/>
        <v>8367732</v>
      </c>
      <c r="K59" s="179">
        <f t="shared" si="18"/>
        <v>7201462</v>
      </c>
      <c r="L59" s="179">
        <f t="shared" si="18"/>
        <v>5085433</v>
      </c>
      <c r="M59" s="179">
        <f t="shared" si="18"/>
        <v>5736938</v>
      </c>
      <c r="N59" s="179">
        <f t="shared" si="18"/>
        <v>6254341</v>
      </c>
      <c r="O59" s="179">
        <f t="shared" si="18"/>
        <v>6393470</v>
      </c>
      <c r="P59" s="179">
        <f t="shared" si="18"/>
        <v>5979646</v>
      </c>
      <c r="Q59" s="179">
        <f t="shared" si="18"/>
        <v>5655947</v>
      </c>
      <c r="R59" s="179">
        <f t="shared" si="18"/>
        <v>5326950</v>
      </c>
      <c r="S59" s="179">
        <f t="shared" si="18"/>
        <v>6013166</v>
      </c>
      <c r="T59" s="179">
        <f t="shared" si="18"/>
        <v>6021172</v>
      </c>
      <c r="U59" s="179">
        <f t="shared" si="18"/>
        <v>6790385</v>
      </c>
      <c r="V59" s="179">
        <f t="shared" si="18"/>
        <v>6072787</v>
      </c>
      <c r="W59" s="179">
        <f t="shared" si="18"/>
        <v>6972841</v>
      </c>
      <c r="X59" s="179">
        <f t="shared" si="18"/>
        <v>7333091</v>
      </c>
      <c r="Y59" s="179">
        <f t="shared" si="18"/>
        <v>7146309</v>
      </c>
      <c r="Z59" s="179">
        <f t="shared" si="18"/>
        <v>6589218</v>
      </c>
      <c r="AA59" s="179">
        <f t="shared" si="18"/>
        <v>6511459</v>
      </c>
      <c r="AB59" s="179">
        <f t="shared" si="18"/>
        <v>6398783</v>
      </c>
      <c r="AC59" s="179">
        <f t="shared" si="18"/>
        <v>6040763</v>
      </c>
      <c r="AD59" s="179">
        <f t="shared" si="18"/>
        <v>7179277</v>
      </c>
      <c r="AE59" s="179">
        <f t="shared" si="18"/>
        <v>7054349</v>
      </c>
      <c r="AF59" s="179">
        <f t="shared" si="18"/>
        <v>6870224</v>
      </c>
      <c r="AG59" s="179">
        <f t="shared" si="18"/>
        <v>7400355</v>
      </c>
      <c r="AH59" s="179">
        <f t="shared" si="18"/>
        <v>8276037</v>
      </c>
      <c r="AI59" s="179">
        <f t="shared" si="18"/>
        <v>6547837</v>
      </c>
      <c r="AJ59" s="179">
        <f t="shared" si="18"/>
        <v>7470836</v>
      </c>
      <c r="AK59" s="179">
        <f t="shared" si="18"/>
        <v>8668846</v>
      </c>
      <c r="AL59" s="179">
        <f t="shared" si="18"/>
        <v>8428717</v>
      </c>
      <c r="AM59" s="179">
        <f t="shared" si="18"/>
        <v>7411721</v>
      </c>
      <c r="AN59" s="179">
        <f t="shared" si="18"/>
        <v>8359226</v>
      </c>
      <c r="AO59" s="179">
        <f t="shared" si="18"/>
        <v>8345470</v>
      </c>
      <c r="AP59" s="179">
        <f t="shared" si="18"/>
        <v>6656287</v>
      </c>
      <c r="AQ59" s="179">
        <f t="shared" si="18"/>
        <v>7388514</v>
      </c>
      <c r="AR59" s="179">
        <f t="shared" si="18"/>
        <v>7132808</v>
      </c>
      <c r="AS59" s="179">
        <f t="shared" si="18"/>
        <v>5394483</v>
      </c>
      <c r="AT59" s="179">
        <f t="shared" si="18"/>
        <v>6456683</v>
      </c>
      <c r="AU59" s="179">
        <f t="shared" si="18"/>
        <v>6938324</v>
      </c>
      <c r="AV59" s="179">
        <f t="shared" si="18"/>
        <v>6112342</v>
      </c>
      <c r="AW59" s="179">
        <f t="shared" si="18"/>
        <v>7483740</v>
      </c>
    </row>
    <row r="60" spans="1:58" ht="15">
      <c r="A60" s="178" t="s">
        <v>245</v>
      </c>
      <c r="B60" s="146" t="s">
        <v>100</v>
      </c>
      <c r="C60" s="179">
        <f t="shared" si="18"/>
        <v>9575307</v>
      </c>
      <c r="D60" s="179">
        <f t="shared" si="18"/>
        <v>9444981</v>
      </c>
      <c r="E60" s="179">
        <f t="shared" si="18"/>
        <v>9592968</v>
      </c>
      <c r="F60" s="179">
        <f t="shared" si="18"/>
        <v>13028293</v>
      </c>
      <c r="G60" s="179">
        <f t="shared" si="18"/>
        <v>15134172</v>
      </c>
      <c r="H60" s="179">
        <f t="shared" si="18"/>
        <v>11910082</v>
      </c>
      <c r="I60" s="179">
        <f t="shared" si="18"/>
        <v>10146244</v>
      </c>
      <c r="J60" s="179">
        <f t="shared" si="18"/>
        <v>10021051</v>
      </c>
      <c r="K60" s="179">
        <f t="shared" si="18"/>
        <v>8920850</v>
      </c>
      <c r="L60" s="179">
        <f t="shared" si="18"/>
        <v>6822453</v>
      </c>
      <c r="M60" s="179">
        <f t="shared" si="18"/>
        <v>4496073</v>
      </c>
      <c r="N60" s="179">
        <f t="shared" si="18"/>
        <v>6061464</v>
      </c>
      <c r="O60" s="179">
        <f t="shared" si="18"/>
        <v>6195792</v>
      </c>
      <c r="P60" s="179">
        <f t="shared" si="18"/>
        <v>4028100</v>
      </c>
      <c r="Q60" s="179">
        <f t="shared" si="18"/>
        <v>5375730</v>
      </c>
      <c r="R60" s="179">
        <f t="shared" si="18"/>
        <v>4268786</v>
      </c>
      <c r="S60" s="179">
        <f t="shared" si="18"/>
        <v>5424624</v>
      </c>
      <c r="T60" s="179">
        <f t="shared" si="18"/>
        <v>4691084</v>
      </c>
      <c r="U60" s="179">
        <f t="shared" si="18"/>
        <v>4885964</v>
      </c>
      <c r="V60" s="179">
        <f t="shared" si="18"/>
        <v>5656610</v>
      </c>
      <c r="W60" s="179">
        <f t="shared" si="18"/>
        <v>4694261</v>
      </c>
      <c r="X60" s="179">
        <f t="shared" si="18"/>
        <v>5401499</v>
      </c>
      <c r="Y60" s="179">
        <f t="shared" si="18"/>
        <v>11304914</v>
      </c>
      <c r="Z60" s="179">
        <f t="shared" si="18"/>
        <v>12567468</v>
      </c>
      <c r="AA60" s="179">
        <f t="shared" si="18"/>
        <v>11339312</v>
      </c>
      <c r="AB60" s="179">
        <f t="shared" si="18"/>
        <v>14225315</v>
      </c>
      <c r="AC60" s="179">
        <f t="shared" si="18"/>
        <v>17570959</v>
      </c>
      <c r="AD60" s="179">
        <f t="shared" si="18"/>
        <v>13556836</v>
      </c>
      <c r="AE60" s="179">
        <f t="shared" si="18"/>
        <v>16260478</v>
      </c>
      <c r="AF60" s="179">
        <f t="shared" si="18"/>
        <v>16423526</v>
      </c>
      <c r="AG60" s="179">
        <f t="shared" si="18"/>
        <v>18222884</v>
      </c>
      <c r="AH60" s="179">
        <f t="shared" si="18"/>
        <v>11039632</v>
      </c>
      <c r="AI60" s="179">
        <f t="shared" si="18"/>
        <v>11702561</v>
      </c>
      <c r="AJ60" s="179">
        <f t="shared" si="18"/>
        <v>9217352</v>
      </c>
      <c r="AK60" s="179">
        <f t="shared" si="18"/>
        <v>6236853</v>
      </c>
      <c r="AL60" s="179">
        <f t="shared" si="18"/>
        <v>6037158</v>
      </c>
      <c r="AM60" s="179">
        <f t="shared" si="18"/>
        <v>5844933</v>
      </c>
      <c r="AN60" s="179">
        <f t="shared" si="18"/>
        <v>6665347</v>
      </c>
      <c r="AO60" s="179">
        <f t="shared" si="18"/>
        <v>6479179</v>
      </c>
      <c r="AP60" s="179">
        <f t="shared" si="18"/>
        <v>8580187</v>
      </c>
      <c r="AQ60" s="179">
        <f t="shared" si="18"/>
        <v>10434052</v>
      </c>
      <c r="AR60" s="179">
        <f t="shared" si="18"/>
        <v>9498536</v>
      </c>
      <c r="AS60" s="179">
        <f t="shared" si="18"/>
        <v>2475231</v>
      </c>
      <c r="AT60" s="179">
        <f t="shared" si="18"/>
        <v>3402981</v>
      </c>
      <c r="AU60" s="179">
        <f t="shared" si="18"/>
        <v>2892293</v>
      </c>
      <c r="AV60" s="179">
        <f t="shared" si="18"/>
        <v>7818742</v>
      </c>
      <c r="AW60" s="179">
        <f t="shared" si="18"/>
        <v>12806610</v>
      </c>
    </row>
    <row r="61" spans="1:58" ht="15">
      <c r="A61" s="178" t="s">
        <v>245</v>
      </c>
      <c r="B61" s="146" t="s">
        <v>77</v>
      </c>
      <c r="C61" s="179">
        <f t="shared" si="18"/>
        <v>33824439</v>
      </c>
      <c r="D61" s="179">
        <f t="shared" si="18"/>
        <v>48244337</v>
      </c>
      <c r="E61" s="179">
        <f t="shared" si="18"/>
        <v>48597586</v>
      </c>
      <c r="F61" s="179">
        <f t="shared" si="18"/>
        <v>57105765</v>
      </c>
      <c r="G61" s="179">
        <f t="shared" si="18"/>
        <v>56070850</v>
      </c>
      <c r="H61" s="179">
        <f t="shared" si="18"/>
        <v>63155058</v>
      </c>
      <c r="I61" s="179">
        <f t="shared" si="18"/>
        <v>61326910</v>
      </c>
      <c r="J61" s="179">
        <f t="shared" si="18"/>
        <v>62019235</v>
      </c>
      <c r="K61" s="179">
        <f t="shared" si="18"/>
        <v>64445340</v>
      </c>
      <c r="L61" s="179">
        <f t="shared" si="18"/>
        <v>58975868</v>
      </c>
      <c r="M61" s="179">
        <f t="shared" si="18"/>
        <v>60756880</v>
      </c>
      <c r="N61" s="179">
        <f t="shared" si="18"/>
        <v>59982727</v>
      </c>
      <c r="O61" s="179">
        <f t="shared" si="18"/>
        <v>62114930</v>
      </c>
      <c r="P61" s="179">
        <f t="shared" si="18"/>
        <v>61796391</v>
      </c>
      <c r="Q61" s="179">
        <f t="shared" si="18"/>
        <v>49031257</v>
      </c>
      <c r="R61" s="179">
        <f t="shared" si="18"/>
        <v>46292641</v>
      </c>
      <c r="S61" s="179">
        <f t="shared" si="18"/>
        <v>41437657</v>
      </c>
      <c r="T61" s="179">
        <f t="shared" si="18"/>
        <v>50344834</v>
      </c>
      <c r="U61" s="179">
        <f t="shared" si="18"/>
        <v>50786410</v>
      </c>
      <c r="V61" s="179">
        <f t="shared" si="18"/>
        <v>51394132</v>
      </c>
      <c r="W61" s="179">
        <f t="shared" ref="W61:AW61" si="19">W25-W42</f>
        <v>55869104</v>
      </c>
      <c r="X61" s="179">
        <f t="shared" si="19"/>
        <v>59725978</v>
      </c>
      <c r="Y61" s="179">
        <f t="shared" si="19"/>
        <v>62788718</v>
      </c>
      <c r="Z61" s="179">
        <f t="shared" si="19"/>
        <v>66583628</v>
      </c>
      <c r="AA61" s="179">
        <f t="shared" si="19"/>
        <v>57726723</v>
      </c>
      <c r="AB61" s="179">
        <f t="shared" si="19"/>
        <v>61980353</v>
      </c>
      <c r="AC61" s="179">
        <f t="shared" si="19"/>
        <v>60315752</v>
      </c>
      <c r="AD61" s="179">
        <f t="shared" si="19"/>
        <v>57446126</v>
      </c>
      <c r="AE61" s="179">
        <f t="shared" si="19"/>
        <v>61342053</v>
      </c>
      <c r="AF61" s="179">
        <f t="shared" si="19"/>
        <v>90061056</v>
      </c>
      <c r="AG61" s="179">
        <f t="shared" si="19"/>
        <v>118485777</v>
      </c>
      <c r="AH61" s="179">
        <f t="shared" si="19"/>
        <v>93696366</v>
      </c>
      <c r="AI61" s="179">
        <f t="shared" si="19"/>
        <v>82459766</v>
      </c>
      <c r="AJ61" s="179">
        <f t="shared" si="19"/>
        <v>97225445</v>
      </c>
      <c r="AK61" s="179">
        <f t="shared" si="19"/>
        <v>93199664</v>
      </c>
      <c r="AL61" s="179">
        <f t="shared" si="19"/>
        <v>92604525</v>
      </c>
      <c r="AM61" s="179">
        <f t="shared" si="19"/>
        <v>86703753</v>
      </c>
      <c r="AN61" s="179">
        <f t="shared" si="19"/>
        <v>83837811</v>
      </c>
      <c r="AO61" s="179">
        <f t="shared" si="19"/>
        <v>82142114</v>
      </c>
      <c r="AP61" s="179">
        <f t="shared" si="19"/>
        <v>79762149</v>
      </c>
      <c r="AQ61" s="179">
        <f t="shared" si="19"/>
        <v>91107522</v>
      </c>
      <c r="AR61" s="179">
        <f t="shared" si="19"/>
        <v>84541224</v>
      </c>
      <c r="AS61" s="179">
        <f t="shared" si="19"/>
        <v>88110964</v>
      </c>
      <c r="AT61" s="179">
        <f t="shared" si="19"/>
        <v>91694638</v>
      </c>
      <c r="AU61" s="179">
        <f t="shared" si="19"/>
        <v>86924215</v>
      </c>
      <c r="AV61" s="179">
        <f t="shared" si="19"/>
        <v>83700447</v>
      </c>
      <c r="AW61" s="179">
        <f t="shared" si="19"/>
        <v>90538388</v>
      </c>
    </row>
    <row r="62" spans="1:58" ht="15">
      <c r="A62" s="178" t="s">
        <v>245</v>
      </c>
      <c r="B62" s="146" t="s">
        <v>96</v>
      </c>
      <c r="C62" s="179">
        <f t="shared" ref="C62:AW67" si="20">C26-C43</f>
        <v>5008546</v>
      </c>
      <c r="D62" s="179">
        <f t="shared" si="20"/>
        <v>7391520</v>
      </c>
      <c r="E62" s="179">
        <f t="shared" si="20"/>
        <v>7297155</v>
      </c>
      <c r="F62" s="179">
        <f t="shared" si="20"/>
        <v>8787532</v>
      </c>
      <c r="G62" s="179">
        <f t="shared" si="20"/>
        <v>7581595</v>
      </c>
      <c r="H62" s="179">
        <f t="shared" si="20"/>
        <v>7699799</v>
      </c>
      <c r="I62" s="179">
        <f t="shared" si="20"/>
        <v>7435207</v>
      </c>
      <c r="J62" s="179">
        <f t="shared" si="20"/>
        <v>5786240</v>
      </c>
      <c r="K62" s="179">
        <f t="shared" si="20"/>
        <v>4360987</v>
      </c>
      <c r="L62" s="179">
        <f t="shared" si="20"/>
        <v>4202977</v>
      </c>
      <c r="M62" s="179">
        <f t="shared" si="20"/>
        <v>4866847</v>
      </c>
      <c r="N62" s="179">
        <f t="shared" si="20"/>
        <v>4194335</v>
      </c>
      <c r="O62" s="179">
        <f t="shared" si="20"/>
        <v>4234856</v>
      </c>
      <c r="P62" s="179">
        <f t="shared" si="20"/>
        <v>4381495</v>
      </c>
      <c r="Q62" s="179">
        <f t="shared" si="20"/>
        <v>2771646</v>
      </c>
      <c r="R62" s="179">
        <f t="shared" si="20"/>
        <v>968702</v>
      </c>
      <c r="S62" s="179">
        <f t="shared" si="20"/>
        <v>1765231</v>
      </c>
      <c r="T62" s="179">
        <f t="shared" si="20"/>
        <v>2850425</v>
      </c>
      <c r="U62" s="179">
        <f t="shared" si="20"/>
        <v>8313503</v>
      </c>
      <c r="V62" s="179">
        <f t="shared" si="20"/>
        <v>11306347</v>
      </c>
      <c r="W62" s="179">
        <f t="shared" si="20"/>
        <v>10126633</v>
      </c>
      <c r="X62" s="179">
        <f t="shared" si="20"/>
        <v>13004938</v>
      </c>
      <c r="Y62" s="179">
        <f t="shared" si="20"/>
        <v>11827476</v>
      </c>
      <c r="Z62" s="179">
        <f t="shared" si="20"/>
        <v>12121841</v>
      </c>
      <c r="AA62" s="179">
        <f t="shared" si="20"/>
        <v>14440260</v>
      </c>
      <c r="AB62" s="179">
        <f t="shared" si="20"/>
        <v>8700000</v>
      </c>
      <c r="AC62" s="179">
        <f t="shared" si="20"/>
        <v>5982338</v>
      </c>
      <c r="AD62" s="179">
        <f t="shared" si="20"/>
        <v>8175347</v>
      </c>
      <c r="AE62" s="179">
        <f t="shared" si="20"/>
        <v>11076492</v>
      </c>
      <c r="AF62" s="179">
        <f t="shared" si="20"/>
        <v>11709200</v>
      </c>
      <c r="AG62" s="179">
        <f t="shared" si="20"/>
        <v>18676769</v>
      </c>
      <c r="AH62" s="179">
        <f t="shared" si="20"/>
        <v>19528356</v>
      </c>
      <c r="AI62" s="179">
        <f t="shared" si="20"/>
        <v>18447916</v>
      </c>
      <c r="AJ62" s="179">
        <f t="shared" si="20"/>
        <v>26496112</v>
      </c>
      <c r="AK62" s="179">
        <f t="shared" si="20"/>
        <v>25036556</v>
      </c>
      <c r="AL62" s="179">
        <f t="shared" si="20"/>
        <v>26352301</v>
      </c>
      <c r="AM62" s="179">
        <f t="shared" si="20"/>
        <v>25340447</v>
      </c>
      <c r="AN62" s="179">
        <f t="shared" si="20"/>
        <v>28152548</v>
      </c>
      <c r="AO62" s="179">
        <f t="shared" si="20"/>
        <v>26660150</v>
      </c>
      <c r="AP62" s="179">
        <f t="shared" si="20"/>
        <v>28135844</v>
      </c>
      <c r="AQ62" s="179">
        <f t="shared" si="20"/>
        <v>25289900</v>
      </c>
      <c r="AR62" s="179">
        <f t="shared" si="20"/>
        <v>22936754</v>
      </c>
      <c r="AS62" s="179">
        <f t="shared" si="20"/>
        <v>25976450</v>
      </c>
      <c r="AT62" s="179">
        <f t="shared" si="20"/>
        <v>17426682</v>
      </c>
      <c r="AU62" s="179">
        <f t="shared" si="20"/>
        <v>33097544</v>
      </c>
      <c r="AV62" s="179">
        <f t="shared" si="20"/>
        <v>38224247</v>
      </c>
      <c r="AW62" s="179">
        <f t="shared" si="20"/>
        <v>34460788</v>
      </c>
    </row>
    <row r="63" spans="1:58" ht="15">
      <c r="A63" s="178" t="s">
        <v>245</v>
      </c>
      <c r="B63" s="146" t="s">
        <v>51</v>
      </c>
      <c r="C63" s="179">
        <f t="shared" si="20"/>
        <v>46466222</v>
      </c>
      <c r="D63" s="179">
        <f t="shared" si="20"/>
        <v>70621229</v>
      </c>
      <c r="E63" s="179">
        <f t="shared" si="20"/>
        <v>77911149</v>
      </c>
      <c r="F63" s="179">
        <f t="shared" si="20"/>
        <v>100288406</v>
      </c>
      <c r="G63" s="179">
        <f t="shared" si="20"/>
        <v>111496174</v>
      </c>
      <c r="H63" s="179">
        <f t="shared" si="20"/>
        <v>135560544</v>
      </c>
      <c r="I63" s="179">
        <f t="shared" si="20"/>
        <v>133272802</v>
      </c>
      <c r="J63" s="179">
        <f t="shared" si="20"/>
        <v>137927514</v>
      </c>
      <c r="K63" s="179">
        <f t="shared" si="20"/>
        <v>138479538</v>
      </c>
      <c r="L63" s="179">
        <f t="shared" si="20"/>
        <v>129432995</v>
      </c>
      <c r="M63" s="179">
        <f t="shared" si="20"/>
        <v>137246267</v>
      </c>
      <c r="N63" s="179">
        <f t="shared" si="20"/>
        <v>134979024</v>
      </c>
      <c r="O63" s="179">
        <f t="shared" si="20"/>
        <v>137455954</v>
      </c>
      <c r="P63" s="179">
        <f t="shared" si="20"/>
        <v>153685686</v>
      </c>
      <c r="Q63" s="179">
        <f t="shared" si="20"/>
        <v>118872790</v>
      </c>
      <c r="R63" s="179">
        <f t="shared" si="20"/>
        <v>114475679</v>
      </c>
      <c r="S63" s="179">
        <f t="shared" si="20"/>
        <v>109573484</v>
      </c>
      <c r="T63" s="179">
        <f t="shared" si="20"/>
        <v>130032331</v>
      </c>
      <c r="U63" s="179">
        <f t="shared" si="20"/>
        <v>140327200</v>
      </c>
      <c r="V63" s="179">
        <f t="shared" si="20"/>
        <v>128766978</v>
      </c>
      <c r="W63" s="179">
        <f t="shared" si="20"/>
        <v>146603382</v>
      </c>
      <c r="X63" s="179">
        <f t="shared" si="20"/>
        <v>133552850</v>
      </c>
      <c r="Y63" s="179">
        <f t="shared" si="20"/>
        <v>132655982</v>
      </c>
      <c r="Z63" s="179">
        <f t="shared" si="20"/>
        <v>137924190</v>
      </c>
      <c r="AA63" s="179">
        <f t="shared" si="20"/>
        <v>139704266</v>
      </c>
      <c r="AB63" s="179">
        <f t="shared" si="20"/>
        <v>155591593</v>
      </c>
      <c r="AC63" s="179">
        <f t="shared" si="20"/>
        <v>166957192</v>
      </c>
      <c r="AD63" s="179">
        <f t="shared" si="20"/>
        <v>172687242</v>
      </c>
      <c r="AE63" s="179">
        <f t="shared" si="20"/>
        <v>172569812</v>
      </c>
      <c r="AF63" s="179">
        <f t="shared" si="20"/>
        <v>176938275</v>
      </c>
      <c r="AG63" s="179">
        <f t="shared" si="20"/>
        <v>195033502</v>
      </c>
      <c r="AH63" s="179">
        <f t="shared" si="20"/>
        <v>164120576</v>
      </c>
      <c r="AI63" s="179">
        <f t="shared" si="20"/>
        <v>139695280</v>
      </c>
      <c r="AJ63" s="179">
        <f t="shared" si="20"/>
        <v>120890696</v>
      </c>
      <c r="AK63" s="179">
        <f t="shared" si="20"/>
        <v>128708644</v>
      </c>
      <c r="AL63" s="179">
        <f t="shared" si="20"/>
        <v>131565654</v>
      </c>
      <c r="AM63" s="179">
        <f t="shared" si="20"/>
        <v>125381005</v>
      </c>
      <c r="AN63" s="179">
        <f t="shared" si="20"/>
        <v>136976159</v>
      </c>
      <c r="AO63" s="179">
        <f t="shared" si="20"/>
        <v>133347374</v>
      </c>
      <c r="AP63" s="179">
        <f t="shared" si="20"/>
        <v>124483862</v>
      </c>
      <c r="AQ63" s="179">
        <f t="shared" si="20"/>
        <v>129065744</v>
      </c>
      <c r="AR63" s="179">
        <f t="shared" si="20"/>
        <v>137619831</v>
      </c>
      <c r="AS63" s="179">
        <f t="shared" si="20"/>
        <v>116353742</v>
      </c>
      <c r="AT63" s="179">
        <f t="shared" si="20"/>
        <v>133120644</v>
      </c>
      <c r="AU63" s="179">
        <f t="shared" si="20"/>
        <v>117122298</v>
      </c>
      <c r="AV63" s="179">
        <f t="shared" si="20"/>
        <v>122001490</v>
      </c>
      <c r="AW63" s="179">
        <f t="shared" si="20"/>
        <v>145612856</v>
      </c>
    </row>
    <row r="64" spans="1:58" ht="15">
      <c r="A64" s="178" t="s">
        <v>245</v>
      </c>
      <c r="B64" s="146" t="s">
        <v>224</v>
      </c>
      <c r="C64" s="179">
        <f t="shared" si="20"/>
        <v>80337564</v>
      </c>
      <c r="D64" s="179">
        <f t="shared" si="20"/>
        <v>108952923</v>
      </c>
      <c r="E64" s="179">
        <f t="shared" si="20"/>
        <v>119452562</v>
      </c>
      <c r="F64" s="179">
        <f t="shared" si="20"/>
        <v>159299237</v>
      </c>
      <c r="G64" s="179">
        <f t="shared" si="20"/>
        <v>192970805</v>
      </c>
      <c r="H64" s="179">
        <f t="shared" si="20"/>
        <v>187031593</v>
      </c>
      <c r="I64" s="179">
        <f t="shared" si="20"/>
        <v>165126497</v>
      </c>
      <c r="J64" s="179">
        <f t="shared" si="20"/>
        <v>150790324</v>
      </c>
      <c r="K64" s="179">
        <f t="shared" si="20"/>
        <v>133591800</v>
      </c>
      <c r="L64" s="179">
        <f t="shared" si="20"/>
        <v>98103879</v>
      </c>
      <c r="M64" s="179">
        <f t="shared" si="20"/>
        <v>97093437</v>
      </c>
      <c r="N64" s="179">
        <f t="shared" si="20"/>
        <v>82504852</v>
      </c>
      <c r="O64" s="179">
        <f t="shared" si="20"/>
        <v>88431192</v>
      </c>
      <c r="P64" s="179">
        <f t="shared" si="20"/>
        <v>102806912</v>
      </c>
      <c r="Q64" s="179">
        <f t="shared" si="20"/>
        <v>80112643</v>
      </c>
      <c r="R64" s="179">
        <f t="shared" si="20"/>
        <v>66826132</v>
      </c>
      <c r="S64" s="179">
        <f t="shared" si="20"/>
        <v>68385634</v>
      </c>
      <c r="T64" s="179">
        <f t="shared" si="20"/>
        <v>81097978</v>
      </c>
      <c r="U64" s="179">
        <f t="shared" si="20"/>
        <v>85912155</v>
      </c>
      <c r="V64" s="179">
        <f t="shared" si="20"/>
        <v>76045390</v>
      </c>
      <c r="W64" s="179">
        <f t="shared" si="20"/>
        <v>85383363</v>
      </c>
      <c r="X64" s="179">
        <f t="shared" si="20"/>
        <v>88541878</v>
      </c>
      <c r="Y64" s="179">
        <f t="shared" si="20"/>
        <v>97109399</v>
      </c>
      <c r="Z64" s="179">
        <f t="shared" si="20"/>
        <v>99213126</v>
      </c>
      <c r="AA64" s="179">
        <f t="shared" si="20"/>
        <v>86778934</v>
      </c>
      <c r="AB64" s="179">
        <f t="shared" si="20"/>
        <v>81616267</v>
      </c>
      <c r="AC64" s="179">
        <f t="shared" si="20"/>
        <v>82738893</v>
      </c>
      <c r="AD64" s="179">
        <f t="shared" si="20"/>
        <v>91002212</v>
      </c>
      <c r="AE64" s="179">
        <f t="shared" si="20"/>
        <v>89412157</v>
      </c>
      <c r="AF64" s="179">
        <f t="shared" si="20"/>
        <v>84054382</v>
      </c>
      <c r="AG64" s="179">
        <f t="shared" si="20"/>
        <v>77712675</v>
      </c>
      <c r="AH64" s="179">
        <f t="shared" si="20"/>
        <v>55512232</v>
      </c>
      <c r="AI64" s="179">
        <f t="shared" si="20"/>
        <v>61817810</v>
      </c>
      <c r="AJ64" s="179">
        <f t="shared" si="20"/>
        <v>59258270</v>
      </c>
      <c r="AK64" s="179">
        <f t="shared" si="20"/>
        <v>68899229</v>
      </c>
      <c r="AL64" s="179">
        <f t="shared" si="20"/>
        <v>65688327</v>
      </c>
      <c r="AM64" s="179">
        <f t="shared" si="20"/>
        <v>65739627</v>
      </c>
      <c r="AN64" s="179">
        <f t="shared" si="20"/>
        <v>67542414</v>
      </c>
      <c r="AO64" s="179">
        <f t="shared" si="20"/>
        <v>65213047</v>
      </c>
      <c r="AP64" s="179">
        <f t="shared" si="20"/>
        <v>63024451</v>
      </c>
      <c r="AQ64" s="179">
        <f t="shared" si="20"/>
        <v>62021047</v>
      </c>
      <c r="AR64" s="179">
        <f t="shared" si="20"/>
        <v>56594800</v>
      </c>
      <c r="AS64" s="179">
        <f t="shared" si="20"/>
        <v>75740137</v>
      </c>
      <c r="AT64" s="179">
        <f t="shared" si="20"/>
        <v>63542901</v>
      </c>
      <c r="AU64" s="179">
        <f t="shared" si="20"/>
        <v>55176644</v>
      </c>
      <c r="AV64" s="179">
        <f t="shared" si="20"/>
        <v>47612577</v>
      </c>
      <c r="AW64" s="179">
        <f t="shared" si="20"/>
        <v>49889474</v>
      </c>
    </row>
    <row r="65" spans="1:49" ht="15">
      <c r="A65" s="138" t="s">
        <v>245</v>
      </c>
      <c r="B65" s="139" t="s">
        <v>225</v>
      </c>
      <c r="C65" s="140">
        <f t="shared" si="20"/>
        <v>0</v>
      </c>
      <c r="D65" s="140">
        <f t="shared" si="20"/>
        <v>0</v>
      </c>
      <c r="E65" s="140">
        <f t="shared" si="20"/>
        <v>0</v>
      </c>
      <c r="F65" s="140">
        <f t="shared" si="20"/>
        <v>0</v>
      </c>
      <c r="G65" s="140">
        <f t="shared" si="20"/>
        <v>0</v>
      </c>
      <c r="H65" s="140">
        <f t="shared" si="20"/>
        <v>0</v>
      </c>
      <c r="I65" s="140">
        <f t="shared" si="20"/>
        <v>0</v>
      </c>
      <c r="J65" s="140">
        <f t="shared" si="20"/>
        <v>0</v>
      </c>
      <c r="K65" s="140">
        <f t="shared" si="20"/>
        <v>0</v>
      </c>
      <c r="L65" s="140">
        <f t="shared" si="20"/>
        <v>0</v>
      </c>
      <c r="M65" s="140">
        <f t="shared" si="20"/>
        <v>0</v>
      </c>
      <c r="N65" s="140">
        <f t="shared" si="20"/>
        <v>0</v>
      </c>
      <c r="O65" s="140">
        <f t="shared" si="20"/>
        <v>0</v>
      </c>
      <c r="P65" s="140">
        <f t="shared" si="20"/>
        <v>0</v>
      </c>
      <c r="Q65" s="140">
        <f t="shared" si="20"/>
        <v>0</v>
      </c>
      <c r="R65" s="140">
        <f t="shared" si="20"/>
        <v>0</v>
      </c>
      <c r="S65" s="140">
        <f t="shared" si="20"/>
        <v>0</v>
      </c>
      <c r="T65" s="140">
        <f t="shared" si="20"/>
        <v>0</v>
      </c>
      <c r="U65" s="140">
        <f t="shared" si="20"/>
        <v>0</v>
      </c>
      <c r="V65" s="140">
        <f t="shared" si="20"/>
        <v>0</v>
      </c>
      <c r="W65" s="140">
        <f t="shared" si="20"/>
        <v>0</v>
      </c>
      <c r="X65" s="140">
        <f t="shared" si="20"/>
        <v>0</v>
      </c>
      <c r="Y65" s="140">
        <f t="shared" si="20"/>
        <v>0</v>
      </c>
      <c r="Z65" s="140">
        <f t="shared" si="20"/>
        <v>0</v>
      </c>
      <c r="AA65" s="140">
        <f t="shared" si="20"/>
        <v>0</v>
      </c>
      <c r="AB65" s="140">
        <f t="shared" si="20"/>
        <v>0</v>
      </c>
      <c r="AC65" s="140">
        <f t="shared" si="20"/>
        <v>0</v>
      </c>
      <c r="AD65" s="140">
        <f t="shared" si="20"/>
        <v>0</v>
      </c>
      <c r="AE65" s="140">
        <f t="shared" si="20"/>
        <v>0</v>
      </c>
      <c r="AF65" s="140">
        <f t="shared" si="20"/>
        <v>0</v>
      </c>
      <c r="AG65" s="140">
        <f t="shared" si="20"/>
        <v>0</v>
      </c>
      <c r="AH65" s="140">
        <f t="shared" si="20"/>
        <v>0</v>
      </c>
      <c r="AI65" s="140">
        <f t="shared" si="20"/>
        <v>0</v>
      </c>
      <c r="AJ65" s="140">
        <f t="shared" si="20"/>
        <v>0</v>
      </c>
      <c r="AK65" s="140">
        <f t="shared" si="20"/>
        <v>0</v>
      </c>
      <c r="AL65" s="140">
        <f t="shared" si="20"/>
        <v>0</v>
      </c>
      <c r="AM65" s="140">
        <f t="shared" si="20"/>
        <v>0</v>
      </c>
      <c r="AN65" s="140">
        <f t="shared" si="20"/>
        <v>0</v>
      </c>
      <c r="AO65" s="140">
        <f t="shared" si="20"/>
        <v>0</v>
      </c>
      <c r="AP65" s="140">
        <f t="shared" si="20"/>
        <v>0</v>
      </c>
      <c r="AQ65" s="140">
        <f t="shared" si="20"/>
        <v>0</v>
      </c>
      <c r="AR65" s="140">
        <f t="shared" si="20"/>
        <v>0</v>
      </c>
      <c r="AS65" s="140">
        <f t="shared" si="20"/>
        <v>0</v>
      </c>
      <c r="AT65" s="140">
        <f t="shared" si="20"/>
        <v>0</v>
      </c>
      <c r="AU65" s="140">
        <f t="shared" si="20"/>
        <v>0</v>
      </c>
      <c r="AV65" s="140">
        <f t="shared" si="20"/>
        <v>0</v>
      </c>
      <c r="AW65" s="140">
        <f t="shared" si="20"/>
        <v>0</v>
      </c>
    </row>
    <row r="66" spans="1:49" ht="15">
      <c r="A66" s="138" t="s">
        <v>245</v>
      </c>
      <c r="B66" s="139" t="s">
        <v>226</v>
      </c>
      <c r="C66" s="140">
        <f t="shared" si="20"/>
        <v>0</v>
      </c>
      <c r="D66" s="140">
        <f t="shared" si="20"/>
        <v>0</v>
      </c>
      <c r="E66" s="140">
        <f t="shared" si="20"/>
        <v>0</v>
      </c>
      <c r="F66" s="140">
        <f t="shared" si="20"/>
        <v>0</v>
      </c>
      <c r="G66" s="140">
        <f t="shared" si="20"/>
        <v>0</v>
      </c>
      <c r="H66" s="140">
        <f t="shared" si="20"/>
        <v>0</v>
      </c>
      <c r="I66" s="140">
        <f t="shared" si="20"/>
        <v>0</v>
      </c>
      <c r="J66" s="140">
        <f t="shared" si="20"/>
        <v>0</v>
      </c>
      <c r="K66" s="140">
        <f t="shared" si="20"/>
        <v>0</v>
      </c>
      <c r="L66" s="140">
        <f t="shared" si="20"/>
        <v>0</v>
      </c>
      <c r="M66" s="140">
        <f t="shared" si="20"/>
        <v>0</v>
      </c>
      <c r="N66" s="140">
        <f t="shared" si="20"/>
        <v>0</v>
      </c>
      <c r="O66" s="140">
        <f t="shared" si="20"/>
        <v>0</v>
      </c>
      <c r="P66" s="140">
        <f t="shared" si="20"/>
        <v>0</v>
      </c>
      <c r="Q66" s="140">
        <f t="shared" si="20"/>
        <v>0</v>
      </c>
      <c r="R66" s="140">
        <f t="shared" si="20"/>
        <v>0</v>
      </c>
      <c r="S66" s="140">
        <f t="shared" si="20"/>
        <v>0</v>
      </c>
      <c r="T66" s="140">
        <f t="shared" si="20"/>
        <v>0</v>
      </c>
      <c r="U66" s="140">
        <f t="shared" si="20"/>
        <v>0</v>
      </c>
      <c r="V66" s="140">
        <f t="shared" si="20"/>
        <v>0</v>
      </c>
      <c r="W66" s="140">
        <f t="shared" si="20"/>
        <v>0</v>
      </c>
      <c r="X66" s="140">
        <f t="shared" si="20"/>
        <v>0</v>
      </c>
      <c r="Y66" s="140">
        <f t="shared" si="20"/>
        <v>0</v>
      </c>
      <c r="Z66" s="140">
        <f t="shared" si="20"/>
        <v>0</v>
      </c>
      <c r="AA66" s="140">
        <f t="shared" si="20"/>
        <v>0</v>
      </c>
      <c r="AB66" s="140">
        <f t="shared" si="20"/>
        <v>0</v>
      </c>
      <c r="AC66" s="140">
        <f t="shared" si="20"/>
        <v>0</v>
      </c>
      <c r="AD66" s="140">
        <f t="shared" si="20"/>
        <v>0</v>
      </c>
      <c r="AE66" s="140">
        <f t="shared" si="20"/>
        <v>0</v>
      </c>
      <c r="AF66" s="140">
        <f t="shared" si="20"/>
        <v>0</v>
      </c>
      <c r="AG66" s="140">
        <f t="shared" si="20"/>
        <v>0</v>
      </c>
      <c r="AH66" s="140">
        <f t="shared" si="20"/>
        <v>0</v>
      </c>
      <c r="AI66" s="140">
        <f t="shared" si="20"/>
        <v>0</v>
      </c>
      <c r="AJ66" s="140">
        <f t="shared" si="20"/>
        <v>0</v>
      </c>
      <c r="AK66" s="140">
        <f t="shared" si="20"/>
        <v>0</v>
      </c>
      <c r="AL66" s="140">
        <f t="shared" si="20"/>
        <v>940000</v>
      </c>
      <c r="AM66" s="140">
        <f t="shared" si="20"/>
        <v>1504000</v>
      </c>
      <c r="AN66" s="140">
        <f t="shared" si="20"/>
        <v>1692000</v>
      </c>
      <c r="AO66" s="140">
        <f t="shared" si="20"/>
        <v>2444000</v>
      </c>
      <c r="AP66" s="140">
        <f t="shared" si="20"/>
        <v>2632000</v>
      </c>
      <c r="AQ66" s="140">
        <f t="shared" si="20"/>
        <v>2631997</v>
      </c>
      <c r="AR66" s="140">
        <f t="shared" si="20"/>
        <v>2636768</v>
      </c>
      <c r="AS66" s="140">
        <f t="shared" si="20"/>
        <v>3712644</v>
      </c>
      <c r="AT66" s="140">
        <f t="shared" si="20"/>
        <v>3267614</v>
      </c>
      <c r="AU66" s="140">
        <f t="shared" si="20"/>
        <v>2875101</v>
      </c>
      <c r="AV66" s="140">
        <f t="shared" si="20"/>
        <v>3194792</v>
      </c>
      <c r="AW66" s="140">
        <f t="shared" si="20"/>
        <v>3830385</v>
      </c>
    </row>
    <row r="67" spans="1:49" ht="15">
      <c r="A67" s="138" t="s">
        <v>245</v>
      </c>
      <c r="B67" s="139" t="s">
        <v>70</v>
      </c>
      <c r="C67" s="140">
        <f t="shared" si="20"/>
        <v>0</v>
      </c>
      <c r="D67" s="140">
        <f t="shared" si="20"/>
        <v>0</v>
      </c>
      <c r="E67" s="140">
        <f t="shared" si="20"/>
        <v>0</v>
      </c>
      <c r="F67" s="140">
        <f t="shared" si="20"/>
        <v>0</v>
      </c>
      <c r="G67" s="140">
        <f t="shared" si="20"/>
        <v>0</v>
      </c>
      <c r="H67" s="140">
        <f t="shared" si="20"/>
        <v>0</v>
      </c>
      <c r="I67" s="140">
        <f t="shared" si="20"/>
        <v>0</v>
      </c>
      <c r="J67" s="140">
        <f t="shared" si="20"/>
        <v>0</v>
      </c>
      <c r="K67" s="140">
        <f t="shared" si="20"/>
        <v>0</v>
      </c>
      <c r="L67" s="140">
        <f t="shared" si="20"/>
        <v>0</v>
      </c>
      <c r="M67" s="140">
        <f t="shared" si="20"/>
        <v>0</v>
      </c>
      <c r="N67" s="140">
        <f t="shared" si="20"/>
        <v>0</v>
      </c>
      <c r="O67" s="140">
        <f t="shared" si="20"/>
        <v>0</v>
      </c>
      <c r="P67" s="140">
        <f t="shared" si="20"/>
        <v>0</v>
      </c>
      <c r="Q67" s="140">
        <f t="shared" si="20"/>
        <v>0</v>
      </c>
      <c r="R67" s="140">
        <f t="shared" si="20"/>
        <v>0</v>
      </c>
      <c r="S67" s="140">
        <f t="shared" si="20"/>
        <v>0</v>
      </c>
      <c r="T67" s="140">
        <f t="shared" si="20"/>
        <v>0</v>
      </c>
      <c r="U67" s="140">
        <f t="shared" si="20"/>
        <v>0</v>
      </c>
      <c r="V67" s="140">
        <f t="shared" si="20"/>
        <v>0</v>
      </c>
      <c r="W67" s="140">
        <f t="shared" ref="W67:AW67" si="21">W31-W48</f>
        <v>0</v>
      </c>
      <c r="X67" s="140">
        <f t="shared" si="21"/>
        <v>0</v>
      </c>
      <c r="Y67" s="140">
        <f t="shared" si="21"/>
        <v>0</v>
      </c>
      <c r="Z67" s="140">
        <f t="shared" si="21"/>
        <v>0</v>
      </c>
      <c r="AA67" s="140">
        <f t="shared" si="21"/>
        <v>0</v>
      </c>
      <c r="AB67" s="140">
        <f t="shared" si="21"/>
        <v>0</v>
      </c>
      <c r="AC67" s="140">
        <f t="shared" si="21"/>
        <v>0</v>
      </c>
      <c r="AD67" s="140">
        <f t="shared" si="21"/>
        <v>0</v>
      </c>
      <c r="AE67" s="140">
        <f t="shared" si="21"/>
        <v>-2824</v>
      </c>
      <c r="AF67" s="140">
        <f t="shared" si="21"/>
        <v>-2848</v>
      </c>
      <c r="AG67" s="140">
        <f t="shared" si="21"/>
        <v>-1199</v>
      </c>
      <c r="AH67" s="140">
        <f t="shared" si="21"/>
        <v>-8721</v>
      </c>
      <c r="AI67" s="140">
        <f t="shared" si="21"/>
        <v>-7725</v>
      </c>
      <c r="AJ67" s="140">
        <f t="shared" si="21"/>
        <v>-4955</v>
      </c>
      <c r="AK67" s="140">
        <f t="shared" si="21"/>
        <v>-5460</v>
      </c>
      <c r="AL67" s="140">
        <f t="shared" si="21"/>
        <v>-9186</v>
      </c>
      <c r="AM67" s="140">
        <f t="shared" si="21"/>
        <v>-8423</v>
      </c>
      <c r="AN67" s="140">
        <f t="shared" si="21"/>
        <v>-47522</v>
      </c>
      <c r="AO67" s="140">
        <f t="shared" si="21"/>
        <v>-45835</v>
      </c>
      <c r="AP67" s="140">
        <f t="shared" si="21"/>
        <v>-23236</v>
      </c>
      <c r="AQ67" s="140">
        <f t="shared" si="21"/>
        <v>-23237</v>
      </c>
      <c r="AR67" s="140">
        <f t="shared" si="21"/>
        <v>0</v>
      </c>
      <c r="AS67" s="140">
        <f t="shared" si="21"/>
        <v>0</v>
      </c>
      <c r="AT67" s="140">
        <f t="shared" si="21"/>
        <v>0</v>
      </c>
      <c r="AU67" s="140">
        <f t="shared" si="21"/>
        <v>0</v>
      </c>
      <c r="AV67" s="140">
        <f t="shared" si="21"/>
        <v>0</v>
      </c>
      <c r="AW67" s="140">
        <f t="shared" si="21"/>
        <v>0</v>
      </c>
    </row>
    <row r="68" spans="1:49" ht="15">
      <c r="A68" s="138" t="s">
        <v>245</v>
      </c>
      <c r="B68" s="139" t="s">
        <v>227</v>
      </c>
      <c r="C68" s="180">
        <f t="shared" ref="C68:AW69" si="22">C32-C49</f>
        <v>-397650</v>
      </c>
      <c r="D68" s="140">
        <f t="shared" si="22"/>
        <v>-432699</v>
      </c>
      <c r="E68" s="140">
        <f t="shared" si="22"/>
        <v>-476143</v>
      </c>
      <c r="F68" s="140">
        <f t="shared" si="22"/>
        <v>-530132</v>
      </c>
      <c r="G68" s="140">
        <f t="shared" si="22"/>
        <v>-593411</v>
      </c>
      <c r="H68" s="140">
        <f t="shared" si="22"/>
        <v>-643437</v>
      </c>
      <c r="I68" s="140">
        <f t="shared" si="22"/>
        <v>-685084</v>
      </c>
      <c r="J68" s="140">
        <f t="shared" si="22"/>
        <v>-736411</v>
      </c>
      <c r="K68" s="140">
        <f t="shared" si="22"/>
        <v>-731086</v>
      </c>
      <c r="L68" s="140">
        <f t="shared" si="22"/>
        <v>-686570</v>
      </c>
      <c r="M68" s="140">
        <f t="shared" si="22"/>
        <v>-613406</v>
      </c>
      <c r="N68" s="140">
        <f t="shared" si="22"/>
        <v>-594418</v>
      </c>
      <c r="O68" s="140">
        <f t="shared" si="22"/>
        <v>-639873</v>
      </c>
      <c r="P68" s="140">
        <f t="shared" si="22"/>
        <v>-625981</v>
      </c>
      <c r="Q68" s="140">
        <f t="shared" si="22"/>
        <v>-647706</v>
      </c>
      <c r="R68" s="140">
        <f t="shared" si="22"/>
        <v>-763354</v>
      </c>
      <c r="S68" s="140">
        <f t="shared" si="22"/>
        <v>-759288</v>
      </c>
      <c r="T68" s="140">
        <f t="shared" si="22"/>
        <v>-783722</v>
      </c>
      <c r="U68" s="140">
        <f t="shared" si="22"/>
        <v>-785727</v>
      </c>
      <c r="V68" s="140">
        <f t="shared" si="22"/>
        <v>-767902</v>
      </c>
      <c r="W68" s="140">
        <f t="shared" si="22"/>
        <v>-911578</v>
      </c>
      <c r="X68" s="140">
        <f t="shared" si="22"/>
        <v>-909734</v>
      </c>
      <c r="Y68" s="140">
        <f t="shared" si="22"/>
        <v>-857186</v>
      </c>
      <c r="Z68" s="140">
        <f t="shared" si="22"/>
        <v>-844713</v>
      </c>
      <c r="AA68" s="140">
        <f t="shared" si="22"/>
        <v>-891592</v>
      </c>
      <c r="AB68" s="140">
        <f t="shared" si="22"/>
        <v>-1096782</v>
      </c>
      <c r="AC68" s="140">
        <f t="shared" si="22"/>
        <v>-1163069</v>
      </c>
      <c r="AD68" s="140">
        <f t="shared" si="22"/>
        <v>-1103643</v>
      </c>
      <c r="AE68" s="140">
        <f t="shared" si="22"/>
        <v>-1200480</v>
      </c>
      <c r="AF68" s="140">
        <f t="shared" si="22"/>
        <v>-1178367</v>
      </c>
      <c r="AG68" s="140">
        <f t="shared" si="22"/>
        <v>-1231778</v>
      </c>
      <c r="AH68" s="140">
        <f t="shared" si="22"/>
        <v>-1027529</v>
      </c>
      <c r="AI68" s="140">
        <f t="shared" si="22"/>
        <v>-905799</v>
      </c>
      <c r="AJ68" s="140">
        <f t="shared" si="22"/>
        <v>-977882</v>
      </c>
      <c r="AK68" s="140">
        <f t="shared" si="22"/>
        <v>-756137</v>
      </c>
      <c r="AL68" s="140">
        <f t="shared" si="22"/>
        <v>-555652</v>
      </c>
      <c r="AM68" s="140">
        <f t="shared" si="22"/>
        <v>-565485</v>
      </c>
      <c r="AN68" s="140">
        <f t="shared" si="22"/>
        <v>-904276</v>
      </c>
      <c r="AO68" s="140">
        <f t="shared" si="22"/>
        <v>-922446</v>
      </c>
      <c r="AP68" s="140">
        <f t="shared" si="22"/>
        <v>-644273</v>
      </c>
      <c r="AQ68" s="140">
        <f t="shared" si="22"/>
        <v>-781406</v>
      </c>
      <c r="AR68" s="140">
        <f t="shared" si="22"/>
        <v>-1101084</v>
      </c>
      <c r="AS68" s="140">
        <f t="shared" si="22"/>
        <v>-1285842</v>
      </c>
      <c r="AT68" s="140">
        <f t="shared" si="22"/>
        <v>-1153932</v>
      </c>
      <c r="AU68" s="140">
        <f t="shared" si="22"/>
        <v>-1169936</v>
      </c>
      <c r="AV68" s="140">
        <f t="shared" si="22"/>
        <v>-1056349</v>
      </c>
      <c r="AW68" s="140">
        <f t="shared" si="22"/>
        <v>-1074112</v>
      </c>
    </row>
    <row r="69" spans="1:49" ht="16" thickBot="1">
      <c r="A69" s="158" t="s">
        <v>245</v>
      </c>
      <c r="B69" s="159" t="s">
        <v>228</v>
      </c>
      <c r="C69" s="181">
        <f t="shared" si="22"/>
        <v>-2278</v>
      </c>
      <c r="D69" s="182">
        <f t="shared" si="22"/>
        <v>-2479</v>
      </c>
      <c r="E69" s="182">
        <f t="shared" si="22"/>
        <v>-3063</v>
      </c>
      <c r="F69" s="182">
        <f t="shared" si="22"/>
        <v>-4198</v>
      </c>
      <c r="G69" s="182">
        <f t="shared" si="22"/>
        <v>-4495</v>
      </c>
      <c r="H69" s="182">
        <f t="shared" si="22"/>
        <v>-4899</v>
      </c>
      <c r="I69" s="182">
        <f t="shared" si="22"/>
        <v>-5362</v>
      </c>
      <c r="J69" s="182">
        <f t="shared" si="22"/>
        <v>-5639</v>
      </c>
      <c r="K69" s="182">
        <f t="shared" si="22"/>
        <v>-5838</v>
      </c>
      <c r="L69" s="182">
        <f t="shared" si="22"/>
        <v>-5961</v>
      </c>
      <c r="M69" s="182">
        <f t="shared" si="22"/>
        <v>-5173</v>
      </c>
      <c r="N69" s="182">
        <f t="shared" si="22"/>
        <v>-5701</v>
      </c>
      <c r="O69" s="182">
        <f t="shared" si="22"/>
        <v>-5536</v>
      </c>
      <c r="P69" s="182">
        <f t="shared" si="22"/>
        <v>-5388</v>
      </c>
      <c r="Q69" s="182">
        <f t="shared" si="22"/>
        <v>0</v>
      </c>
      <c r="R69" s="182">
        <f t="shared" si="22"/>
        <v>0</v>
      </c>
      <c r="S69" s="182">
        <f t="shared" si="22"/>
        <v>-294559</v>
      </c>
      <c r="T69" s="182">
        <f t="shared" si="22"/>
        <v>-446939</v>
      </c>
      <c r="U69" s="182">
        <f t="shared" si="22"/>
        <v>-459885</v>
      </c>
      <c r="V69" s="182">
        <f t="shared" si="22"/>
        <v>-439145</v>
      </c>
      <c r="W69" s="182">
        <f t="shared" si="22"/>
        <v>-335697</v>
      </c>
      <c r="X69" s="182">
        <f t="shared" si="22"/>
        <v>-362024</v>
      </c>
      <c r="Y69" s="182">
        <f t="shared" si="22"/>
        <v>-405850</v>
      </c>
      <c r="Z69" s="182">
        <f t="shared" si="22"/>
        <v>-416804</v>
      </c>
      <c r="AA69" s="182">
        <f t="shared" si="22"/>
        <v>-427758</v>
      </c>
      <c r="AB69" s="182">
        <f t="shared" si="22"/>
        <v>-387197</v>
      </c>
      <c r="AC69" s="182">
        <f t="shared" si="22"/>
        <v>-346636</v>
      </c>
      <c r="AD69" s="182">
        <f t="shared" si="22"/>
        <v>-306075</v>
      </c>
      <c r="AE69" s="182">
        <f t="shared" si="22"/>
        <v>-351620</v>
      </c>
      <c r="AF69" s="182">
        <f t="shared" si="22"/>
        <v>-380457</v>
      </c>
      <c r="AG69" s="182">
        <f t="shared" si="22"/>
        <v>-318666</v>
      </c>
      <c r="AH69" s="182">
        <f t="shared" si="22"/>
        <v>-256816</v>
      </c>
      <c r="AI69" s="182">
        <f t="shared" si="22"/>
        <v>-222847</v>
      </c>
      <c r="AJ69" s="182">
        <f t="shared" si="22"/>
        <v>-299190</v>
      </c>
      <c r="AK69" s="182">
        <f t="shared" si="22"/>
        <v>-275371</v>
      </c>
      <c r="AL69" s="182">
        <f t="shared" si="22"/>
        <v>-252295</v>
      </c>
      <c r="AM69" s="182">
        <f t="shared" si="22"/>
        <v>-252295</v>
      </c>
      <c r="AN69" s="182">
        <f t="shared" si="22"/>
        <v>-260862</v>
      </c>
      <c r="AO69" s="182">
        <f t="shared" si="22"/>
        <v>-247819</v>
      </c>
      <c r="AP69" s="182">
        <f t="shared" si="22"/>
        <v>-354806</v>
      </c>
      <c r="AQ69" s="182">
        <f t="shared" si="22"/>
        <v>-367693</v>
      </c>
      <c r="AR69" s="182">
        <f t="shared" si="22"/>
        <v>-404977</v>
      </c>
      <c r="AS69" s="182">
        <f t="shared" si="22"/>
        <v>-585757</v>
      </c>
      <c r="AT69" s="182">
        <f t="shared" si="22"/>
        <v>-585699</v>
      </c>
      <c r="AU69" s="182">
        <f t="shared" si="22"/>
        <v>-583942</v>
      </c>
      <c r="AV69" s="182">
        <f t="shared" si="22"/>
        <v>-558832</v>
      </c>
      <c r="AW69" s="182">
        <f t="shared" si="22"/>
        <v>-558832</v>
      </c>
    </row>
    <row r="70" spans="1:49" ht="14" thickTop="1"/>
    <row r="72" spans="1:49" ht="16" thickBot="1">
      <c r="A72" s="120" t="s">
        <v>253</v>
      </c>
    </row>
    <row r="73" spans="1:49" ht="34" thickTop="1" thickBot="1">
      <c r="A73" s="133" t="s">
        <v>136</v>
      </c>
      <c r="B73" s="134" t="s">
        <v>137</v>
      </c>
      <c r="C73" s="135">
        <v>1966</v>
      </c>
      <c r="D73" s="136">
        <v>1967</v>
      </c>
      <c r="E73" s="136">
        <v>1968</v>
      </c>
      <c r="F73" s="136">
        <v>1969</v>
      </c>
      <c r="G73" s="136">
        <v>1970</v>
      </c>
      <c r="H73" s="136">
        <v>1971</v>
      </c>
      <c r="I73" s="136">
        <v>1972</v>
      </c>
      <c r="J73" s="136">
        <v>1973</v>
      </c>
      <c r="K73" s="136">
        <v>1974</v>
      </c>
      <c r="L73" s="136">
        <v>1975</v>
      </c>
      <c r="M73" s="136">
        <v>1976</v>
      </c>
      <c r="N73" s="136">
        <v>1977</v>
      </c>
      <c r="O73" s="136">
        <v>1978</v>
      </c>
      <c r="P73" s="136">
        <v>1979</v>
      </c>
      <c r="Q73" s="136">
        <v>1980</v>
      </c>
      <c r="R73" s="136">
        <v>1981</v>
      </c>
      <c r="S73" s="136">
        <v>1982</v>
      </c>
      <c r="T73" s="136">
        <v>1983</v>
      </c>
      <c r="U73" s="136">
        <v>1984</v>
      </c>
      <c r="V73" s="136">
        <v>1985</v>
      </c>
      <c r="W73" s="136">
        <v>1986</v>
      </c>
      <c r="X73" s="136">
        <v>1987</v>
      </c>
      <c r="Y73" s="136">
        <v>1988</v>
      </c>
      <c r="Z73" s="136">
        <v>1989</v>
      </c>
      <c r="AA73" s="136">
        <v>1990</v>
      </c>
      <c r="AB73" s="136">
        <v>1991</v>
      </c>
      <c r="AC73" s="136">
        <v>1992</v>
      </c>
      <c r="AD73" s="136">
        <v>1993</v>
      </c>
      <c r="AE73" s="136">
        <v>1994</v>
      </c>
      <c r="AF73" s="136">
        <v>1995</v>
      </c>
      <c r="AG73" s="136">
        <v>1996</v>
      </c>
      <c r="AH73" s="136">
        <v>1997</v>
      </c>
      <c r="AI73" s="136">
        <v>1998</v>
      </c>
      <c r="AJ73" s="136">
        <v>1999</v>
      </c>
      <c r="AK73" s="136">
        <v>2000</v>
      </c>
      <c r="AL73" s="136">
        <v>2001</v>
      </c>
      <c r="AM73" s="136">
        <v>2002</v>
      </c>
      <c r="AN73" s="136">
        <v>2003</v>
      </c>
      <c r="AO73" s="136">
        <v>2004</v>
      </c>
      <c r="AP73" s="136">
        <v>2005</v>
      </c>
      <c r="AQ73" s="136">
        <v>2006</v>
      </c>
      <c r="AR73" s="136">
        <v>2007</v>
      </c>
      <c r="AS73" s="136">
        <v>2008</v>
      </c>
      <c r="AT73" s="136">
        <v>2009</v>
      </c>
      <c r="AU73" s="136">
        <v>2010</v>
      </c>
      <c r="AV73" s="136">
        <v>2011</v>
      </c>
      <c r="AW73" s="137">
        <v>2012</v>
      </c>
    </row>
    <row r="74" spans="1:49" ht="15">
      <c r="A74" s="168" t="s">
        <v>245</v>
      </c>
      <c r="B74" s="149" t="s">
        <v>221</v>
      </c>
      <c r="C74" s="169">
        <f>-C56</f>
        <v>185997985</v>
      </c>
      <c r="D74" s="169">
        <f t="shared" ref="D74:AW75" si="23">-D56</f>
        <v>273247012</v>
      </c>
      <c r="E74" s="169">
        <f t="shared" si="23"/>
        <v>282278379</v>
      </c>
      <c r="F74" s="169">
        <f t="shared" si="23"/>
        <v>382445493</v>
      </c>
      <c r="G74" s="169">
        <f t="shared" si="23"/>
        <v>417950029</v>
      </c>
      <c r="H74" s="169">
        <f t="shared" si="23"/>
        <v>426965749</v>
      </c>
      <c r="I74" s="169">
        <f t="shared" si="23"/>
        <v>405622181</v>
      </c>
      <c r="J74" s="169">
        <f t="shared" si="23"/>
        <v>419941430</v>
      </c>
      <c r="K74" s="169">
        <f t="shared" si="23"/>
        <v>395445381</v>
      </c>
      <c r="L74" s="169">
        <f t="shared" si="23"/>
        <v>334381256</v>
      </c>
      <c r="M74" s="169">
        <f t="shared" si="23"/>
        <v>326893057</v>
      </c>
      <c r="N74" s="169">
        <f t="shared" si="23"/>
        <v>323173307</v>
      </c>
      <c r="O74" s="169">
        <f t="shared" si="23"/>
        <v>334801625</v>
      </c>
      <c r="P74" s="169">
        <f t="shared" si="23"/>
        <v>356687766</v>
      </c>
      <c r="Q74" s="169">
        <f t="shared" si="23"/>
        <v>271367717</v>
      </c>
      <c r="R74" s="169">
        <f t="shared" si="23"/>
        <v>244655971</v>
      </c>
      <c r="S74" s="169">
        <f t="shared" si="23"/>
        <v>219934312</v>
      </c>
      <c r="T74" s="169">
        <f t="shared" si="23"/>
        <v>266041514</v>
      </c>
      <c r="U74" s="169">
        <f t="shared" si="23"/>
        <v>287567570</v>
      </c>
      <c r="V74" s="169">
        <f t="shared" si="23"/>
        <v>279743964</v>
      </c>
      <c r="W74" s="169">
        <f t="shared" si="23"/>
        <v>304432563</v>
      </c>
      <c r="X74" s="169">
        <f t="shared" si="23"/>
        <v>296960845</v>
      </c>
      <c r="Y74" s="169">
        <f t="shared" si="23"/>
        <v>310890390</v>
      </c>
      <c r="Z74" s="169">
        <f t="shared" si="23"/>
        <v>323131975</v>
      </c>
      <c r="AA74" s="169">
        <f t="shared" si="23"/>
        <v>308682005</v>
      </c>
      <c r="AB74" s="169">
        <f t="shared" si="23"/>
        <v>331394770</v>
      </c>
      <c r="AC74" s="169">
        <f t="shared" si="23"/>
        <v>355454908</v>
      </c>
      <c r="AD74" s="169">
        <f t="shared" si="23"/>
        <v>356795000</v>
      </c>
      <c r="AE74" s="169">
        <f t="shared" si="23"/>
        <v>365356400</v>
      </c>
      <c r="AF74" s="169">
        <f t="shared" si="23"/>
        <v>412022100</v>
      </c>
      <c r="AG74" s="169">
        <f t="shared" si="23"/>
        <v>448338000</v>
      </c>
      <c r="AH74" s="169">
        <f t="shared" si="23"/>
        <v>365090511</v>
      </c>
      <c r="AI74" s="169">
        <f t="shared" si="23"/>
        <v>340314599</v>
      </c>
      <c r="AJ74" s="169">
        <f t="shared" si="23"/>
        <v>339203135</v>
      </c>
      <c r="AK74" s="169">
        <f t="shared" si="23"/>
        <v>346270013</v>
      </c>
      <c r="AL74" s="169">
        <f t="shared" si="23"/>
        <v>343914817</v>
      </c>
      <c r="AM74" s="169">
        <f t="shared" si="23"/>
        <v>333095071</v>
      </c>
      <c r="AN74" s="169">
        <f t="shared" si="23"/>
        <v>352220912</v>
      </c>
      <c r="AO74" s="169">
        <f t="shared" si="23"/>
        <v>344651751</v>
      </c>
      <c r="AP74" s="169">
        <f t="shared" si="23"/>
        <v>332180848</v>
      </c>
      <c r="AQ74" s="169">
        <f t="shared" si="23"/>
        <v>343530612</v>
      </c>
      <c r="AR74" s="169">
        <f t="shared" si="23"/>
        <v>333386568</v>
      </c>
      <c r="AS74" s="169">
        <f t="shared" si="23"/>
        <v>334639330</v>
      </c>
      <c r="AT74" s="169">
        <f t="shared" si="23"/>
        <v>335634780</v>
      </c>
      <c r="AU74" s="169">
        <f t="shared" si="23"/>
        <v>314168191</v>
      </c>
      <c r="AV74" s="169">
        <f t="shared" si="23"/>
        <v>327286287</v>
      </c>
      <c r="AW74" s="169">
        <f t="shared" si="23"/>
        <v>362386542</v>
      </c>
    </row>
    <row r="75" spans="1:49" ht="15">
      <c r="A75" s="168" t="s">
        <v>245</v>
      </c>
      <c r="B75" s="149" t="s">
        <v>222</v>
      </c>
      <c r="C75" s="169">
        <f>-C57</f>
        <v>0</v>
      </c>
      <c r="D75" s="169">
        <f t="shared" si="23"/>
        <v>0</v>
      </c>
      <c r="E75" s="169">
        <f t="shared" si="23"/>
        <v>0</v>
      </c>
      <c r="F75" s="169">
        <f t="shared" si="23"/>
        <v>0</v>
      </c>
      <c r="G75" s="169">
        <f t="shared" si="23"/>
        <v>0</v>
      </c>
      <c r="H75" s="169">
        <f t="shared" si="23"/>
        <v>0</v>
      </c>
      <c r="I75" s="169">
        <f t="shared" si="23"/>
        <v>0</v>
      </c>
      <c r="J75" s="169">
        <f t="shared" si="23"/>
        <v>0</v>
      </c>
      <c r="K75" s="169">
        <f t="shared" si="23"/>
        <v>-3457958</v>
      </c>
      <c r="L75" s="169">
        <f t="shared" si="23"/>
        <v>-7614121</v>
      </c>
      <c r="M75" s="169">
        <f t="shared" si="23"/>
        <v>6238156</v>
      </c>
      <c r="N75" s="169">
        <f t="shared" si="23"/>
        <v>-5426302</v>
      </c>
      <c r="O75" s="169">
        <f t="shared" si="23"/>
        <v>-8224462</v>
      </c>
      <c r="P75" s="169">
        <f t="shared" si="23"/>
        <v>-2400635</v>
      </c>
      <c r="Q75" s="169">
        <f t="shared" si="23"/>
        <v>23622270</v>
      </c>
      <c r="R75" s="169">
        <f t="shared" si="23"/>
        <v>14693192</v>
      </c>
      <c r="S75" s="169">
        <f t="shared" si="23"/>
        <v>33676426</v>
      </c>
      <c r="T75" s="169">
        <f t="shared" si="23"/>
        <v>27651458</v>
      </c>
      <c r="U75" s="169">
        <f t="shared" si="23"/>
        <v>23113835</v>
      </c>
      <c r="V75" s="169">
        <f t="shared" si="23"/>
        <v>17504277</v>
      </c>
      <c r="W75" s="169">
        <f t="shared" si="23"/>
        <v>25215094</v>
      </c>
      <c r="X75" s="169">
        <f t="shared" si="23"/>
        <v>26158943</v>
      </c>
      <c r="Y75" s="169">
        <f t="shared" si="23"/>
        <v>30378383</v>
      </c>
      <c r="Z75" s="169">
        <f t="shared" si="23"/>
        <v>34123962</v>
      </c>
      <c r="AA75" s="169">
        <f t="shared" si="23"/>
        <v>26874299</v>
      </c>
      <c r="AB75" s="169">
        <f t="shared" si="23"/>
        <v>16785219</v>
      </c>
      <c r="AC75" s="169">
        <f t="shared" si="23"/>
        <v>7427491</v>
      </c>
      <c r="AD75" s="169">
        <f t="shared" si="23"/>
        <v>22531702</v>
      </c>
      <c r="AE75" s="169">
        <f t="shared" si="23"/>
        <v>11718613</v>
      </c>
      <c r="AF75" s="169">
        <f t="shared" si="23"/>
        <v>-2452088</v>
      </c>
      <c r="AG75" s="169">
        <f t="shared" si="23"/>
        <v>4375488</v>
      </c>
      <c r="AH75" s="169">
        <f t="shared" si="23"/>
        <v>3270427</v>
      </c>
      <c r="AI75" s="169">
        <f t="shared" si="23"/>
        <v>968768</v>
      </c>
      <c r="AJ75" s="169">
        <f t="shared" si="23"/>
        <v>8817156</v>
      </c>
      <c r="AK75" s="169">
        <f t="shared" si="23"/>
        <v>5113752</v>
      </c>
      <c r="AL75" s="169">
        <f t="shared" si="23"/>
        <v>2322437</v>
      </c>
      <c r="AM75" s="169">
        <f t="shared" si="23"/>
        <v>2161479</v>
      </c>
      <c r="AN75" s="169">
        <f t="shared" si="23"/>
        <v>1990228</v>
      </c>
      <c r="AO75" s="169">
        <f t="shared" si="23"/>
        <v>196701</v>
      </c>
      <c r="AP75" s="169">
        <f t="shared" si="23"/>
        <v>2357523</v>
      </c>
      <c r="AQ75" s="169">
        <f t="shared" si="23"/>
        <v>3397029</v>
      </c>
      <c r="AR75" s="169">
        <f t="shared" si="23"/>
        <v>645244</v>
      </c>
      <c r="AS75" s="169">
        <f t="shared" si="23"/>
        <v>482422</v>
      </c>
      <c r="AT75" s="169">
        <f t="shared" si="23"/>
        <v>1317982</v>
      </c>
      <c r="AU75" s="169">
        <f t="shared" si="23"/>
        <v>2073495</v>
      </c>
      <c r="AV75" s="169">
        <f t="shared" si="23"/>
        <v>2408184</v>
      </c>
      <c r="AW75" s="169">
        <f t="shared" si="23"/>
        <v>735379</v>
      </c>
    </row>
    <row r="76" spans="1:49" ht="15">
      <c r="A76" s="183" t="s">
        <v>245</v>
      </c>
      <c r="B76" s="184" t="s">
        <v>223</v>
      </c>
      <c r="C76" s="185"/>
      <c r="D76" s="186"/>
      <c r="E76" s="186"/>
      <c r="F76" s="186"/>
      <c r="G76" s="186"/>
      <c r="H76" s="186"/>
      <c r="I76" s="186"/>
      <c r="J76" s="186"/>
      <c r="K76" s="186"/>
      <c r="L76" s="186"/>
      <c r="M76" s="186"/>
      <c r="N76" s="186"/>
      <c r="O76" s="186"/>
      <c r="P76" s="186"/>
      <c r="Q76" s="186"/>
      <c r="R76" s="186"/>
      <c r="S76" s="186"/>
      <c r="T76" s="186"/>
      <c r="U76" s="186"/>
      <c r="V76" s="186"/>
      <c r="W76" s="186"/>
      <c r="X76" s="186"/>
      <c r="Y76" s="186"/>
      <c r="Z76" s="186"/>
      <c r="AA76" s="186"/>
      <c r="AB76" s="186"/>
      <c r="AC76" s="186"/>
      <c r="AD76" s="186"/>
      <c r="AE76" s="186"/>
      <c r="AF76" s="186"/>
      <c r="AG76" s="186"/>
      <c r="AH76" s="186"/>
      <c r="AI76" s="186"/>
      <c r="AJ76" s="186"/>
      <c r="AK76" s="186"/>
      <c r="AL76" s="186"/>
      <c r="AM76" s="186"/>
      <c r="AN76" s="186"/>
      <c r="AO76" s="186"/>
      <c r="AP76" s="186"/>
      <c r="AQ76" s="186"/>
      <c r="AR76" s="186"/>
      <c r="AS76" s="186"/>
      <c r="AT76" s="186"/>
      <c r="AU76" s="186"/>
      <c r="AV76" s="186"/>
      <c r="AW76" s="187"/>
    </row>
    <row r="77" spans="1:49" ht="15">
      <c r="A77" s="138" t="s">
        <v>245</v>
      </c>
      <c r="B77" s="139" t="s">
        <v>75</v>
      </c>
      <c r="C77" s="140"/>
      <c r="D77" s="141"/>
      <c r="E77" s="141"/>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c r="AS77" s="141"/>
      <c r="AT77" s="141"/>
      <c r="AU77" s="141"/>
      <c r="AV77" s="141"/>
      <c r="AW77" s="142"/>
    </row>
    <row r="78" spans="1:49" ht="15">
      <c r="A78" s="138" t="s">
        <v>245</v>
      </c>
      <c r="B78" s="139" t="s">
        <v>100</v>
      </c>
      <c r="C78" s="140"/>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141"/>
      <c r="AR78" s="141"/>
      <c r="AS78" s="141"/>
      <c r="AT78" s="141"/>
      <c r="AU78" s="141"/>
      <c r="AV78" s="141"/>
      <c r="AW78" s="142"/>
    </row>
    <row r="79" spans="1:49" ht="15">
      <c r="A79" s="138" t="s">
        <v>245</v>
      </c>
      <c r="B79" s="139" t="s">
        <v>77</v>
      </c>
      <c r="C79" s="140"/>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1"/>
      <c r="AV79" s="141"/>
      <c r="AW79" s="142"/>
    </row>
    <row r="80" spans="1:49" ht="15">
      <c r="A80" s="138" t="s">
        <v>245</v>
      </c>
      <c r="B80" s="139" t="s">
        <v>96</v>
      </c>
      <c r="C80" s="140"/>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c r="AS80" s="141"/>
      <c r="AT80" s="141"/>
      <c r="AU80" s="141"/>
      <c r="AV80" s="141"/>
      <c r="AW80" s="142"/>
    </row>
    <row r="81" spans="1:54" ht="15">
      <c r="A81" s="138" t="s">
        <v>245</v>
      </c>
      <c r="B81" s="139" t="s">
        <v>51</v>
      </c>
      <c r="C81" s="140"/>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c r="AS81" s="141"/>
      <c r="AT81" s="141"/>
      <c r="AU81" s="141"/>
      <c r="AV81" s="141"/>
      <c r="AW81" s="142"/>
      <c r="AX81" s="157">
        <f t="shared" ref="AX81:AX94" si="24">SUM(C20:AW20)</f>
        <v>0</v>
      </c>
      <c r="AZ81" s="188" t="str">
        <f>Commodities!$E$15</f>
        <v>LPG</v>
      </c>
      <c r="BA81" s="189" t="s">
        <v>93</v>
      </c>
      <c r="BB81" s="189" t="s">
        <v>94</v>
      </c>
    </row>
    <row r="82" spans="1:54" ht="15">
      <c r="A82" s="138" t="s">
        <v>245</v>
      </c>
      <c r="B82" s="139" t="s">
        <v>224</v>
      </c>
      <c r="C82" s="140"/>
      <c r="D82" s="141"/>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c r="AS82" s="141"/>
      <c r="AT82" s="141"/>
      <c r="AU82" s="141"/>
      <c r="AV82" s="141"/>
      <c r="AW82" s="142"/>
      <c r="AX82" s="157">
        <f t="shared" si="24"/>
        <v>114809412</v>
      </c>
      <c r="AZ82" s="188" t="str">
        <f>Commodities!$E$17</f>
        <v>GSL</v>
      </c>
      <c r="BA82" s="190" t="s">
        <v>100</v>
      </c>
      <c r="BB82" s="190" t="s">
        <v>254</v>
      </c>
    </row>
    <row r="83" spans="1:54" ht="15">
      <c r="A83" s="138" t="s">
        <v>245</v>
      </c>
      <c r="B83" s="139" t="s">
        <v>225</v>
      </c>
      <c r="C83" s="140"/>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c r="AS83" s="141"/>
      <c r="AT83" s="141"/>
      <c r="AU83" s="141"/>
      <c r="AV83" s="141"/>
      <c r="AW83" s="142"/>
      <c r="AX83" s="157">
        <f t="shared" si="24"/>
        <v>569513581</v>
      </c>
      <c r="AZ83" s="188" t="str">
        <f>Commodities!$E$18</f>
        <v>KER</v>
      </c>
      <c r="BA83" s="191" t="s">
        <v>97</v>
      </c>
      <c r="BB83" s="192" t="s">
        <v>95</v>
      </c>
    </row>
    <row r="84" spans="1:54" ht="15">
      <c r="A84" s="138" t="s">
        <v>245</v>
      </c>
      <c r="B84" s="139" t="s">
        <v>226</v>
      </c>
      <c r="C84" s="140"/>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c r="AP84" s="141"/>
      <c r="AQ84" s="141"/>
      <c r="AR84" s="141"/>
      <c r="AS84" s="141"/>
      <c r="AT84" s="141"/>
      <c r="AU84" s="141"/>
      <c r="AV84" s="141"/>
      <c r="AW84" s="142"/>
      <c r="AX84" s="157">
        <f t="shared" si="24"/>
        <v>342703860</v>
      </c>
      <c r="AZ84" s="188" t="str">
        <f>Commodities!$E$30</f>
        <v>KRB1</v>
      </c>
      <c r="BA84" s="190" t="s">
        <v>75</v>
      </c>
      <c r="BB84" s="190" t="s">
        <v>75</v>
      </c>
    </row>
    <row r="85" spans="1:54" ht="15">
      <c r="A85" s="138" t="s">
        <v>245</v>
      </c>
      <c r="B85" s="139" t="s">
        <v>70</v>
      </c>
      <c r="C85" s="140"/>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c r="AS85" s="141"/>
      <c r="AT85" s="141"/>
      <c r="AU85" s="141"/>
      <c r="AV85" s="141"/>
      <c r="AW85" s="142"/>
      <c r="AX85" s="157">
        <f t="shared" si="24"/>
        <v>494194739</v>
      </c>
      <c r="AZ85" s="188" t="str">
        <f>Commodities!$E$19</f>
        <v>DSL</v>
      </c>
      <c r="BA85" s="190" t="s">
        <v>76</v>
      </c>
      <c r="BB85" s="190" t="s">
        <v>77</v>
      </c>
    </row>
    <row r="86" spans="1:54" ht="15">
      <c r="A86" s="168" t="s">
        <v>245</v>
      </c>
      <c r="B86" s="149" t="s">
        <v>227</v>
      </c>
      <c r="C86" s="169">
        <f>-C68</f>
        <v>397650</v>
      </c>
      <c r="D86" s="169">
        <f t="shared" ref="D86:AW87" si="25">-D68</f>
        <v>432699</v>
      </c>
      <c r="E86" s="169">
        <f t="shared" si="25"/>
        <v>476143</v>
      </c>
      <c r="F86" s="169">
        <f t="shared" si="25"/>
        <v>530132</v>
      </c>
      <c r="G86" s="169">
        <f t="shared" si="25"/>
        <v>593411</v>
      </c>
      <c r="H86" s="169">
        <f t="shared" si="25"/>
        <v>643437</v>
      </c>
      <c r="I86" s="169">
        <f t="shared" si="25"/>
        <v>685084</v>
      </c>
      <c r="J86" s="169">
        <f t="shared" si="25"/>
        <v>736411</v>
      </c>
      <c r="K86" s="169">
        <f t="shared" si="25"/>
        <v>731086</v>
      </c>
      <c r="L86" s="169">
        <f t="shared" si="25"/>
        <v>686570</v>
      </c>
      <c r="M86" s="169">
        <f t="shared" si="25"/>
        <v>613406</v>
      </c>
      <c r="N86" s="169">
        <f t="shared" si="25"/>
        <v>594418</v>
      </c>
      <c r="O86" s="169">
        <f t="shared" si="25"/>
        <v>639873</v>
      </c>
      <c r="P86" s="169">
        <f t="shared" si="25"/>
        <v>625981</v>
      </c>
      <c r="Q86" s="169">
        <f t="shared" si="25"/>
        <v>647706</v>
      </c>
      <c r="R86" s="169">
        <f t="shared" si="25"/>
        <v>763354</v>
      </c>
      <c r="S86" s="169">
        <f t="shared" si="25"/>
        <v>759288</v>
      </c>
      <c r="T86" s="169">
        <f t="shared" si="25"/>
        <v>783722</v>
      </c>
      <c r="U86" s="169">
        <f t="shared" si="25"/>
        <v>785727</v>
      </c>
      <c r="V86" s="169">
        <f t="shared" si="25"/>
        <v>767902</v>
      </c>
      <c r="W86" s="169">
        <f t="shared" si="25"/>
        <v>911578</v>
      </c>
      <c r="X86" s="169">
        <f t="shared" si="25"/>
        <v>909734</v>
      </c>
      <c r="Y86" s="169">
        <f t="shared" si="25"/>
        <v>857186</v>
      </c>
      <c r="Z86" s="169">
        <f t="shared" si="25"/>
        <v>844713</v>
      </c>
      <c r="AA86" s="169">
        <f t="shared" si="25"/>
        <v>891592</v>
      </c>
      <c r="AB86" s="169">
        <f t="shared" si="25"/>
        <v>1096782</v>
      </c>
      <c r="AC86" s="169">
        <f t="shared" si="25"/>
        <v>1163069</v>
      </c>
      <c r="AD86" s="169">
        <f t="shared" si="25"/>
        <v>1103643</v>
      </c>
      <c r="AE86" s="169">
        <f t="shared" si="25"/>
        <v>1200480</v>
      </c>
      <c r="AF86" s="169">
        <f t="shared" si="25"/>
        <v>1178367</v>
      </c>
      <c r="AG86" s="169">
        <f t="shared" si="25"/>
        <v>1231778</v>
      </c>
      <c r="AH86" s="169">
        <f t="shared" si="25"/>
        <v>1027529</v>
      </c>
      <c r="AI86" s="169">
        <f t="shared" si="25"/>
        <v>905799</v>
      </c>
      <c r="AJ86" s="169">
        <f t="shared" si="25"/>
        <v>977882</v>
      </c>
      <c r="AK86" s="169">
        <f t="shared" si="25"/>
        <v>756137</v>
      </c>
      <c r="AL86" s="169">
        <f t="shared" si="25"/>
        <v>555652</v>
      </c>
      <c r="AM86" s="169">
        <f t="shared" si="25"/>
        <v>565485</v>
      </c>
      <c r="AN86" s="169">
        <f t="shared" si="25"/>
        <v>904276</v>
      </c>
      <c r="AO86" s="169">
        <f t="shared" si="25"/>
        <v>922446</v>
      </c>
      <c r="AP86" s="169">
        <f t="shared" si="25"/>
        <v>644273</v>
      </c>
      <c r="AQ86" s="169">
        <f t="shared" si="25"/>
        <v>781406</v>
      </c>
      <c r="AR86" s="169">
        <f t="shared" si="25"/>
        <v>1101084</v>
      </c>
      <c r="AS86" s="169">
        <f t="shared" si="25"/>
        <v>1285842</v>
      </c>
      <c r="AT86" s="169">
        <f t="shared" si="25"/>
        <v>1153932</v>
      </c>
      <c r="AU86" s="169">
        <f t="shared" si="25"/>
        <v>1169936</v>
      </c>
      <c r="AV86" s="169">
        <f t="shared" si="25"/>
        <v>1056349</v>
      </c>
      <c r="AW86" s="169">
        <f t="shared" si="25"/>
        <v>1074112</v>
      </c>
      <c r="AX86" s="157">
        <f t="shared" si="24"/>
        <v>3248533087</v>
      </c>
      <c r="AZ86" s="188" t="str">
        <f>Commodities!$E$20</f>
        <v>HFO</v>
      </c>
      <c r="BA86" s="190" t="s">
        <v>79</v>
      </c>
      <c r="BB86" s="190" t="s">
        <v>78</v>
      </c>
    </row>
    <row r="87" spans="1:54" ht="16" thickBot="1">
      <c r="A87" s="193" t="s">
        <v>245</v>
      </c>
      <c r="B87" s="194" t="s">
        <v>228</v>
      </c>
      <c r="C87" s="195">
        <f>-C69</f>
        <v>2278</v>
      </c>
      <c r="D87" s="195">
        <f t="shared" si="25"/>
        <v>2479</v>
      </c>
      <c r="E87" s="195">
        <f t="shared" si="25"/>
        <v>3063</v>
      </c>
      <c r="F87" s="195">
        <f t="shared" si="25"/>
        <v>4198</v>
      </c>
      <c r="G87" s="195">
        <f t="shared" si="25"/>
        <v>4495</v>
      </c>
      <c r="H87" s="195">
        <f t="shared" si="25"/>
        <v>4899</v>
      </c>
      <c r="I87" s="195">
        <f t="shared" si="25"/>
        <v>5362</v>
      </c>
      <c r="J87" s="195">
        <f t="shared" si="25"/>
        <v>5639</v>
      </c>
      <c r="K87" s="195">
        <f t="shared" si="25"/>
        <v>5838</v>
      </c>
      <c r="L87" s="195">
        <f t="shared" si="25"/>
        <v>5961</v>
      </c>
      <c r="M87" s="195">
        <f t="shared" si="25"/>
        <v>5173</v>
      </c>
      <c r="N87" s="195">
        <f t="shared" si="25"/>
        <v>5701</v>
      </c>
      <c r="O87" s="195">
        <f t="shared" si="25"/>
        <v>5536</v>
      </c>
      <c r="P87" s="195">
        <f t="shared" si="25"/>
        <v>5388</v>
      </c>
      <c r="Q87" s="195">
        <f t="shared" si="25"/>
        <v>0</v>
      </c>
      <c r="R87" s="195">
        <f t="shared" si="25"/>
        <v>0</v>
      </c>
      <c r="S87" s="195">
        <f t="shared" si="25"/>
        <v>294559</v>
      </c>
      <c r="T87" s="195">
        <f t="shared" si="25"/>
        <v>446939</v>
      </c>
      <c r="U87" s="195">
        <f t="shared" si="25"/>
        <v>459885</v>
      </c>
      <c r="V87" s="195">
        <f t="shared" si="25"/>
        <v>439145</v>
      </c>
      <c r="W87" s="195">
        <f t="shared" si="25"/>
        <v>335697</v>
      </c>
      <c r="X87" s="195">
        <f t="shared" si="25"/>
        <v>362024</v>
      </c>
      <c r="Y87" s="195">
        <f t="shared" si="25"/>
        <v>405850</v>
      </c>
      <c r="Z87" s="195">
        <f t="shared" si="25"/>
        <v>416804</v>
      </c>
      <c r="AA87" s="195">
        <f t="shared" si="25"/>
        <v>427758</v>
      </c>
      <c r="AB87" s="195">
        <f t="shared" si="25"/>
        <v>387197</v>
      </c>
      <c r="AC87" s="195">
        <f t="shared" si="25"/>
        <v>346636</v>
      </c>
      <c r="AD87" s="195">
        <f t="shared" si="25"/>
        <v>306075</v>
      </c>
      <c r="AE87" s="195">
        <f t="shared" si="25"/>
        <v>351620</v>
      </c>
      <c r="AF87" s="195">
        <f t="shared" si="25"/>
        <v>380457</v>
      </c>
      <c r="AG87" s="195">
        <f t="shared" si="25"/>
        <v>318666</v>
      </c>
      <c r="AH87" s="195">
        <f t="shared" si="25"/>
        <v>256816</v>
      </c>
      <c r="AI87" s="195">
        <f t="shared" si="25"/>
        <v>222847</v>
      </c>
      <c r="AJ87" s="195">
        <f t="shared" si="25"/>
        <v>299190</v>
      </c>
      <c r="AK87" s="195">
        <f t="shared" si="25"/>
        <v>275371</v>
      </c>
      <c r="AL87" s="195">
        <f t="shared" si="25"/>
        <v>252295</v>
      </c>
      <c r="AM87" s="195">
        <f t="shared" si="25"/>
        <v>252295</v>
      </c>
      <c r="AN87" s="195">
        <f t="shared" si="25"/>
        <v>260862</v>
      </c>
      <c r="AO87" s="195">
        <f t="shared" si="25"/>
        <v>247819</v>
      </c>
      <c r="AP87" s="195">
        <f t="shared" si="25"/>
        <v>354806</v>
      </c>
      <c r="AQ87" s="195">
        <f t="shared" si="25"/>
        <v>367693</v>
      </c>
      <c r="AR87" s="195">
        <f t="shared" si="25"/>
        <v>404977</v>
      </c>
      <c r="AS87" s="195">
        <f t="shared" si="25"/>
        <v>585757</v>
      </c>
      <c r="AT87" s="195">
        <f t="shared" si="25"/>
        <v>585699</v>
      </c>
      <c r="AU87" s="195">
        <f t="shared" si="25"/>
        <v>583942</v>
      </c>
      <c r="AV87" s="195">
        <f t="shared" si="25"/>
        <v>558832</v>
      </c>
      <c r="AW87" s="195">
        <f t="shared" si="25"/>
        <v>558832</v>
      </c>
      <c r="AX87" s="157">
        <f t="shared" si="24"/>
        <v>658608834</v>
      </c>
      <c r="AZ87" s="196" t="e">
        <f>Commodities!#REF!</f>
        <v>#REF!</v>
      </c>
    </row>
    <row r="88" spans="1:54" ht="14" thickTop="1">
      <c r="AX88" s="157">
        <f t="shared" si="24"/>
        <v>6226864393</v>
      </c>
    </row>
    <row r="89" spans="1:54">
      <c r="AM89" s="116">
        <f>AM68/SUM(AM58:AM67)</f>
        <v>-1.77871862134056E-3</v>
      </c>
      <c r="AN89" s="116">
        <f t="shared" ref="AN89:AW89" si="26">AN68/SUM(AN58:AN67)</f>
        <v>-2.7140929057128003E-3</v>
      </c>
      <c r="AO89" s="116">
        <f t="shared" si="26"/>
        <v>-2.8419199343221431E-3</v>
      </c>
      <c r="AP89" s="116">
        <f t="shared" si="26"/>
        <v>-2.0567272926195058E-3</v>
      </c>
      <c r="AQ89" s="116">
        <f t="shared" si="26"/>
        <v>-2.3829489824817359E-3</v>
      </c>
      <c r="AR89" s="116">
        <f t="shared" si="26"/>
        <v>-3.4305880064370866E-3</v>
      </c>
      <c r="AS89" s="116">
        <f t="shared" si="26"/>
        <v>-4.0465358323819112E-3</v>
      </c>
      <c r="AT89" s="116">
        <f t="shared" si="26"/>
        <v>-3.6183382330474633E-3</v>
      </c>
      <c r="AU89" s="116">
        <f t="shared" si="26"/>
        <v>-3.8355235059163843E-3</v>
      </c>
      <c r="AV89" s="116">
        <f t="shared" si="26"/>
        <v>-3.4223194800251768E-3</v>
      </c>
      <c r="AW89" s="116">
        <f t="shared" si="26"/>
        <v>-3.1167808464225037E-3</v>
      </c>
      <c r="AX89" s="157">
        <f t="shared" si="24"/>
        <v>4308286856</v>
      </c>
    </row>
    <row r="90" spans="1:54">
      <c r="AM90" s="116">
        <f>AM69/SUM(AM58:AM67)</f>
        <v>-7.9358747724717126E-4</v>
      </c>
      <c r="AN90" s="116">
        <f t="shared" ref="AN90:AW90" si="27">AN69/SUM(AN58:AN67)</f>
        <v>-7.8295089504758783E-4</v>
      </c>
      <c r="AO90" s="116">
        <f t="shared" si="27"/>
        <v>-7.6349375053258309E-4</v>
      </c>
      <c r="AP90" s="116">
        <f t="shared" si="27"/>
        <v>-1.1326552312221005E-3</v>
      </c>
      <c r="AQ90" s="116">
        <f t="shared" si="27"/>
        <v>-1.1213039830966962E-3</v>
      </c>
      <c r="AR90" s="116">
        <f t="shared" si="27"/>
        <v>-1.2617649871243901E-3</v>
      </c>
      <c r="AS90" s="116">
        <f t="shared" si="27"/>
        <v>-1.8433732057037576E-3</v>
      </c>
      <c r="AT90" s="116">
        <f t="shared" si="27"/>
        <v>-1.8365528339258001E-3</v>
      </c>
      <c r="AU90" s="116">
        <f t="shared" si="27"/>
        <v>-1.9143981098896225E-3</v>
      </c>
      <c r="AV90" s="116">
        <f t="shared" si="27"/>
        <v>-1.8104827473320179E-3</v>
      </c>
      <c r="AW90" s="116">
        <f t="shared" si="27"/>
        <v>-1.6215784517517545E-3</v>
      </c>
      <c r="AX90" s="157">
        <f t="shared" si="24"/>
        <v>0</v>
      </c>
    </row>
    <row r="91" spans="1:54">
      <c r="AM91" s="1054">
        <f>SUM(AM56:AM57)/SUM(AM58:AM67)</f>
        <v>-1.0545409133953907</v>
      </c>
      <c r="AN91" s="1054">
        <f t="shared" ref="AN91:AW91" si="28">SUM(AN56:AN57)/SUM(AN58:AN67)</f>
        <v>-1.0631288922833775</v>
      </c>
      <c r="AO91" s="1054">
        <f t="shared" si="28"/>
        <v>-1.0624271665321685</v>
      </c>
      <c r="AP91" s="1054">
        <f t="shared" si="28"/>
        <v>-1.0679544200426989</v>
      </c>
      <c r="AQ91" s="1054">
        <f t="shared" si="28"/>
        <v>-1.0579786552902575</v>
      </c>
      <c r="AR91" s="1054">
        <f t="shared" si="28"/>
        <v>-1.0407248929379118</v>
      </c>
      <c r="AS91" s="1054">
        <f t="shared" si="28"/>
        <v>-1.0546258231404826</v>
      </c>
      <c r="AT91" s="1054">
        <f t="shared" si="28"/>
        <v>-1.0565692445270107</v>
      </c>
      <c r="AU91" s="1054">
        <f t="shared" si="28"/>
        <v>-1.0367681823652135</v>
      </c>
      <c r="AV91" s="1054">
        <f t="shared" si="28"/>
        <v>-1.0681316596691963</v>
      </c>
      <c r="AW91" s="1054">
        <f t="shared" si="28"/>
        <v>-1.0536810391178437</v>
      </c>
      <c r="AX91" s="157">
        <f t="shared" si="24"/>
        <v>31362852</v>
      </c>
    </row>
    <row r="92" spans="1:54">
      <c r="AM92" s="1054">
        <f>AM89+AM90+AM91</f>
        <v>-1.0571132194939785</v>
      </c>
      <c r="AN92" s="1054">
        <f t="shared" ref="AN92:AW92" si="29">AN89+AN90+AN91</f>
        <v>-1.0666259360841379</v>
      </c>
      <c r="AO92" s="1054">
        <f t="shared" si="29"/>
        <v>-1.0660325802170232</v>
      </c>
      <c r="AP92" s="1054">
        <f t="shared" si="29"/>
        <v>-1.0711438025665405</v>
      </c>
      <c r="AQ92" s="1054">
        <f t="shared" si="29"/>
        <v>-1.0614829082558359</v>
      </c>
      <c r="AR92" s="1054">
        <f t="shared" si="29"/>
        <v>-1.0454172459314732</v>
      </c>
      <c r="AS92" s="1054">
        <f t="shared" si="29"/>
        <v>-1.0605157321785683</v>
      </c>
      <c r="AT92" s="1054">
        <f t="shared" si="29"/>
        <v>-1.0620241355939839</v>
      </c>
      <c r="AU92" s="1054">
        <f t="shared" si="29"/>
        <v>-1.0425181039810194</v>
      </c>
      <c r="AV92" s="1054">
        <f t="shared" si="29"/>
        <v>-1.0733644618965534</v>
      </c>
      <c r="AW92" s="1054">
        <f t="shared" si="29"/>
        <v>-1.058419398416018</v>
      </c>
      <c r="AX92" s="157">
        <f t="shared" si="24"/>
        <v>0</v>
      </c>
    </row>
    <row r="93" spans="1:54">
      <c r="AM93" s="116">
        <f>1/AM92</f>
        <v>-0.94597246686469627</v>
      </c>
      <c r="AN93" s="116">
        <f t="shared" ref="AN93:AW93" si="30">1/AN92</f>
        <v>-0.93753579973056056</v>
      </c>
      <c r="AO93" s="116">
        <f t="shared" si="30"/>
        <v>-0.93805763403255438</v>
      </c>
      <c r="AP93" s="116">
        <f t="shared" si="30"/>
        <v>-0.93358146460253544</v>
      </c>
      <c r="AQ93" s="116">
        <f t="shared" si="30"/>
        <v>-0.94207828710415986</v>
      </c>
      <c r="AR93" s="116">
        <f t="shared" si="30"/>
        <v>-0.956555866943819</v>
      </c>
      <c r="AS93" s="116">
        <f t="shared" si="30"/>
        <v>-0.94293744982523398</v>
      </c>
      <c r="AT93" s="116">
        <f t="shared" si="30"/>
        <v>-0.94159818641099513</v>
      </c>
      <c r="AU93" s="116">
        <f t="shared" si="30"/>
        <v>-0.95921595623264733</v>
      </c>
      <c r="AV93" s="116">
        <f t="shared" si="30"/>
        <v>-0.93164999913736291</v>
      </c>
      <c r="AW93" s="116">
        <f t="shared" si="30"/>
        <v>-0.94480505695242756</v>
      </c>
      <c r="AX93" s="157">
        <f t="shared" si="24"/>
        <v>0</v>
      </c>
    </row>
    <row r="94" spans="1:54">
      <c r="AX94" s="157">
        <f t="shared" si="24"/>
        <v>0</v>
      </c>
    </row>
    <row r="98" spans="50:50">
      <c r="AX98" s="157">
        <f t="shared" ref="AX98:AX111" si="31">SUM(C37:AW37)</f>
        <v>15696574621</v>
      </c>
    </row>
    <row r="99" spans="50:50">
      <c r="AX99" s="157">
        <f t="shared" si="31"/>
        <v>475580860</v>
      </c>
    </row>
    <row r="100" spans="50:50">
      <c r="AX100" s="157">
        <f t="shared" si="31"/>
        <v>569513581</v>
      </c>
    </row>
    <row r="101" spans="50:50">
      <c r="AX101" s="157">
        <f t="shared" si="31"/>
        <v>12509376</v>
      </c>
    </row>
    <row r="102" spans="50:50">
      <c r="AX102" s="157">
        <f t="shared" si="31"/>
        <v>75815012</v>
      </c>
    </row>
    <row r="103" spans="50:50">
      <c r="AX103" s="157">
        <f t="shared" si="31"/>
        <v>255581</v>
      </c>
    </row>
    <row r="104" spans="50:50">
      <c r="AX104" s="157">
        <f t="shared" si="31"/>
        <v>0</v>
      </c>
    </row>
    <row r="105" spans="50:50">
      <c r="AX105" s="157">
        <f t="shared" si="31"/>
        <v>3708286</v>
      </c>
    </row>
    <row r="106" spans="50:50">
      <c r="AX106" s="157">
        <f t="shared" si="31"/>
        <v>136577074</v>
      </c>
    </row>
    <row r="107" spans="50:50">
      <c r="AX107" s="157">
        <f t="shared" si="31"/>
        <v>0</v>
      </c>
    </row>
    <row r="108" spans="50:50">
      <c r="AX108" s="157">
        <f t="shared" si="31"/>
        <v>1551</v>
      </c>
    </row>
    <row r="109" spans="50:50">
      <c r="AX109" s="157">
        <f t="shared" si="31"/>
        <v>191171</v>
      </c>
    </row>
    <row r="110" spans="50:50">
      <c r="AX110" s="157">
        <f t="shared" si="31"/>
        <v>39165062</v>
      </c>
    </row>
    <row r="111" spans="50:50">
      <c r="AX111" s="157">
        <f t="shared" si="31"/>
        <v>11813355</v>
      </c>
    </row>
  </sheetData>
  <mergeCells count="8">
    <mergeCell ref="I1:I2"/>
    <mergeCell ref="J1:J2"/>
    <mergeCell ref="A1:A2"/>
    <mergeCell ref="B1:B2"/>
    <mergeCell ref="C1:C2"/>
    <mergeCell ref="D1:D2"/>
    <mergeCell ref="E1:F1"/>
    <mergeCell ref="G1:H1"/>
  </mergeCell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65"/>
  <sheetViews>
    <sheetView zoomScale="70" zoomScaleNormal="70" workbookViewId="0">
      <selection activeCell="L12" sqref="L12"/>
    </sheetView>
  </sheetViews>
  <sheetFormatPr baseColWidth="10" defaultColWidth="8.5" defaultRowHeight="15"/>
  <cols>
    <col min="1" max="2" width="40.5" style="648" customWidth="1"/>
    <col min="3" max="3" width="6.1640625" style="648" customWidth="1"/>
    <col min="4" max="4" width="25.5" style="648" customWidth="1"/>
    <col min="5" max="5" width="40.5" style="648" customWidth="1"/>
    <col min="6" max="13" width="7" style="648" customWidth="1"/>
    <col min="14" max="16384" width="8.5" style="648"/>
  </cols>
  <sheetData>
    <row r="1" spans="1:13">
      <c r="A1" s="648" t="s">
        <v>960</v>
      </c>
    </row>
    <row r="2" spans="1:13" ht="19">
      <c r="A2" s="653" t="s">
        <v>959</v>
      </c>
    </row>
    <row r="4" spans="1:13">
      <c r="E4" s="649" t="s">
        <v>900</v>
      </c>
    </row>
    <row r="5" spans="1:13">
      <c r="E5" s="649" t="s">
        <v>958</v>
      </c>
      <c r="F5" s="649" t="s">
        <v>957</v>
      </c>
      <c r="G5" s="649" t="s">
        <v>956</v>
      </c>
      <c r="H5" s="649" t="s">
        <v>955</v>
      </c>
      <c r="I5" s="649" t="s">
        <v>954</v>
      </c>
      <c r="J5" s="649" t="s">
        <v>953</v>
      </c>
      <c r="K5" s="649" t="s">
        <v>952</v>
      </c>
      <c r="L5" s="649" t="s">
        <v>951</v>
      </c>
      <c r="M5" s="649" t="s">
        <v>950</v>
      </c>
    </row>
    <row r="6" spans="1:13">
      <c r="A6" s="649" t="s">
        <v>949</v>
      </c>
      <c r="B6" s="649" t="s">
        <v>948</v>
      </c>
      <c r="C6" s="649" t="s">
        <v>945</v>
      </c>
      <c r="D6" s="649" t="s">
        <v>944</v>
      </c>
      <c r="E6" s="650">
        <v>260</v>
      </c>
      <c r="F6" s="650">
        <v>292</v>
      </c>
      <c r="G6" s="650">
        <v>272</v>
      </c>
      <c r="H6" s="650">
        <v>362</v>
      </c>
      <c r="I6" s="650">
        <v>356</v>
      </c>
      <c r="J6" s="650">
        <v>367</v>
      </c>
      <c r="K6" s="650">
        <v>315</v>
      </c>
      <c r="L6" s="650">
        <v>221</v>
      </c>
      <c r="M6" s="652" t="s">
        <v>937</v>
      </c>
    </row>
    <row r="7" spans="1:13">
      <c r="C7" s="649" t="s">
        <v>943</v>
      </c>
      <c r="D7" s="649" t="s">
        <v>942</v>
      </c>
      <c r="E7" s="650">
        <v>91</v>
      </c>
      <c r="F7" s="650">
        <v>99</v>
      </c>
      <c r="G7" s="650">
        <v>85</v>
      </c>
      <c r="H7" s="650">
        <v>107</v>
      </c>
      <c r="I7" s="650">
        <v>104</v>
      </c>
      <c r="J7" s="650">
        <v>88</v>
      </c>
      <c r="K7" s="650">
        <v>83</v>
      </c>
      <c r="L7" s="650">
        <v>73</v>
      </c>
      <c r="M7" s="652" t="s">
        <v>937</v>
      </c>
    </row>
    <row r="8" spans="1:13">
      <c r="C8" s="649" t="s">
        <v>941</v>
      </c>
      <c r="D8" s="649" t="s">
        <v>940</v>
      </c>
      <c r="E8" s="650">
        <v>3</v>
      </c>
      <c r="F8" s="650">
        <v>3</v>
      </c>
      <c r="G8" s="650">
        <v>3</v>
      </c>
      <c r="H8" s="650">
        <v>3</v>
      </c>
      <c r="I8" s="650">
        <v>3</v>
      </c>
      <c r="J8" s="650">
        <v>3</v>
      </c>
      <c r="K8" s="650">
        <v>3</v>
      </c>
      <c r="L8" s="650">
        <v>2</v>
      </c>
      <c r="M8" s="652" t="s">
        <v>937</v>
      </c>
    </row>
    <row r="9" spans="1:13">
      <c r="C9" s="649" t="s">
        <v>939</v>
      </c>
      <c r="D9" s="649" t="s">
        <v>938</v>
      </c>
      <c r="E9" s="650">
        <v>0</v>
      </c>
      <c r="F9" s="650">
        <v>0</v>
      </c>
      <c r="G9" s="650">
        <v>0</v>
      </c>
      <c r="H9" s="650">
        <v>0</v>
      </c>
      <c r="I9" s="650">
        <v>0</v>
      </c>
      <c r="J9" s="650">
        <v>0</v>
      </c>
      <c r="K9" s="650">
        <v>0</v>
      </c>
      <c r="L9" s="650">
        <v>0</v>
      </c>
      <c r="M9" s="652" t="s">
        <v>937</v>
      </c>
    </row>
    <row r="10" spans="1:13">
      <c r="C10" s="649" t="s">
        <v>936</v>
      </c>
      <c r="D10" s="649" t="s">
        <v>935</v>
      </c>
      <c r="E10" s="652" t="s">
        <v>932</v>
      </c>
      <c r="F10" s="652" t="s">
        <v>932</v>
      </c>
      <c r="G10" s="652" t="s">
        <v>932</v>
      </c>
      <c r="H10" s="652" t="s">
        <v>932</v>
      </c>
      <c r="I10" s="652" t="s">
        <v>932</v>
      </c>
      <c r="J10" s="652" t="s">
        <v>932</v>
      </c>
      <c r="K10" s="652" t="s">
        <v>932</v>
      </c>
      <c r="L10" s="652" t="s">
        <v>932</v>
      </c>
      <c r="M10" s="652" t="s">
        <v>932</v>
      </c>
    </row>
    <row r="11" spans="1:13">
      <c r="C11" s="649" t="s">
        <v>934</v>
      </c>
      <c r="D11" s="649" t="s">
        <v>933</v>
      </c>
      <c r="E11" s="652" t="s">
        <v>932</v>
      </c>
      <c r="F11" s="652" t="s">
        <v>932</v>
      </c>
      <c r="G11" s="652" t="s">
        <v>932</v>
      </c>
      <c r="H11" s="652" t="s">
        <v>932</v>
      </c>
      <c r="I11" s="652" t="s">
        <v>932</v>
      </c>
      <c r="J11" s="652" t="s">
        <v>932</v>
      </c>
      <c r="K11" s="652" t="s">
        <v>932</v>
      </c>
      <c r="L11" s="652" t="s">
        <v>932</v>
      </c>
      <c r="M11" s="652" t="s">
        <v>932</v>
      </c>
    </row>
    <row r="12" spans="1:13">
      <c r="A12" s="649" t="s">
        <v>947</v>
      </c>
      <c r="B12" s="649" t="s">
        <v>946</v>
      </c>
      <c r="C12" s="649" t="s">
        <v>945</v>
      </c>
      <c r="D12" s="649" t="s">
        <v>944</v>
      </c>
      <c r="E12" s="650">
        <v>15555</v>
      </c>
      <c r="F12" s="650">
        <v>15444</v>
      </c>
      <c r="G12" s="650">
        <v>15491</v>
      </c>
      <c r="H12" s="650">
        <v>15315</v>
      </c>
      <c r="I12" s="650">
        <v>15918</v>
      </c>
      <c r="J12" s="650">
        <v>16101</v>
      </c>
      <c r="K12" s="650">
        <v>15579</v>
      </c>
      <c r="L12" s="650">
        <v>15117</v>
      </c>
      <c r="M12" s="652" t="s">
        <v>937</v>
      </c>
    </row>
    <row r="13" spans="1:13">
      <c r="C13" s="649" t="s">
        <v>943</v>
      </c>
      <c r="D13" s="649" t="s">
        <v>942</v>
      </c>
      <c r="E13" s="650">
        <v>809</v>
      </c>
      <c r="F13" s="650">
        <v>725</v>
      </c>
      <c r="G13" s="650">
        <v>698</v>
      </c>
      <c r="H13" s="650">
        <v>707</v>
      </c>
      <c r="I13" s="650">
        <v>845</v>
      </c>
      <c r="J13" s="650">
        <v>772</v>
      </c>
      <c r="K13" s="650">
        <v>761</v>
      </c>
      <c r="L13" s="650">
        <v>760</v>
      </c>
      <c r="M13" s="652" t="s">
        <v>937</v>
      </c>
    </row>
    <row r="14" spans="1:13">
      <c r="C14" s="649" t="s">
        <v>941</v>
      </c>
      <c r="D14" s="649" t="s">
        <v>940</v>
      </c>
      <c r="E14" s="650">
        <v>17</v>
      </c>
      <c r="F14" s="650">
        <v>17</v>
      </c>
      <c r="G14" s="650">
        <v>16</v>
      </c>
      <c r="H14" s="650">
        <v>16</v>
      </c>
      <c r="I14" s="650">
        <v>16</v>
      </c>
      <c r="J14" s="650">
        <v>15</v>
      </c>
      <c r="K14" s="650">
        <v>14</v>
      </c>
      <c r="L14" s="650">
        <v>13</v>
      </c>
      <c r="M14" s="652" t="s">
        <v>937</v>
      </c>
    </row>
    <row r="15" spans="1:13">
      <c r="C15" s="649" t="s">
        <v>939</v>
      </c>
      <c r="D15" s="649" t="s">
        <v>938</v>
      </c>
      <c r="E15" s="650">
        <v>13</v>
      </c>
      <c r="F15" s="650">
        <v>12</v>
      </c>
      <c r="G15" s="650">
        <v>11</v>
      </c>
      <c r="H15" s="650">
        <v>10</v>
      </c>
      <c r="I15" s="650">
        <v>8</v>
      </c>
      <c r="J15" s="650">
        <v>6</v>
      </c>
      <c r="K15" s="650">
        <v>3</v>
      </c>
      <c r="L15" s="650">
        <v>0</v>
      </c>
      <c r="M15" s="652" t="s">
        <v>937</v>
      </c>
    </row>
    <row r="16" spans="1:13">
      <c r="C16" s="649" t="s">
        <v>936</v>
      </c>
      <c r="D16" s="649" t="s">
        <v>935</v>
      </c>
      <c r="E16" s="652" t="s">
        <v>932</v>
      </c>
      <c r="F16" s="652" t="s">
        <v>932</v>
      </c>
      <c r="G16" s="652" t="s">
        <v>932</v>
      </c>
      <c r="H16" s="652" t="s">
        <v>932</v>
      </c>
      <c r="I16" s="652" t="s">
        <v>932</v>
      </c>
      <c r="J16" s="652" t="s">
        <v>932</v>
      </c>
      <c r="K16" s="652" t="s">
        <v>932</v>
      </c>
      <c r="L16" s="652" t="s">
        <v>932</v>
      </c>
      <c r="M16" s="652" t="s">
        <v>932</v>
      </c>
    </row>
    <row r="17" spans="1:13">
      <c r="C17" s="649" t="s">
        <v>934</v>
      </c>
      <c r="D17" s="649" t="s">
        <v>933</v>
      </c>
      <c r="E17" s="652" t="s">
        <v>932</v>
      </c>
      <c r="F17" s="652" t="s">
        <v>932</v>
      </c>
      <c r="G17" s="652" t="s">
        <v>932</v>
      </c>
      <c r="H17" s="652" t="s">
        <v>932</v>
      </c>
      <c r="I17" s="652" t="s">
        <v>932</v>
      </c>
      <c r="J17" s="652" t="s">
        <v>932</v>
      </c>
      <c r="K17" s="652" t="s">
        <v>932</v>
      </c>
      <c r="L17" s="652" t="s">
        <v>932</v>
      </c>
      <c r="M17" s="652" t="s">
        <v>932</v>
      </c>
    </row>
    <row r="19" spans="1:13" ht="96">
      <c r="A19" s="651" t="s">
        <v>931</v>
      </c>
      <c r="B19" s="648" t="s">
        <v>930</v>
      </c>
    </row>
    <row r="20" spans="1:13" ht="32">
      <c r="A20" s="651" t="s">
        <v>929</v>
      </c>
      <c r="B20" s="648">
        <v>4.1868000000000002E-2</v>
      </c>
    </row>
    <row r="21" spans="1:13" ht="16">
      <c r="A21" s="651" t="s">
        <v>928</v>
      </c>
      <c r="B21" s="649" t="s">
        <v>927</v>
      </c>
      <c r="D21" s="649">
        <v>2010</v>
      </c>
      <c r="G21" s="648" t="s">
        <v>926</v>
      </c>
    </row>
    <row r="22" spans="1:13" ht="16">
      <c r="A22" s="651" t="s">
        <v>925</v>
      </c>
      <c r="D22" s="648" t="s">
        <v>919</v>
      </c>
      <c r="E22" s="648" t="s">
        <v>924</v>
      </c>
      <c r="G22" s="648">
        <f>E12/(D23+D24)</f>
        <v>1.993736169296463</v>
      </c>
    </row>
    <row r="23" spans="1:13">
      <c r="B23" s="649" t="s">
        <v>910</v>
      </c>
      <c r="D23" s="650">
        <f>'Eurostat_EB-2010'!X4*B20</f>
        <v>3815.7599999999998</v>
      </c>
      <c r="E23" s="648">
        <f>D23*$G$22</f>
        <v>7607.6187253546714</v>
      </c>
    </row>
    <row r="24" spans="1:13">
      <c r="A24" s="648" t="s">
        <v>923</v>
      </c>
      <c r="B24" s="649" t="s">
        <v>305</v>
      </c>
      <c r="D24" s="650">
        <f>'Eurostat_EB-2010'!AU4*B20</f>
        <v>3986.1749999999997</v>
      </c>
      <c r="E24" s="648">
        <f>D24*$G$22</f>
        <v>7947.3812746453277</v>
      </c>
    </row>
    <row r="25" spans="1:13">
      <c r="A25" s="648" t="s">
        <v>903</v>
      </c>
      <c r="B25" s="648" t="s">
        <v>922</v>
      </c>
    </row>
    <row r="26" spans="1:13">
      <c r="A26" s="648" t="s">
        <v>921</v>
      </c>
    </row>
    <row r="27" spans="1:13">
      <c r="B27" s="649" t="s">
        <v>920</v>
      </c>
      <c r="D27" s="648" t="s">
        <v>919</v>
      </c>
    </row>
    <row r="28" spans="1:13">
      <c r="A28" s="648" t="s">
        <v>615</v>
      </c>
      <c r="B28" s="648" t="s">
        <v>247</v>
      </c>
      <c r="D28" s="650">
        <f>'Eurostat_EB-2010'!BT120*B20</f>
        <v>19.454000000000001</v>
      </c>
    </row>
    <row r="29" spans="1:13">
      <c r="A29" s="648" t="s">
        <v>918</v>
      </c>
      <c r="B29" s="648" t="s">
        <v>51</v>
      </c>
      <c r="D29" s="650">
        <f>'Eurostat_EB-2010'!AL120*B20</f>
        <v>8.6230000000000011</v>
      </c>
    </row>
    <row r="30" spans="1:13">
      <c r="B30" s="648" t="s">
        <v>60</v>
      </c>
      <c r="D30" s="650">
        <f>'Eurostat_EB-2010'!AU120*B20</f>
        <v>153.07</v>
      </c>
    </row>
    <row r="31" spans="1:13">
      <c r="A31" s="648" t="s">
        <v>917</v>
      </c>
    </row>
    <row r="32" spans="1:13">
      <c r="A32" s="648" t="s">
        <v>903</v>
      </c>
      <c r="B32" s="648" t="s">
        <v>916</v>
      </c>
      <c r="D32" s="648">
        <f>SUM(E23:E24)/D28</f>
        <v>799.57849285493978</v>
      </c>
    </row>
    <row r="33" spans="1:6">
      <c r="A33" s="648" t="s">
        <v>915</v>
      </c>
    </row>
    <row r="34" spans="1:6">
      <c r="A34" s="648" t="s">
        <v>914</v>
      </c>
    </row>
    <row r="35" spans="1:6">
      <c r="A35" s="648" t="s">
        <v>913</v>
      </c>
      <c r="D35" s="649">
        <v>2010</v>
      </c>
      <c r="E35" s="649">
        <v>2011</v>
      </c>
      <c r="F35" s="649">
        <v>2012</v>
      </c>
    </row>
    <row r="36" spans="1:6">
      <c r="B36" s="649" t="s">
        <v>912</v>
      </c>
      <c r="D36" s="648">
        <f>'Eurostat_EB-2010'!H14*B20</f>
        <v>7597.5609999999997</v>
      </c>
      <c r="E36" s="648">
        <f>'Eurostat_EB-2011'!H14*B20</f>
        <v>7439.0239999999994</v>
      </c>
      <c r="F36" s="648">
        <f>'Eurostat_EB-2012'!H14*B20</f>
        <v>7506.0630000000001</v>
      </c>
    </row>
    <row r="37" spans="1:6">
      <c r="A37" s="648" t="s">
        <v>911</v>
      </c>
      <c r="B37" s="648" t="s">
        <v>910</v>
      </c>
      <c r="D37" s="648">
        <f>'Eurostat_EB-2010'!X14*B20</f>
        <v>3310.8470000000002</v>
      </c>
      <c r="E37" s="648">
        <f>'Eurostat_EB-2011'!X14*B20</f>
        <v>3096.1860000000001</v>
      </c>
      <c r="F37" s="648">
        <f>'Eurostat_EB-2012'!X14*B20</f>
        <v>2710.27</v>
      </c>
    </row>
    <row r="38" spans="1:6">
      <c r="A38" s="648" t="s">
        <v>909</v>
      </c>
      <c r="B38" s="648" t="s">
        <v>305</v>
      </c>
      <c r="D38" s="648">
        <f>'Eurostat_EB-2010'!AU14*B20</f>
        <v>3663.0249999999996</v>
      </c>
      <c r="E38" s="648">
        <f>'Eurostat_EB-2011'!AU14*B20</f>
        <v>3553.306</v>
      </c>
      <c r="F38" s="648">
        <f>'Eurostat_EB-2012'!AU14*B20</f>
        <v>4027.2530000000002</v>
      </c>
    </row>
    <row r="39" spans="1:6">
      <c r="A39" s="648" t="s">
        <v>908</v>
      </c>
    </row>
    <row r="43" spans="1:6">
      <c r="A43" s="648" t="s">
        <v>907</v>
      </c>
    </row>
    <row r="45" spans="1:6">
      <c r="A45" s="648" t="s">
        <v>906</v>
      </c>
    </row>
    <row r="46" spans="1:6">
      <c r="A46" s="648" t="s">
        <v>903</v>
      </c>
    </row>
    <row r="47" spans="1:6">
      <c r="A47" s="648" t="s">
        <v>905</v>
      </c>
    </row>
    <row r="48" spans="1:6">
      <c r="A48" s="648" t="s">
        <v>904</v>
      </c>
    </row>
    <row r="49" spans="1:1">
      <c r="A49" s="648" t="s">
        <v>903</v>
      </c>
    </row>
    <row r="50" spans="1:1">
      <c r="A50" s="648" t="s">
        <v>902</v>
      </c>
    </row>
    <row r="52" spans="1:1">
      <c r="A52" s="648" t="s">
        <v>901</v>
      </c>
    </row>
    <row r="53" spans="1:1">
      <c r="A53" s="648" t="s">
        <v>900</v>
      </c>
    </row>
    <row r="54" spans="1:1">
      <c r="A54" s="648" t="s">
        <v>899</v>
      </c>
    </row>
    <row r="61" spans="1:1">
      <c r="A61" s="648" t="s">
        <v>898</v>
      </c>
    </row>
    <row r="62" spans="1:1">
      <c r="A62" s="648" t="s">
        <v>897</v>
      </c>
    </row>
    <row r="64" spans="1:1">
      <c r="A64" s="648" t="s">
        <v>896</v>
      </c>
    </row>
    <row r="65" spans="1:1">
      <c r="A65" s="648" t="s">
        <v>895</v>
      </c>
    </row>
  </sheetData>
  <pageMargins left="0.75" right="0.75" top="0.75" bottom="0.5" header="0.5" footer="0.75"/>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pageSetUpPr fitToPage="1"/>
  </sheetPr>
  <dimension ref="A1:BU179"/>
  <sheetViews>
    <sheetView zoomScale="115" zoomScaleNormal="115" workbookViewId="0">
      <pane xSplit="7" ySplit="2" topLeftCell="AN3" activePane="bottomRight" state="frozen"/>
      <selection activeCell="D27" sqref="D27"/>
      <selection pane="topRight" activeCell="D27" sqref="D27"/>
      <selection pane="bottomLeft" activeCell="D27" sqref="D27"/>
      <selection pane="bottomRight" activeCell="AP124" sqref="AP124"/>
    </sheetView>
  </sheetViews>
  <sheetFormatPr baseColWidth="10" defaultColWidth="8.5" defaultRowHeight="11"/>
  <cols>
    <col min="1" max="3" width="2" style="654" customWidth="1"/>
    <col min="4" max="4" width="2.5" style="654" customWidth="1"/>
    <col min="5" max="5" width="45.5" style="654" customWidth="1"/>
    <col min="6" max="6" width="7.1640625" style="655" customWidth="1"/>
    <col min="7" max="7" width="0.5" style="655" customWidth="1"/>
    <col min="8" max="22" width="10.5" style="655" customWidth="1"/>
    <col min="23" max="45" width="10.5" style="654" customWidth="1"/>
    <col min="46" max="51" width="9.5" style="654" customWidth="1"/>
    <col min="52" max="52" width="10.5" style="655" customWidth="1"/>
    <col min="53" max="57" width="9.5" style="654" customWidth="1"/>
    <col min="58" max="256" width="8.5" style="654"/>
    <col min="257" max="259" width="2" style="654" customWidth="1"/>
    <col min="260" max="260" width="2.5" style="654" customWidth="1"/>
    <col min="261" max="261" width="45.5" style="654" customWidth="1"/>
    <col min="262" max="262" width="7.1640625" style="654" customWidth="1"/>
    <col min="263" max="263" width="0.5" style="654" customWidth="1"/>
    <col min="264" max="301" width="10.5" style="654" customWidth="1"/>
    <col min="302" max="307" width="9.5" style="654" customWidth="1"/>
    <col min="308" max="308" width="10.5" style="654" customWidth="1"/>
    <col min="309" max="313" width="9.5" style="654" customWidth="1"/>
    <col min="314" max="512" width="8.5" style="654"/>
    <col min="513" max="515" width="2" style="654" customWidth="1"/>
    <col min="516" max="516" width="2.5" style="654" customWidth="1"/>
    <col min="517" max="517" width="45.5" style="654" customWidth="1"/>
    <col min="518" max="518" width="7.1640625" style="654" customWidth="1"/>
    <col min="519" max="519" width="0.5" style="654" customWidth="1"/>
    <col min="520" max="557" width="10.5" style="654" customWidth="1"/>
    <col min="558" max="563" width="9.5" style="654" customWidth="1"/>
    <col min="564" max="564" width="10.5" style="654" customWidth="1"/>
    <col min="565" max="569" width="9.5" style="654" customWidth="1"/>
    <col min="570" max="768" width="8.5" style="654"/>
    <col min="769" max="771" width="2" style="654" customWidth="1"/>
    <col min="772" max="772" width="2.5" style="654" customWidth="1"/>
    <col min="773" max="773" width="45.5" style="654" customWidth="1"/>
    <col min="774" max="774" width="7.1640625" style="654" customWidth="1"/>
    <col min="775" max="775" width="0.5" style="654" customWidth="1"/>
    <col min="776" max="813" width="10.5" style="654" customWidth="1"/>
    <col min="814" max="819" width="9.5" style="654" customWidth="1"/>
    <col min="820" max="820" width="10.5" style="654" customWidth="1"/>
    <col min="821" max="825" width="9.5" style="654" customWidth="1"/>
    <col min="826" max="1024" width="8.5" style="654"/>
    <col min="1025" max="1027" width="2" style="654" customWidth="1"/>
    <col min="1028" max="1028" width="2.5" style="654" customWidth="1"/>
    <col min="1029" max="1029" width="45.5" style="654" customWidth="1"/>
    <col min="1030" max="1030" width="7.1640625" style="654" customWidth="1"/>
    <col min="1031" max="1031" width="0.5" style="654" customWidth="1"/>
    <col min="1032" max="1069" width="10.5" style="654" customWidth="1"/>
    <col min="1070" max="1075" width="9.5" style="654" customWidth="1"/>
    <col min="1076" max="1076" width="10.5" style="654" customWidth="1"/>
    <col min="1077" max="1081" width="9.5" style="654" customWidth="1"/>
    <col min="1082" max="1280" width="8.5" style="654"/>
    <col min="1281" max="1283" width="2" style="654" customWidth="1"/>
    <col min="1284" max="1284" width="2.5" style="654" customWidth="1"/>
    <col min="1285" max="1285" width="45.5" style="654" customWidth="1"/>
    <col min="1286" max="1286" width="7.1640625" style="654" customWidth="1"/>
    <col min="1287" max="1287" width="0.5" style="654" customWidth="1"/>
    <col min="1288" max="1325" width="10.5" style="654" customWidth="1"/>
    <col min="1326" max="1331" width="9.5" style="654" customWidth="1"/>
    <col min="1332" max="1332" width="10.5" style="654" customWidth="1"/>
    <col min="1333" max="1337" width="9.5" style="654" customWidth="1"/>
    <col min="1338" max="1536" width="8.5" style="654"/>
    <col min="1537" max="1539" width="2" style="654" customWidth="1"/>
    <col min="1540" max="1540" width="2.5" style="654" customWidth="1"/>
    <col min="1541" max="1541" width="45.5" style="654" customWidth="1"/>
    <col min="1542" max="1542" width="7.1640625" style="654" customWidth="1"/>
    <col min="1543" max="1543" width="0.5" style="654" customWidth="1"/>
    <col min="1544" max="1581" width="10.5" style="654" customWidth="1"/>
    <col min="1582" max="1587" width="9.5" style="654" customWidth="1"/>
    <col min="1588" max="1588" width="10.5" style="654" customWidth="1"/>
    <col min="1589" max="1593" width="9.5" style="654" customWidth="1"/>
    <col min="1594" max="1792" width="8.5" style="654"/>
    <col min="1793" max="1795" width="2" style="654" customWidth="1"/>
    <col min="1796" max="1796" width="2.5" style="654" customWidth="1"/>
    <col min="1797" max="1797" width="45.5" style="654" customWidth="1"/>
    <col min="1798" max="1798" width="7.1640625" style="654" customWidth="1"/>
    <col min="1799" max="1799" width="0.5" style="654" customWidth="1"/>
    <col min="1800" max="1837" width="10.5" style="654" customWidth="1"/>
    <col min="1838" max="1843" width="9.5" style="654" customWidth="1"/>
    <col min="1844" max="1844" width="10.5" style="654" customWidth="1"/>
    <col min="1845" max="1849" width="9.5" style="654" customWidth="1"/>
    <col min="1850" max="2048" width="8.5" style="654"/>
    <col min="2049" max="2051" width="2" style="654" customWidth="1"/>
    <col min="2052" max="2052" width="2.5" style="654" customWidth="1"/>
    <col min="2053" max="2053" width="45.5" style="654" customWidth="1"/>
    <col min="2054" max="2054" width="7.1640625" style="654" customWidth="1"/>
    <col min="2055" max="2055" width="0.5" style="654" customWidth="1"/>
    <col min="2056" max="2093" width="10.5" style="654" customWidth="1"/>
    <col min="2094" max="2099" width="9.5" style="654" customWidth="1"/>
    <col min="2100" max="2100" width="10.5" style="654" customWidth="1"/>
    <col min="2101" max="2105" width="9.5" style="654" customWidth="1"/>
    <col min="2106" max="2304" width="8.5" style="654"/>
    <col min="2305" max="2307" width="2" style="654" customWidth="1"/>
    <col min="2308" max="2308" width="2.5" style="654" customWidth="1"/>
    <col min="2309" max="2309" width="45.5" style="654" customWidth="1"/>
    <col min="2310" max="2310" width="7.1640625" style="654" customWidth="1"/>
    <col min="2311" max="2311" width="0.5" style="654" customWidth="1"/>
    <col min="2312" max="2349" width="10.5" style="654" customWidth="1"/>
    <col min="2350" max="2355" width="9.5" style="654" customWidth="1"/>
    <col min="2356" max="2356" width="10.5" style="654" customWidth="1"/>
    <col min="2357" max="2361" width="9.5" style="654" customWidth="1"/>
    <col min="2362" max="2560" width="8.5" style="654"/>
    <col min="2561" max="2563" width="2" style="654" customWidth="1"/>
    <col min="2564" max="2564" width="2.5" style="654" customWidth="1"/>
    <col min="2565" max="2565" width="45.5" style="654" customWidth="1"/>
    <col min="2566" max="2566" width="7.1640625" style="654" customWidth="1"/>
    <col min="2567" max="2567" width="0.5" style="654" customWidth="1"/>
    <col min="2568" max="2605" width="10.5" style="654" customWidth="1"/>
    <col min="2606" max="2611" width="9.5" style="654" customWidth="1"/>
    <col min="2612" max="2612" width="10.5" style="654" customWidth="1"/>
    <col min="2613" max="2617" width="9.5" style="654" customWidth="1"/>
    <col min="2618" max="2816" width="8.5" style="654"/>
    <col min="2817" max="2819" width="2" style="654" customWidth="1"/>
    <col min="2820" max="2820" width="2.5" style="654" customWidth="1"/>
    <col min="2821" max="2821" width="45.5" style="654" customWidth="1"/>
    <col min="2822" max="2822" width="7.1640625" style="654" customWidth="1"/>
    <col min="2823" max="2823" width="0.5" style="654" customWidth="1"/>
    <col min="2824" max="2861" width="10.5" style="654" customWidth="1"/>
    <col min="2862" max="2867" width="9.5" style="654" customWidth="1"/>
    <col min="2868" max="2868" width="10.5" style="654" customWidth="1"/>
    <col min="2869" max="2873" width="9.5" style="654" customWidth="1"/>
    <col min="2874" max="3072" width="8.5" style="654"/>
    <col min="3073" max="3075" width="2" style="654" customWidth="1"/>
    <col min="3076" max="3076" width="2.5" style="654" customWidth="1"/>
    <col min="3077" max="3077" width="45.5" style="654" customWidth="1"/>
    <col min="3078" max="3078" width="7.1640625" style="654" customWidth="1"/>
    <col min="3079" max="3079" width="0.5" style="654" customWidth="1"/>
    <col min="3080" max="3117" width="10.5" style="654" customWidth="1"/>
    <col min="3118" max="3123" width="9.5" style="654" customWidth="1"/>
    <col min="3124" max="3124" width="10.5" style="654" customWidth="1"/>
    <col min="3125" max="3129" width="9.5" style="654" customWidth="1"/>
    <col min="3130" max="3328" width="8.5" style="654"/>
    <col min="3329" max="3331" width="2" style="654" customWidth="1"/>
    <col min="3332" max="3332" width="2.5" style="654" customWidth="1"/>
    <col min="3333" max="3333" width="45.5" style="654" customWidth="1"/>
    <col min="3334" max="3334" width="7.1640625" style="654" customWidth="1"/>
    <col min="3335" max="3335" width="0.5" style="654" customWidth="1"/>
    <col min="3336" max="3373" width="10.5" style="654" customWidth="1"/>
    <col min="3374" max="3379" width="9.5" style="654" customWidth="1"/>
    <col min="3380" max="3380" width="10.5" style="654" customWidth="1"/>
    <col min="3381" max="3385" width="9.5" style="654" customWidth="1"/>
    <col min="3386" max="3584" width="8.5" style="654"/>
    <col min="3585" max="3587" width="2" style="654" customWidth="1"/>
    <col min="3588" max="3588" width="2.5" style="654" customWidth="1"/>
    <col min="3589" max="3589" width="45.5" style="654" customWidth="1"/>
    <col min="3590" max="3590" width="7.1640625" style="654" customWidth="1"/>
    <col min="3591" max="3591" width="0.5" style="654" customWidth="1"/>
    <col min="3592" max="3629" width="10.5" style="654" customWidth="1"/>
    <col min="3630" max="3635" width="9.5" style="654" customWidth="1"/>
    <col min="3636" max="3636" width="10.5" style="654" customWidth="1"/>
    <col min="3637" max="3641" width="9.5" style="654" customWidth="1"/>
    <col min="3642" max="3840" width="8.5" style="654"/>
    <col min="3841" max="3843" width="2" style="654" customWidth="1"/>
    <col min="3844" max="3844" width="2.5" style="654" customWidth="1"/>
    <col min="3845" max="3845" width="45.5" style="654" customWidth="1"/>
    <col min="3846" max="3846" width="7.1640625" style="654" customWidth="1"/>
    <col min="3847" max="3847" width="0.5" style="654" customWidth="1"/>
    <col min="3848" max="3885" width="10.5" style="654" customWidth="1"/>
    <col min="3886" max="3891" width="9.5" style="654" customWidth="1"/>
    <col min="3892" max="3892" width="10.5" style="654" customWidth="1"/>
    <col min="3893" max="3897" width="9.5" style="654" customWidth="1"/>
    <col min="3898" max="4096" width="8.5" style="654"/>
    <col min="4097" max="4099" width="2" style="654" customWidth="1"/>
    <col min="4100" max="4100" width="2.5" style="654" customWidth="1"/>
    <col min="4101" max="4101" width="45.5" style="654" customWidth="1"/>
    <col min="4102" max="4102" width="7.1640625" style="654" customWidth="1"/>
    <col min="4103" max="4103" width="0.5" style="654" customWidth="1"/>
    <col min="4104" max="4141" width="10.5" style="654" customWidth="1"/>
    <col min="4142" max="4147" width="9.5" style="654" customWidth="1"/>
    <col min="4148" max="4148" width="10.5" style="654" customWidth="1"/>
    <col min="4149" max="4153" width="9.5" style="654" customWidth="1"/>
    <col min="4154" max="4352" width="8.5" style="654"/>
    <col min="4353" max="4355" width="2" style="654" customWidth="1"/>
    <col min="4356" max="4356" width="2.5" style="654" customWidth="1"/>
    <col min="4357" max="4357" width="45.5" style="654" customWidth="1"/>
    <col min="4358" max="4358" width="7.1640625" style="654" customWidth="1"/>
    <col min="4359" max="4359" width="0.5" style="654" customWidth="1"/>
    <col min="4360" max="4397" width="10.5" style="654" customWidth="1"/>
    <col min="4398" max="4403" width="9.5" style="654" customWidth="1"/>
    <col min="4404" max="4404" width="10.5" style="654" customWidth="1"/>
    <col min="4405" max="4409" width="9.5" style="654" customWidth="1"/>
    <col min="4410" max="4608" width="8.5" style="654"/>
    <col min="4609" max="4611" width="2" style="654" customWidth="1"/>
    <col min="4612" max="4612" width="2.5" style="654" customWidth="1"/>
    <col min="4613" max="4613" width="45.5" style="654" customWidth="1"/>
    <col min="4614" max="4614" width="7.1640625" style="654" customWidth="1"/>
    <col min="4615" max="4615" width="0.5" style="654" customWidth="1"/>
    <col min="4616" max="4653" width="10.5" style="654" customWidth="1"/>
    <col min="4654" max="4659" width="9.5" style="654" customWidth="1"/>
    <col min="4660" max="4660" width="10.5" style="654" customWidth="1"/>
    <col min="4661" max="4665" width="9.5" style="654" customWidth="1"/>
    <col min="4666" max="4864" width="8.5" style="654"/>
    <col min="4865" max="4867" width="2" style="654" customWidth="1"/>
    <col min="4868" max="4868" width="2.5" style="654" customWidth="1"/>
    <col min="4869" max="4869" width="45.5" style="654" customWidth="1"/>
    <col min="4870" max="4870" width="7.1640625" style="654" customWidth="1"/>
    <col min="4871" max="4871" width="0.5" style="654" customWidth="1"/>
    <col min="4872" max="4909" width="10.5" style="654" customWidth="1"/>
    <col min="4910" max="4915" width="9.5" style="654" customWidth="1"/>
    <col min="4916" max="4916" width="10.5" style="654" customWidth="1"/>
    <col min="4917" max="4921" width="9.5" style="654" customWidth="1"/>
    <col min="4922" max="5120" width="8.5" style="654"/>
    <col min="5121" max="5123" width="2" style="654" customWidth="1"/>
    <col min="5124" max="5124" width="2.5" style="654" customWidth="1"/>
    <col min="5125" max="5125" width="45.5" style="654" customWidth="1"/>
    <col min="5126" max="5126" width="7.1640625" style="654" customWidth="1"/>
    <col min="5127" max="5127" width="0.5" style="654" customWidth="1"/>
    <col min="5128" max="5165" width="10.5" style="654" customWidth="1"/>
    <col min="5166" max="5171" width="9.5" style="654" customWidth="1"/>
    <col min="5172" max="5172" width="10.5" style="654" customWidth="1"/>
    <col min="5173" max="5177" width="9.5" style="654" customWidth="1"/>
    <col min="5178" max="5376" width="8.5" style="654"/>
    <col min="5377" max="5379" width="2" style="654" customWidth="1"/>
    <col min="5380" max="5380" width="2.5" style="654" customWidth="1"/>
    <col min="5381" max="5381" width="45.5" style="654" customWidth="1"/>
    <col min="5382" max="5382" width="7.1640625" style="654" customWidth="1"/>
    <col min="5383" max="5383" width="0.5" style="654" customWidth="1"/>
    <col min="5384" max="5421" width="10.5" style="654" customWidth="1"/>
    <col min="5422" max="5427" width="9.5" style="654" customWidth="1"/>
    <col min="5428" max="5428" width="10.5" style="654" customWidth="1"/>
    <col min="5429" max="5433" width="9.5" style="654" customWidth="1"/>
    <col min="5434" max="5632" width="8.5" style="654"/>
    <col min="5633" max="5635" width="2" style="654" customWidth="1"/>
    <col min="5636" max="5636" width="2.5" style="654" customWidth="1"/>
    <col min="5637" max="5637" width="45.5" style="654" customWidth="1"/>
    <col min="5638" max="5638" width="7.1640625" style="654" customWidth="1"/>
    <col min="5639" max="5639" width="0.5" style="654" customWidth="1"/>
    <col min="5640" max="5677" width="10.5" style="654" customWidth="1"/>
    <col min="5678" max="5683" width="9.5" style="654" customWidth="1"/>
    <col min="5684" max="5684" width="10.5" style="654" customWidth="1"/>
    <col min="5685" max="5689" width="9.5" style="654" customWidth="1"/>
    <col min="5690" max="5888" width="8.5" style="654"/>
    <col min="5889" max="5891" width="2" style="654" customWidth="1"/>
    <col min="5892" max="5892" width="2.5" style="654" customWidth="1"/>
    <col min="5893" max="5893" width="45.5" style="654" customWidth="1"/>
    <col min="5894" max="5894" width="7.1640625" style="654" customWidth="1"/>
    <col min="5895" max="5895" width="0.5" style="654" customWidth="1"/>
    <col min="5896" max="5933" width="10.5" style="654" customWidth="1"/>
    <col min="5934" max="5939" width="9.5" style="654" customWidth="1"/>
    <col min="5940" max="5940" width="10.5" style="654" customWidth="1"/>
    <col min="5941" max="5945" width="9.5" style="654" customWidth="1"/>
    <col min="5946" max="6144" width="8.5" style="654"/>
    <col min="6145" max="6147" width="2" style="654" customWidth="1"/>
    <col min="6148" max="6148" width="2.5" style="654" customWidth="1"/>
    <col min="6149" max="6149" width="45.5" style="654" customWidth="1"/>
    <col min="6150" max="6150" width="7.1640625" style="654" customWidth="1"/>
    <col min="6151" max="6151" width="0.5" style="654" customWidth="1"/>
    <col min="6152" max="6189" width="10.5" style="654" customWidth="1"/>
    <col min="6190" max="6195" width="9.5" style="654" customWidth="1"/>
    <col min="6196" max="6196" width="10.5" style="654" customWidth="1"/>
    <col min="6197" max="6201" width="9.5" style="654" customWidth="1"/>
    <col min="6202" max="6400" width="8.5" style="654"/>
    <col min="6401" max="6403" width="2" style="654" customWidth="1"/>
    <col min="6404" max="6404" width="2.5" style="654" customWidth="1"/>
    <col min="6405" max="6405" width="45.5" style="654" customWidth="1"/>
    <col min="6406" max="6406" width="7.1640625" style="654" customWidth="1"/>
    <col min="6407" max="6407" width="0.5" style="654" customWidth="1"/>
    <col min="6408" max="6445" width="10.5" style="654" customWidth="1"/>
    <col min="6446" max="6451" width="9.5" style="654" customWidth="1"/>
    <col min="6452" max="6452" width="10.5" style="654" customWidth="1"/>
    <col min="6453" max="6457" width="9.5" style="654" customWidth="1"/>
    <col min="6458" max="6656" width="8.5" style="654"/>
    <col min="6657" max="6659" width="2" style="654" customWidth="1"/>
    <col min="6660" max="6660" width="2.5" style="654" customWidth="1"/>
    <col min="6661" max="6661" width="45.5" style="654" customWidth="1"/>
    <col min="6662" max="6662" width="7.1640625" style="654" customWidth="1"/>
    <col min="6663" max="6663" width="0.5" style="654" customWidth="1"/>
    <col min="6664" max="6701" width="10.5" style="654" customWidth="1"/>
    <col min="6702" max="6707" width="9.5" style="654" customWidth="1"/>
    <col min="6708" max="6708" width="10.5" style="654" customWidth="1"/>
    <col min="6709" max="6713" width="9.5" style="654" customWidth="1"/>
    <col min="6714" max="6912" width="8.5" style="654"/>
    <col min="6913" max="6915" width="2" style="654" customWidth="1"/>
    <col min="6916" max="6916" width="2.5" style="654" customWidth="1"/>
    <col min="6917" max="6917" width="45.5" style="654" customWidth="1"/>
    <col min="6918" max="6918" width="7.1640625" style="654" customWidth="1"/>
    <col min="6919" max="6919" width="0.5" style="654" customWidth="1"/>
    <col min="6920" max="6957" width="10.5" style="654" customWidth="1"/>
    <col min="6958" max="6963" width="9.5" style="654" customWidth="1"/>
    <col min="6964" max="6964" width="10.5" style="654" customWidth="1"/>
    <col min="6965" max="6969" width="9.5" style="654" customWidth="1"/>
    <col min="6970" max="7168" width="8.5" style="654"/>
    <col min="7169" max="7171" width="2" style="654" customWidth="1"/>
    <col min="7172" max="7172" width="2.5" style="654" customWidth="1"/>
    <col min="7173" max="7173" width="45.5" style="654" customWidth="1"/>
    <col min="7174" max="7174" width="7.1640625" style="654" customWidth="1"/>
    <col min="7175" max="7175" width="0.5" style="654" customWidth="1"/>
    <col min="7176" max="7213" width="10.5" style="654" customWidth="1"/>
    <col min="7214" max="7219" width="9.5" style="654" customWidth="1"/>
    <col min="7220" max="7220" width="10.5" style="654" customWidth="1"/>
    <col min="7221" max="7225" width="9.5" style="654" customWidth="1"/>
    <col min="7226" max="7424" width="8.5" style="654"/>
    <col min="7425" max="7427" width="2" style="654" customWidth="1"/>
    <col min="7428" max="7428" width="2.5" style="654" customWidth="1"/>
    <col min="7429" max="7429" width="45.5" style="654" customWidth="1"/>
    <col min="7430" max="7430" width="7.1640625" style="654" customWidth="1"/>
    <col min="7431" max="7431" width="0.5" style="654" customWidth="1"/>
    <col min="7432" max="7469" width="10.5" style="654" customWidth="1"/>
    <col min="7470" max="7475" width="9.5" style="654" customWidth="1"/>
    <col min="7476" max="7476" width="10.5" style="654" customWidth="1"/>
    <col min="7477" max="7481" width="9.5" style="654" customWidth="1"/>
    <col min="7482" max="7680" width="8.5" style="654"/>
    <col min="7681" max="7683" width="2" style="654" customWidth="1"/>
    <col min="7684" max="7684" width="2.5" style="654" customWidth="1"/>
    <col min="7685" max="7685" width="45.5" style="654" customWidth="1"/>
    <col min="7686" max="7686" width="7.1640625" style="654" customWidth="1"/>
    <col min="7687" max="7687" width="0.5" style="654" customWidth="1"/>
    <col min="7688" max="7725" width="10.5" style="654" customWidth="1"/>
    <col min="7726" max="7731" width="9.5" style="654" customWidth="1"/>
    <col min="7732" max="7732" width="10.5" style="654" customWidth="1"/>
    <col min="7733" max="7737" width="9.5" style="654" customWidth="1"/>
    <col min="7738" max="7936" width="8.5" style="654"/>
    <col min="7937" max="7939" width="2" style="654" customWidth="1"/>
    <col min="7940" max="7940" width="2.5" style="654" customWidth="1"/>
    <col min="7941" max="7941" width="45.5" style="654" customWidth="1"/>
    <col min="7942" max="7942" width="7.1640625" style="654" customWidth="1"/>
    <col min="7943" max="7943" width="0.5" style="654" customWidth="1"/>
    <col min="7944" max="7981" width="10.5" style="654" customWidth="1"/>
    <col min="7982" max="7987" width="9.5" style="654" customWidth="1"/>
    <col min="7988" max="7988" width="10.5" style="654" customWidth="1"/>
    <col min="7989" max="7993" width="9.5" style="654" customWidth="1"/>
    <col min="7994" max="8192" width="8.5" style="654"/>
    <col min="8193" max="8195" width="2" style="654" customWidth="1"/>
    <col min="8196" max="8196" width="2.5" style="654" customWidth="1"/>
    <col min="8197" max="8197" width="45.5" style="654" customWidth="1"/>
    <col min="8198" max="8198" width="7.1640625" style="654" customWidth="1"/>
    <col min="8199" max="8199" width="0.5" style="654" customWidth="1"/>
    <col min="8200" max="8237" width="10.5" style="654" customWidth="1"/>
    <col min="8238" max="8243" width="9.5" style="654" customWidth="1"/>
    <col min="8244" max="8244" width="10.5" style="654" customWidth="1"/>
    <col min="8245" max="8249" width="9.5" style="654" customWidth="1"/>
    <col min="8250" max="8448" width="8.5" style="654"/>
    <col min="8449" max="8451" width="2" style="654" customWidth="1"/>
    <col min="8452" max="8452" width="2.5" style="654" customWidth="1"/>
    <col min="8453" max="8453" width="45.5" style="654" customWidth="1"/>
    <col min="8454" max="8454" width="7.1640625" style="654" customWidth="1"/>
    <col min="8455" max="8455" width="0.5" style="654" customWidth="1"/>
    <col min="8456" max="8493" width="10.5" style="654" customWidth="1"/>
    <col min="8494" max="8499" width="9.5" style="654" customWidth="1"/>
    <col min="8500" max="8500" width="10.5" style="654" customWidth="1"/>
    <col min="8501" max="8505" width="9.5" style="654" customWidth="1"/>
    <col min="8506" max="8704" width="8.5" style="654"/>
    <col min="8705" max="8707" width="2" style="654" customWidth="1"/>
    <col min="8708" max="8708" width="2.5" style="654" customWidth="1"/>
    <col min="8709" max="8709" width="45.5" style="654" customWidth="1"/>
    <col min="8710" max="8710" width="7.1640625" style="654" customWidth="1"/>
    <col min="8711" max="8711" width="0.5" style="654" customWidth="1"/>
    <col min="8712" max="8749" width="10.5" style="654" customWidth="1"/>
    <col min="8750" max="8755" width="9.5" style="654" customWidth="1"/>
    <col min="8756" max="8756" width="10.5" style="654" customWidth="1"/>
    <col min="8757" max="8761" width="9.5" style="654" customWidth="1"/>
    <col min="8762" max="8960" width="8.5" style="654"/>
    <col min="8961" max="8963" width="2" style="654" customWidth="1"/>
    <col min="8964" max="8964" width="2.5" style="654" customWidth="1"/>
    <col min="8965" max="8965" width="45.5" style="654" customWidth="1"/>
    <col min="8966" max="8966" width="7.1640625" style="654" customWidth="1"/>
    <col min="8967" max="8967" width="0.5" style="654" customWidth="1"/>
    <col min="8968" max="9005" width="10.5" style="654" customWidth="1"/>
    <col min="9006" max="9011" width="9.5" style="654" customWidth="1"/>
    <col min="9012" max="9012" width="10.5" style="654" customWidth="1"/>
    <col min="9013" max="9017" width="9.5" style="654" customWidth="1"/>
    <col min="9018" max="9216" width="8.5" style="654"/>
    <col min="9217" max="9219" width="2" style="654" customWidth="1"/>
    <col min="9220" max="9220" width="2.5" style="654" customWidth="1"/>
    <col min="9221" max="9221" width="45.5" style="654" customWidth="1"/>
    <col min="9222" max="9222" width="7.1640625" style="654" customWidth="1"/>
    <col min="9223" max="9223" width="0.5" style="654" customWidth="1"/>
    <col min="9224" max="9261" width="10.5" style="654" customWidth="1"/>
    <col min="9262" max="9267" width="9.5" style="654" customWidth="1"/>
    <col min="9268" max="9268" width="10.5" style="654" customWidth="1"/>
    <col min="9269" max="9273" width="9.5" style="654" customWidth="1"/>
    <col min="9274" max="9472" width="8.5" style="654"/>
    <col min="9473" max="9475" width="2" style="654" customWidth="1"/>
    <col min="9476" max="9476" width="2.5" style="654" customWidth="1"/>
    <col min="9477" max="9477" width="45.5" style="654" customWidth="1"/>
    <col min="9478" max="9478" width="7.1640625" style="654" customWidth="1"/>
    <col min="9479" max="9479" width="0.5" style="654" customWidth="1"/>
    <col min="9480" max="9517" width="10.5" style="654" customWidth="1"/>
    <col min="9518" max="9523" width="9.5" style="654" customWidth="1"/>
    <col min="9524" max="9524" width="10.5" style="654" customWidth="1"/>
    <col min="9525" max="9529" width="9.5" style="654" customWidth="1"/>
    <col min="9530" max="9728" width="8.5" style="654"/>
    <col min="9729" max="9731" width="2" style="654" customWidth="1"/>
    <col min="9732" max="9732" width="2.5" style="654" customWidth="1"/>
    <col min="9733" max="9733" width="45.5" style="654" customWidth="1"/>
    <col min="9734" max="9734" width="7.1640625" style="654" customWidth="1"/>
    <col min="9735" max="9735" width="0.5" style="654" customWidth="1"/>
    <col min="9736" max="9773" width="10.5" style="654" customWidth="1"/>
    <col min="9774" max="9779" width="9.5" style="654" customWidth="1"/>
    <col min="9780" max="9780" width="10.5" style="654" customWidth="1"/>
    <col min="9781" max="9785" width="9.5" style="654" customWidth="1"/>
    <col min="9786" max="9984" width="8.5" style="654"/>
    <col min="9985" max="9987" width="2" style="654" customWidth="1"/>
    <col min="9988" max="9988" width="2.5" style="654" customWidth="1"/>
    <col min="9989" max="9989" width="45.5" style="654" customWidth="1"/>
    <col min="9990" max="9990" width="7.1640625" style="654" customWidth="1"/>
    <col min="9991" max="9991" width="0.5" style="654" customWidth="1"/>
    <col min="9992" max="10029" width="10.5" style="654" customWidth="1"/>
    <col min="10030" max="10035" width="9.5" style="654" customWidth="1"/>
    <col min="10036" max="10036" width="10.5" style="654" customWidth="1"/>
    <col min="10037" max="10041" width="9.5" style="654" customWidth="1"/>
    <col min="10042" max="10240" width="8.5" style="654"/>
    <col min="10241" max="10243" width="2" style="654" customWidth="1"/>
    <col min="10244" max="10244" width="2.5" style="654" customWidth="1"/>
    <col min="10245" max="10245" width="45.5" style="654" customWidth="1"/>
    <col min="10246" max="10246" width="7.1640625" style="654" customWidth="1"/>
    <col min="10247" max="10247" width="0.5" style="654" customWidth="1"/>
    <col min="10248" max="10285" width="10.5" style="654" customWidth="1"/>
    <col min="10286" max="10291" width="9.5" style="654" customWidth="1"/>
    <col min="10292" max="10292" width="10.5" style="654" customWidth="1"/>
    <col min="10293" max="10297" width="9.5" style="654" customWidth="1"/>
    <col min="10298" max="10496" width="8.5" style="654"/>
    <col min="10497" max="10499" width="2" style="654" customWidth="1"/>
    <col min="10500" max="10500" width="2.5" style="654" customWidth="1"/>
    <col min="10501" max="10501" width="45.5" style="654" customWidth="1"/>
    <col min="10502" max="10502" width="7.1640625" style="654" customWidth="1"/>
    <col min="10503" max="10503" width="0.5" style="654" customWidth="1"/>
    <col min="10504" max="10541" width="10.5" style="654" customWidth="1"/>
    <col min="10542" max="10547" width="9.5" style="654" customWidth="1"/>
    <col min="10548" max="10548" width="10.5" style="654" customWidth="1"/>
    <col min="10549" max="10553" width="9.5" style="654" customWidth="1"/>
    <col min="10554" max="10752" width="8.5" style="654"/>
    <col min="10753" max="10755" width="2" style="654" customWidth="1"/>
    <col min="10756" max="10756" width="2.5" style="654" customWidth="1"/>
    <col min="10757" max="10757" width="45.5" style="654" customWidth="1"/>
    <col min="10758" max="10758" width="7.1640625" style="654" customWidth="1"/>
    <col min="10759" max="10759" width="0.5" style="654" customWidth="1"/>
    <col min="10760" max="10797" width="10.5" style="654" customWidth="1"/>
    <col min="10798" max="10803" width="9.5" style="654" customWidth="1"/>
    <col min="10804" max="10804" width="10.5" style="654" customWidth="1"/>
    <col min="10805" max="10809" width="9.5" style="654" customWidth="1"/>
    <col min="10810" max="11008" width="8.5" style="654"/>
    <col min="11009" max="11011" width="2" style="654" customWidth="1"/>
    <col min="11012" max="11012" width="2.5" style="654" customWidth="1"/>
    <col min="11013" max="11013" width="45.5" style="654" customWidth="1"/>
    <col min="11014" max="11014" width="7.1640625" style="654" customWidth="1"/>
    <col min="11015" max="11015" width="0.5" style="654" customWidth="1"/>
    <col min="11016" max="11053" width="10.5" style="654" customWidth="1"/>
    <col min="11054" max="11059" width="9.5" style="654" customWidth="1"/>
    <col min="11060" max="11060" width="10.5" style="654" customWidth="1"/>
    <col min="11061" max="11065" width="9.5" style="654" customWidth="1"/>
    <col min="11066" max="11264" width="8.5" style="654"/>
    <col min="11265" max="11267" width="2" style="654" customWidth="1"/>
    <col min="11268" max="11268" width="2.5" style="654" customWidth="1"/>
    <col min="11269" max="11269" width="45.5" style="654" customWidth="1"/>
    <col min="11270" max="11270" width="7.1640625" style="654" customWidth="1"/>
    <col min="11271" max="11271" width="0.5" style="654" customWidth="1"/>
    <col min="11272" max="11309" width="10.5" style="654" customWidth="1"/>
    <col min="11310" max="11315" width="9.5" style="654" customWidth="1"/>
    <col min="11316" max="11316" width="10.5" style="654" customWidth="1"/>
    <col min="11317" max="11321" width="9.5" style="654" customWidth="1"/>
    <col min="11322" max="11520" width="8.5" style="654"/>
    <col min="11521" max="11523" width="2" style="654" customWidth="1"/>
    <col min="11524" max="11524" width="2.5" style="654" customWidth="1"/>
    <col min="11525" max="11525" width="45.5" style="654" customWidth="1"/>
    <col min="11526" max="11526" width="7.1640625" style="654" customWidth="1"/>
    <col min="11527" max="11527" width="0.5" style="654" customWidth="1"/>
    <col min="11528" max="11565" width="10.5" style="654" customWidth="1"/>
    <col min="11566" max="11571" width="9.5" style="654" customWidth="1"/>
    <col min="11572" max="11572" width="10.5" style="654" customWidth="1"/>
    <col min="11573" max="11577" width="9.5" style="654" customWidth="1"/>
    <col min="11578" max="11776" width="8.5" style="654"/>
    <col min="11777" max="11779" width="2" style="654" customWidth="1"/>
    <col min="11780" max="11780" width="2.5" style="654" customWidth="1"/>
    <col min="11781" max="11781" width="45.5" style="654" customWidth="1"/>
    <col min="11782" max="11782" width="7.1640625" style="654" customWidth="1"/>
    <col min="11783" max="11783" width="0.5" style="654" customWidth="1"/>
    <col min="11784" max="11821" width="10.5" style="654" customWidth="1"/>
    <col min="11822" max="11827" width="9.5" style="654" customWidth="1"/>
    <col min="11828" max="11828" width="10.5" style="654" customWidth="1"/>
    <col min="11829" max="11833" width="9.5" style="654" customWidth="1"/>
    <col min="11834" max="12032" width="8.5" style="654"/>
    <col min="12033" max="12035" width="2" style="654" customWidth="1"/>
    <col min="12036" max="12036" width="2.5" style="654" customWidth="1"/>
    <col min="12037" max="12037" width="45.5" style="654" customWidth="1"/>
    <col min="12038" max="12038" width="7.1640625" style="654" customWidth="1"/>
    <col min="12039" max="12039" width="0.5" style="654" customWidth="1"/>
    <col min="12040" max="12077" width="10.5" style="654" customWidth="1"/>
    <col min="12078" max="12083" width="9.5" style="654" customWidth="1"/>
    <col min="12084" max="12084" width="10.5" style="654" customWidth="1"/>
    <col min="12085" max="12089" width="9.5" style="654" customWidth="1"/>
    <col min="12090" max="12288" width="8.5" style="654"/>
    <col min="12289" max="12291" width="2" style="654" customWidth="1"/>
    <col min="12292" max="12292" width="2.5" style="654" customWidth="1"/>
    <col min="12293" max="12293" width="45.5" style="654" customWidth="1"/>
    <col min="12294" max="12294" width="7.1640625" style="654" customWidth="1"/>
    <col min="12295" max="12295" width="0.5" style="654" customWidth="1"/>
    <col min="12296" max="12333" width="10.5" style="654" customWidth="1"/>
    <col min="12334" max="12339" width="9.5" style="654" customWidth="1"/>
    <col min="12340" max="12340" width="10.5" style="654" customWidth="1"/>
    <col min="12341" max="12345" width="9.5" style="654" customWidth="1"/>
    <col min="12346" max="12544" width="8.5" style="654"/>
    <col min="12545" max="12547" width="2" style="654" customWidth="1"/>
    <col min="12548" max="12548" width="2.5" style="654" customWidth="1"/>
    <col min="12549" max="12549" width="45.5" style="654" customWidth="1"/>
    <col min="12550" max="12550" width="7.1640625" style="654" customWidth="1"/>
    <col min="12551" max="12551" width="0.5" style="654" customWidth="1"/>
    <col min="12552" max="12589" width="10.5" style="654" customWidth="1"/>
    <col min="12590" max="12595" width="9.5" style="654" customWidth="1"/>
    <col min="12596" max="12596" width="10.5" style="654" customWidth="1"/>
    <col min="12597" max="12601" width="9.5" style="654" customWidth="1"/>
    <col min="12602" max="12800" width="8.5" style="654"/>
    <col min="12801" max="12803" width="2" style="654" customWidth="1"/>
    <col min="12804" max="12804" width="2.5" style="654" customWidth="1"/>
    <col min="12805" max="12805" width="45.5" style="654" customWidth="1"/>
    <col min="12806" max="12806" width="7.1640625" style="654" customWidth="1"/>
    <col min="12807" max="12807" width="0.5" style="654" customWidth="1"/>
    <col min="12808" max="12845" width="10.5" style="654" customWidth="1"/>
    <col min="12846" max="12851" width="9.5" style="654" customWidth="1"/>
    <col min="12852" max="12852" width="10.5" style="654" customWidth="1"/>
    <col min="12853" max="12857" width="9.5" style="654" customWidth="1"/>
    <col min="12858" max="13056" width="8.5" style="654"/>
    <col min="13057" max="13059" width="2" style="654" customWidth="1"/>
    <col min="13060" max="13060" width="2.5" style="654" customWidth="1"/>
    <col min="13061" max="13061" width="45.5" style="654" customWidth="1"/>
    <col min="13062" max="13062" width="7.1640625" style="654" customWidth="1"/>
    <col min="13063" max="13063" width="0.5" style="654" customWidth="1"/>
    <col min="13064" max="13101" width="10.5" style="654" customWidth="1"/>
    <col min="13102" max="13107" width="9.5" style="654" customWidth="1"/>
    <col min="13108" max="13108" width="10.5" style="654" customWidth="1"/>
    <col min="13109" max="13113" width="9.5" style="654" customWidth="1"/>
    <col min="13114" max="13312" width="8.5" style="654"/>
    <col min="13313" max="13315" width="2" style="654" customWidth="1"/>
    <col min="13316" max="13316" width="2.5" style="654" customWidth="1"/>
    <col min="13317" max="13317" width="45.5" style="654" customWidth="1"/>
    <col min="13318" max="13318" width="7.1640625" style="654" customWidth="1"/>
    <col min="13319" max="13319" width="0.5" style="654" customWidth="1"/>
    <col min="13320" max="13357" width="10.5" style="654" customWidth="1"/>
    <col min="13358" max="13363" width="9.5" style="654" customWidth="1"/>
    <col min="13364" max="13364" width="10.5" style="654" customWidth="1"/>
    <col min="13365" max="13369" width="9.5" style="654" customWidth="1"/>
    <col min="13370" max="13568" width="8.5" style="654"/>
    <col min="13569" max="13571" width="2" style="654" customWidth="1"/>
    <col min="13572" max="13572" width="2.5" style="654" customWidth="1"/>
    <col min="13573" max="13573" width="45.5" style="654" customWidth="1"/>
    <col min="13574" max="13574" width="7.1640625" style="654" customWidth="1"/>
    <col min="13575" max="13575" width="0.5" style="654" customWidth="1"/>
    <col min="13576" max="13613" width="10.5" style="654" customWidth="1"/>
    <col min="13614" max="13619" width="9.5" style="654" customWidth="1"/>
    <col min="13620" max="13620" width="10.5" style="654" customWidth="1"/>
    <col min="13621" max="13625" width="9.5" style="654" customWidth="1"/>
    <col min="13626" max="13824" width="8.5" style="654"/>
    <col min="13825" max="13827" width="2" style="654" customWidth="1"/>
    <col min="13828" max="13828" width="2.5" style="654" customWidth="1"/>
    <col min="13829" max="13829" width="45.5" style="654" customWidth="1"/>
    <col min="13830" max="13830" width="7.1640625" style="654" customWidth="1"/>
    <col min="13831" max="13831" width="0.5" style="654" customWidth="1"/>
    <col min="13832" max="13869" width="10.5" style="654" customWidth="1"/>
    <col min="13870" max="13875" width="9.5" style="654" customWidth="1"/>
    <col min="13876" max="13876" width="10.5" style="654" customWidth="1"/>
    <col min="13877" max="13881" width="9.5" style="654" customWidth="1"/>
    <col min="13882" max="14080" width="8.5" style="654"/>
    <col min="14081" max="14083" width="2" style="654" customWidth="1"/>
    <col min="14084" max="14084" width="2.5" style="654" customWidth="1"/>
    <col min="14085" max="14085" width="45.5" style="654" customWidth="1"/>
    <col min="14086" max="14086" width="7.1640625" style="654" customWidth="1"/>
    <col min="14087" max="14087" width="0.5" style="654" customWidth="1"/>
    <col min="14088" max="14125" width="10.5" style="654" customWidth="1"/>
    <col min="14126" max="14131" width="9.5" style="654" customWidth="1"/>
    <col min="14132" max="14132" width="10.5" style="654" customWidth="1"/>
    <col min="14133" max="14137" width="9.5" style="654" customWidth="1"/>
    <col min="14138" max="14336" width="8.5" style="654"/>
    <col min="14337" max="14339" width="2" style="654" customWidth="1"/>
    <col min="14340" max="14340" width="2.5" style="654" customWidth="1"/>
    <col min="14341" max="14341" width="45.5" style="654" customWidth="1"/>
    <col min="14342" max="14342" width="7.1640625" style="654" customWidth="1"/>
    <col min="14343" max="14343" width="0.5" style="654" customWidth="1"/>
    <col min="14344" max="14381" width="10.5" style="654" customWidth="1"/>
    <col min="14382" max="14387" width="9.5" style="654" customWidth="1"/>
    <col min="14388" max="14388" width="10.5" style="654" customWidth="1"/>
    <col min="14389" max="14393" width="9.5" style="654" customWidth="1"/>
    <col min="14394" max="14592" width="8.5" style="654"/>
    <col min="14593" max="14595" width="2" style="654" customWidth="1"/>
    <col min="14596" max="14596" width="2.5" style="654" customWidth="1"/>
    <col min="14597" max="14597" width="45.5" style="654" customWidth="1"/>
    <col min="14598" max="14598" width="7.1640625" style="654" customWidth="1"/>
    <col min="14599" max="14599" width="0.5" style="654" customWidth="1"/>
    <col min="14600" max="14637" width="10.5" style="654" customWidth="1"/>
    <col min="14638" max="14643" width="9.5" style="654" customWidth="1"/>
    <col min="14644" max="14644" width="10.5" style="654" customWidth="1"/>
    <col min="14645" max="14649" width="9.5" style="654" customWidth="1"/>
    <col min="14650" max="14848" width="8.5" style="654"/>
    <col min="14849" max="14851" width="2" style="654" customWidth="1"/>
    <col min="14852" max="14852" width="2.5" style="654" customWidth="1"/>
    <col min="14853" max="14853" width="45.5" style="654" customWidth="1"/>
    <col min="14854" max="14854" width="7.1640625" style="654" customWidth="1"/>
    <col min="14855" max="14855" width="0.5" style="654" customWidth="1"/>
    <col min="14856" max="14893" width="10.5" style="654" customWidth="1"/>
    <col min="14894" max="14899" width="9.5" style="654" customWidth="1"/>
    <col min="14900" max="14900" width="10.5" style="654" customWidth="1"/>
    <col min="14901" max="14905" width="9.5" style="654" customWidth="1"/>
    <col min="14906" max="15104" width="8.5" style="654"/>
    <col min="15105" max="15107" width="2" style="654" customWidth="1"/>
    <col min="15108" max="15108" width="2.5" style="654" customWidth="1"/>
    <col min="15109" max="15109" width="45.5" style="654" customWidth="1"/>
    <col min="15110" max="15110" width="7.1640625" style="654" customWidth="1"/>
    <col min="15111" max="15111" width="0.5" style="654" customWidth="1"/>
    <col min="15112" max="15149" width="10.5" style="654" customWidth="1"/>
    <col min="15150" max="15155" width="9.5" style="654" customWidth="1"/>
    <col min="15156" max="15156" width="10.5" style="654" customWidth="1"/>
    <col min="15157" max="15161" width="9.5" style="654" customWidth="1"/>
    <col min="15162" max="15360" width="8.5" style="654"/>
    <col min="15361" max="15363" width="2" style="654" customWidth="1"/>
    <col min="15364" max="15364" width="2.5" style="654" customWidth="1"/>
    <col min="15365" max="15365" width="45.5" style="654" customWidth="1"/>
    <col min="15366" max="15366" width="7.1640625" style="654" customWidth="1"/>
    <col min="15367" max="15367" width="0.5" style="654" customWidth="1"/>
    <col min="15368" max="15405" width="10.5" style="654" customWidth="1"/>
    <col min="15406" max="15411" width="9.5" style="654" customWidth="1"/>
    <col min="15412" max="15412" width="10.5" style="654" customWidth="1"/>
    <col min="15413" max="15417" width="9.5" style="654" customWidth="1"/>
    <col min="15418" max="15616" width="8.5" style="654"/>
    <col min="15617" max="15619" width="2" style="654" customWidth="1"/>
    <col min="15620" max="15620" width="2.5" style="654" customWidth="1"/>
    <col min="15621" max="15621" width="45.5" style="654" customWidth="1"/>
    <col min="15622" max="15622" width="7.1640625" style="654" customWidth="1"/>
    <col min="15623" max="15623" width="0.5" style="654" customWidth="1"/>
    <col min="15624" max="15661" width="10.5" style="654" customWidth="1"/>
    <col min="15662" max="15667" width="9.5" style="654" customWidth="1"/>
    <col min="15668" max="15668" width="10.5" style="654" customWidth="1"/>
    <col min="15669" max="15673" width="9.5" style="654" customWidth="1"/>
    <col min="15674" max="15872" width="8.5" style="654"/>
    <col min="15873" max="15875" width="2" style="654" customWidth="1"/>
    <col min="15876" max="15876" width="2.5" style="654" customWidth="1"/>
    <col min="15877" max="15877" width="45.5" style="654" customWidth="1"/>
    <col min="15878" max="15878" width="7.1640625" style="654" customWidth="1"/>
    <col min="15879" max="15879" width="0.5" style="654" customWidth="1"/>
    <col min="15880" max="15917" width="10.5" style="654" customWidth="1"/>
    <col min="15918" max="15923" width="9.5" style="654" customWidth="1"/>
    <col min="15924" max="15924" width="10.5" style="654" customWidth="1"/>
    <col min="15925" max="15929" width="9.5" style="654" customWidth="1"/>
    <col min="15930" max="16128" width="8.5" style="654"/>
    <col min="16129" max="16131" width="2" style="654" customWidth="1"/>
    <col min="16132" max="16132" width="2.5" style="654" customWidth="1"/>
    <col min="16133" max="16133" width="45.5" style="654" customWidth="1"/>
    <col min="16134" max="16134" width="7.1640625" style="654" customWidth="1"/>
    <col min="16135" max="16135" width="0.5" style="654" customWidth="1"/>
    <col min="16136" max="16173" width="10.5" style="654" customWidth="1"/>
    <col min="16174" max="16179" width="9.5" style="654" customWidth="1"/>
    <col min="16180" max="16180" width="10.5" style="654" customWidth="1"/>
    <col min="16181" max="16185" width="9.5" style="654" customWidth="1"/>
    <col min="16186" max="16384" width="8.5" style="654"/>
  </cols>
  <sheetData>
    <row r="1" spans="1:73">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958</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207994.21992930162</v>
      </c>
      <c r="I4" s="723">
        <v>1298.7006783223464</v>
      </c>
      <c r="J4" s="725">
        <v>0</v>
      </c>
      <c r="K4" s="725">
        <v>0</v>
      </c>
      <c r="L4" s="725">
        <v>1298.7006783223464</v>
      </c>
      <c r="M4" s="725">
        <v>0</v>
      </c>
      <c r="N4" s="725">
        <v>0</v>
      </c>
      <c r="O4" s="725"/>
      <c r="P4" s="725"/>
      <c r="Q4" s="725"/>
      <c r="R4" s="725"/>
      <c r="S4" s="725"/>
      <c r="T4" s="725">
        <v>0</v>
      </c>
      <c r="U4" s="725"/>
      <c r="V4" s="725">
        <v>0</v>
      </c>
      <c r="W4" s="723">
        <v>99825.021496130692</v>
      </c>
      <c r="X4" s="725">
        <v>91137.86185153338</v>
      </c>
      <c r="Y4" s="725">
        <v>8571.1283080156682</v>
      </c>
      <c r="Z4" s="725"/>
      <c r="AA4" s="725">
        <v>116.03133658163752</v>
      </c>
      <c r="AB4" s="725"/>
      <c r="AC4" s="725"/>
      <c r="AD4" s="725"/>
      <c r="AE4" s="725"/>
      <c r="AF4" s="725"/>
      <c r="AG4" s="725"/>
      <c r="AH4" s="725"/>
      <c r="AI4" s="725"/>
      <c r="AJ4" s="725"/>
      <c r="AK4" s="725"/>
      <c r="AL4" s="725"/>
      <c r="AM4" s="725"/>
      <c r="AN4" s="725"/>
      <c r="AO4" s="725"/>
      <c r="AP4" s="725"/>
      <c r="AQ4" s="725"/>
      <c r="AR4" s="725"/>
      <c r="AS4" s="725"/>
      <c r="AT4" s="723">
        <v>95208.154198910852</v>
      </c>
      <c r="AU4" s="725">
        <v>95208.154198910852</v>
      </c>
      <c r="AV4" s="725"/>
      <c r="AW4" s="725"/>
      <c r="AX4" s="725"/>
      <c r="AY4" s="725"/>
      <c r="AZ4" s="723">
        <v>11519.991401547721</v>
      </c>
      <c r="BA4" s="725">
        <v>10038.693035253655</v>
      </c>
      <c r="BB4" s="725">
        <v>75.570841692939709</v>
      </c>
      <c r="BC4" s="725">
        <v>0</v>
      </c>
      <c r="BD4" s="725">
        <v>0</v>
      </c>
      <c r="BE4" s="725">
        <v>0</v>
      </c>
      <c r="BF4" s="725">
        <v>1233.4718639533771</v>
      </c>
      <c r="BG4" s="725"/>
      <c r="BH4" s="725">
        <v>29.688544950797745</v>
      </c>
      <c r="BI4" s="725">
        <v>142.56711569695233</v>
      </c>
      <c r="BJ4" s="725">
        <v>0</v>
      </c>
      <c r="BK4" s="725">
        <v>0</v>
      </c>
      <c r="BL4" s="725">
        <v>0</v>
      </c>
      <c r="BM4" s="725">
        <v>0</v>
      </c>
      <c r="BN4" s="725">
        <v>0</v>
      </c>
      <c r="BO4" s="723">
        <v>142.35215438998756</v>
      </c>
      <c r="BP4" s="725">
        <v>2.746727811216203</v>
      </c>
      <c r="BQ4" s="725">
        <v>139.60542657877136</v>
      </c>
      <c r="BR4" s="724">
        <v>0</v>
      </c>
      <c r="BS4" s="724"/>
      <c r="BT4" s="723"/>
    </row>
    <row r="5" spans="1:73">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c r="A6" s="680" t="s">
        <v>968</v>
      </c>
      <c r="B6" s="679" t="s">
        <v>1288</v>
      </c>
      <c r="C6" s="679"/>
      <c r="D6" s="679"/>
      <c r="E6" s="679"/>
      <c r="F6" s="678" t="s">
        <v>1287</v>
      </c>
      <c r="G6" s="678"/>
      <c r="H6" s="677">
        <v>0.88372981752173496</v>
      </c>
      <c r="I6" s="674">
        <v>0</v>
      </c>
      <c r="J6" s="676">
        <v>0</v>
      </c>
      <c r="K6" s="676">
        <v>0</v>
      </c>
      <c r="L6" s="676">
        <v>0</v>
      </c>
      <c r="M6" s="676">
        <v>0</v>
      </c>
      <c r="N6" s="676">
        <v>0</v>
      </c>
      <c r="O6" s="676">
        <v>0</v>
      </c>
      <c r="P6" s="676">
        <v>0</v>
      </c>
      <c r="Q6" s="676">
        <v>0</v>
      </c>
      <c r="R6" s="676">
        <v>0</v>
      </c>
      <c r="S6" s="676">
        <v>0</v>
      </c>
      <c r="T6" s="676">
        <v>0</v>
      </c>
      <c r="U6" s="676">
        <v>0</v>
      </c>
      <c r="V6" s="676">
        <v>0</v>
      </c>
      <c r="W6" s="674">
        <v>0.88372981752173496</v>
      </c>
      <c r="X6" s="676"/>
      <c r="Y6" s="676"/>
      <c r="Z6" s="676"/>
      <c r="AA6" s="676">
        <v>0.88372981752173496</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c r="A9" s="681"/>
      <c r="B9" s="680" t="s">
        <v>968</v>
      </c>
      <c r="C9" s="679" t="s">
        <v>1282</v>
      </c>
      <c r="D9" s="679"/>
      <c r="E9" s="679"/>
      <c r="F9" s="678" t="s">
        <v>1281</v>
      </c>
      <c r="G9" s="678"/>
      <c r="H9" s="677">
        <v>0.88372981752173496</v>
      </c>
      <c r="I9" s="674">
        <v>0</v>
      </c>
      <c r="J9" s="676"/>
      <c r="K9" s="676"/>
      <c r="L9" s="676"/>
      <c r="M9" s="676"/>
      <c r="N9" s="676"/>
      <c r="O9" s="676">
        <v>0</v>
      </c>
      <c r="P9" s="676">
        <v>0</v>
      </c>
      <c r="Q9" s="676">
        <v>0</v>
      </c>
      <c r="R9" s="676">
        <v>0</v>
      </c>
      <c r="S9" s="676">
        <v>0</v>
      </c>
      <c r="T9" s="676"/>
      <c r="U9" s="676">
        <v>0</v>
      </c>
      <c r="V9" s="676">
        <v>0</v>
      </c>
      <c r="W9" s="674">
        <v>0.88372981752173496</v>
      </c>
      <c r="X9" s="676"/>
      <c r="Y9" s="676"/>
      <c r="Z9" s="676"/>
      <c r="AA9" s="676">
        <v>0.88372981752173496</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c r="A12" s="680" t="s">
        <v>968</v>
      </c>
      <c r="B12" s="679" t="s">
        <v>164</v>
      </c>
      <c r="C12" s="679"/>
      <c r="D12" s="679"/>
      <c r="E12" s="679"/>
      <c r="F12" s="678" t="s">
        <v>1276</v>
      </c>
      <c r="G12" s="678"/>
      <c r="H12" s="677">
        <v>8173.5215438998757</v>
      </c>
      <c r="I12" s="674">
        <v>754.49030285659694</v>
      </c>
      <c r="J12" s="676">
        <v>0</v>
      </c>
      <c r="K12" s="676">
        <v>0</v>
      </c>
      <c r="L12" s="676">
        <v>459.0618133180472</v>
      </c>
      <c r="M12" s="676">
        <v>0</v>
      </c>
      <c r="N12" s="676">
        <v>0</v>
      </c>
      <c r="O12" s="676">
        <v>0</v>
      </c>
      <c r="P12" s="676">
        <v>295.42848953854974</v>
      </c>
      <c r="Q12" s="676">
        <v>0</v>
      </c>
      <c r="R12" s="676">
        <v>0</v>
      </c>
      <c r="S12" s="676">
        <v>0</v>
      </c>
      <c r="T12" s="676">
        <v>0</v>
      </c>
      <c r="U12" s="676">
        <v>0</v>
      </c>
      <c r="V12" s="676">
        <v>0</v>
      </c>
      <c r="W12" s="674">
        <v>5995.6530046813796</v>
      </c>
      <c r="X12" s="676">
        <v>1505.9472628260246</v>
      </c>
      <c r="Y12" s="676"/>
      <c r="Z12" s="676"/>
      <c r="AA12" s="676"/>
      <c r="AB12" s="676"/>
      <c r="AC12" s="676"/>
      <c r="AD12" s="676">
        <v>79.272953090665894</v>
      </c>
      <c r="AE12" s="676">
        <v>264.25910002866152</v>
      </c>
      <c r="AF12" s="676">
        <v>275.60428011846756</v>
      </c>
      <c r="AG12" s="676"/>
      <c r="AH12" s="676">
        <v>8.4551447406133562</v>
      </c>
      <c r="AI12" s="676">
        <v>274.2189739180281</v>
      </c>
      <c r="AJ12" s="676">
        <v>58.684436801375746</v>
      </c>
      <c r="AK12" s="676">
        <v>99.598738893665796</v>
      </c>
      <c r="AL12" s="676">
        <v>1162.9884398586032</v>
      </c>
      <c r="AM12" s="676">
        <v>1540.0783414540938</v>
      </c>
      <c r="AN12" s="676">
        <v>13.542562338779019</v>
      </c>
      <c r="AO12" s="676">
        <v>41.129263399254796</v>
      </c>
      <c r="AP12" s="676">
        <v>312.98366294067068</v>
      </c>
      <c r="AQ12" s="676">
        <v>316.82908187637332</v>
      </c>
      <c r="AR12" s="676"/>
      <c r="AS12" s="676">
        <v>42.036877806439286</v>
      </c>
      <c r="AT12" s="674">
        <v>0</v>
      </c>
      <c r="AU12" s="676">
        <v>0</v>
      </c>
      <c r="AV12" s="676"/>
      <c r="AW12" s="676"/>
      <c r="AX12" s="676"/>
      <c r="AY12" s="676"/>
      <c r="AZ12" s="674">
        <v>161.7225566064775</v>
      </c>
      <c r="BA12" s="676"/>
      <c r="BB12" s="676"/>
      <c r="BC12" s="676"/>
      <c r="BD12" s="676">
        <v>0</v>
      </c>
      <c r="BE12" s="676"/>
      <c r="BF12" s="676">
        <v>45.404604948886977</v>
      </c>
      <c r="BG12" s="676">
        <v>0</v>
      </c>
      <c r="BH12" s="676">
        <v>0</v>
      </c>
      <c r="BI12" s="676">
        <v>0</v>
      </c>
      <c r="BJ12" s="676">
        <v>4.8008025222126678</v>
      </c>
      <c r="BK12" s="676">
        <v>110.60953472819337</v>
      </c>
      <c r="BL12" s="676">
        <v>0</v>
      </c>
      <c r="BM12" s="676">
        <v>0.93149899684723414</v>
      </c>
      <c r="BN12" s="676">
        <v>0</v>
      </c>
      <c r="BO12" s="674">
        <v>0</v>
      </c>
      <c r="BP12" s="676">
        <v>0</v>
      </c>
      <c r="BQ12" s="676">
        <v>0</v>
      </c>
      <c r="BR12" s="675"/>
      <c r="BS12" s="675">
        <v>0</v>
      </c>
      <c r="BT12" s="674">
        <v>1261.6556797554217</v>
      </c>
    </row>
    <row r="13" spans="1:73">
      <c r="A13" s="680" t="s">
        <v>968</v>
      </c>
      <c r="B13" s="679" t="s">
        <v>1275</v>
      </c>
      <c r="C13" s="679"/>
      <c r="D13" s="679"/>
      <c r="E13" s="679"/>
      <c r="F13" s="678" t="s">
        <v>1274</v>
      </c>
      <c r="G13" s="678"/>
      <c r="H13" s="677">
        <v>21.854399541415876</v>
      </c>
      <c r="I13" s="674">
        <v>-152.40756663800516</v>
      </c>
      <c r="J13" s="676">
        <v>0</v>
      </c>
      <c r="K13" s="676">
        <v>0</v>
      </c>
      <c r="L13" s="676">
        <v>-148.99207031623195</v>
      </c>
      <c r="M13" s="676">
        <v>0</v>
      </c>
      <c r="N13" s="676">
        <v>0</v>
      </c>
      <c r="O13" s="676">
        <v>0</v>
      </c>
      <c r="P13" s="676">
        <v>-3.3916117321104422</v>
      </c>
      <c r="Q13" s="676">
        <v>0</v>
      </c>
      <c r="R13" s="676">
        <v>0</v>
      </c>
      <c r="S13" s="676">
        <v>0</v>
      </c>
      <c r="T13" s="676">
        <v>0</v>
      </c>
      <c r="U13" s="676">
        <v>0</v>
      </c>
      <c r="V13" s="676">
        <v>0</v>
      </c>
      <c r="W13" s="674">
        <v>139.29492691315562</v>
      </c>
      <c r="X13" s="676">
        <v>-150.68787618228717</v>
      </c>
      <c r="Y13" s="676"/>
      <c r="Z13" s="676"/>
      <c r="AA13" s="676"/>
      <c r="AB13" s="676"/>
      <c r="AC13" s="676"/>
      <c r="AD13" s="676">
        <v>-2.1973822489729624</v>
      </c>
      <c r="AE13" s="676">
        <v>-66.06477500716538</v>
      </c>
      <c r="AF13" s="676">
        <v>142.63876946594056</v>
      </c>
      <c r="AG13" s="676"/>
      <c r="AH13" s="676"/>
      <c r="AI13" s="676">
        <v>59.568166618897486</v>
      </c>
      <c r="AJ13" s="676">
        <v>-44.258144645074992</v>
      </c>
      <c r="AK13" s="676">
        <v>41.941339447788287</v>
      </c>
      <c r="AL13" s="676">
        <v>165.99789815610967</v>
      </c>
      <c r="AM13" s="676">
        <v>18.152288143689692</v>
      </c>
      <c r="AN13" s="676">
        <v>2.0779593006592147</v>
      </c>
      <c r="AO13" s="676">
        <v>9.0283748925193468</v>
      </c>
      <c r="AP13" s="676">
        <v>-0.93149899684723414</v>
      </c>
      <c r="AQ13" s="676">
        <v>-35.94630744243814</v>
      </c>
      <c r="AR13" s="676"/>
      <c r="AS13" s="676"/>
      <c r="AT13" s="674">
        <v>34.967039266265402</v>
      </c>
      <c r="AU13" s="676">
        <v>34.967039266265402</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c r="A14" s="680" t="s">
        <v>1081</v>
      </c>
      <c r="B14" s="679" t="s">
        <v>170</v>
      </c>
      <c r="C14" s="679"/>
      <c r="D14" s="679"/>
      <c r="E14" s="679"/>
      <c r="F14" s="678" t="s">
        <v>1273</v>
      </c>
      <c r="G14" s="678"/>
      <c r="H14" s="677">
        <v>181464.62692270946</v>
      </c>
      <c r="I14" s="674">
        <v>1137.6468902264257</v>
      </c>
      <c r="J14" s="676">
        <v>0</v>
      </c>
      <c r="K14" s="676">
        <v>0</v>
      </c>
      <c r="L14" s="676">
        <v>1134.9240470048724</v>
      </c>
      <c r="M14" s="676">
        <v>0</v>
      </c>
      <c r="N14" s="676">
        <v>0</v>
      </c>
      <c r="O14" s="676">
        <v>0</v>
      </c>
      <c r="P14" s="676">
        <v>2.7228432215534535</v>
      </c>
      <c r="Q14" s="676">
        <v>0</v>
      </c>
      <c r="R14" s="676">
        <v>0</v>
      </c>
      <c r="S14" s="676">
        <v>0</v>
      </c>
      <c r="T14" s="676">
        <v>0</v>
      </c>
      <c r="U14" s="676">
        <v>0</v>
      </c>
      <c r="V14" s="676">
        <v>0</v>
      </c>
      <c r="W14" s="674">
        <v>92217.87522690359</v>
      </c>
      <c r="X14" s="676">
        <v>79078.222031145502</v>
      </c>
      <c r="Y14" s="676"/>
      <c r="Z14" s="676"/>
      <c r="AA14" s="676"/>
      <c r="AB14" s="676"/>
      <c r="AC14" s="676"/>
      <c r="AD14" s="676">
        <v>351.24677558039554</v>
      </c>
      <c r="AE14" s="676">
        <v>4798.5096016050438</v>
      </c>
      <c r="AF14" s="676">
        <v>2119.0885640584693</v>
      </c>
      <c r="AG14" s="676"/>
      <c r="AH14" s="676"/>
      <c r="AI14" s="676">
        <v>36.97334479793637</v>
      </c>
      <c r="AJ14" s="676">
        <v>134.85239323588419</v>
      </c>
      <c r="AK14" s="676">
        <v>2137.9573898920416</v>
      </c>
      <c r="AL14" s="676">
        <v>1972.4371835291868</v>
      </c>
      <c r="AM14" s="676">
        <v>1572.5613833954333</v>
      </c>
      <c r="AN14" s="676"/>
      <c r="AO14" s="676"/>
      <c r="AP14" s="676"/>
      <c r="AQ14" s="676">
        <v>15.047291487532243</v>
      </c>
      <c r="AR14" s="676"/>
      <c r="AS14" s="676">
        <v>0.95538358650998367</v>
      </c>
      <c r="AT14" s="674">
        <v>87489.84904939332</v>
      </c>
      <c r="AU14" s="676">
        <v>87489.84904939332</v>
      </c>
      <c r="AV14" s="676"/>
      <c r="AW14" s="676"/>
      <c r="AX14" s="676"/>
      <c r="AY14" s="676"/>
      <c r="AZ14" s="674">
        <v>6.6876851055698863</v>
      </c>
      <c r="BA14" s="676"/>
      <c r="BB14" s="676"/>
      <c r="BC14" s="676"/>
      <c r="BD14" s="676">
        <v>0</v>
      </c>
      <c r="BE14" s="676"/>
      <c r="BF14" s="676">
        <v>6.6876851055698863</v>
      </c>
      <c r="BG14" s="676">
        <v>0</v>
      </c>
      <c r="BH14" s="676">
        <v>0</v>
      </c>
      <c r="BI14" s="676">
        <v>0</v>
      </c>
      <c r="BJ14" s="676">
        <v>0</v>
      </c>
      <c r="BK14" s="676">
        <v>0</v>
      </c>
      <c r="BL14" s="676">
        <v>0</v>
      </c>
      <c r="BM14" s="676">
        <v>0</v>
      </c>
      <c r="BN14" s="676">
        <v>0</v>
      </c>
      <c r="BO14" s="674">
        <v>0</v>
      </c>
      <c r="BP14" s="676">
        <v>0</v>
      </c>
      <c r="BQ14" s="676">
        <v>0</v>
      </c>
      <c r="BR14" s="675"/>
      <c r="BS14" s="675">
        <v>0</v>
      </c>
      <c r="BT14" s="674">
        <v>612.54418649087609</v>
      </c>
    </row>
    <row r="15" spans="1:73">
      <c r="A15" s="680" t="s">
        <v>1081</v>
      </c>
      <c r="B15" s="679" t="s">
        <v>1272</v>
      </c>
      <c r="C15" s="679"/>
      <c r="D15" s="679"/>
      <c r="E15" s="679"/>
      <c r="F15" s="678" t="s">
        <v>1271</v>
      </c>
      <c r="G15" s="678"/>
      <c r="H15" s="677">
        <v>387.52746727811217</v>
      </c>
      <c r="I15" s="674">
        <v>0</v>
      </c>
      <c r="J15" s="676">
        <v>0</v>
      </c>
      <c r="K15" s="676">
        <v>0</v>
      </c>
      <c r="L15" s="676">
        <v>0</v>
      </c>
      <c r="M15" s="676">
        <v>0</v>
      </c>
      <c r="N15" s="676">
        <v>0</v>
      </c>
      <c r="O15" s="676">
        <v>0</v>
      </c>
      <c r="P15" s="676">
        <v>0</v>
      </c>
      <c r="Q15" s="676">
        <v>0</v>
      </c>
      <c r="R15" s="676">
        <v>0</v>
      </c>
      <c r="S15" s="676">
        <v>0</v>
      </c>
      <c r="T15" s="676">
        <v>0</v>
      </c>
      <c r="U15" s="676">
        <v>0</v>
      </c>
      <c r="V15" s="676">
        <v>0</v>
      </c>
      <c r="W15" s="674">
        <v>387.52746727811217</v>
      </c>
      <c r="X15" s="676"/>
      <c r="Y15" s="676"/>
      <c r="Z15" s="676"/>
      <c r="AA15" s="676"/>
      <c r="AB15" s="676"/>
      <c r="AC15" s="676"/>
      <c r="AD15" s="676"/>
      <c r="AE15" s="676"/>
      <c r="AF15" s="676"/>
      <c r="AG15" s="676"/>
      <c r="AH15" s="676"/>
      <c r="AI15" s="676"/>
      <c r="AJ15" s="676"/>
      <c r="AK15" s="676"/>
      <c r="AL15" s="676">
        <v>192.62921563007546</v>
      </c>
      <c r="AM15" s="676">
        <v>194.89825164803668</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c r="A17" s="709" t="s">
        <v>1268</v>
      </c>
      <c r="B17" s="709"/>
      <c r="C17" s="709"/>
      <c r="D17" s="709"/>
      <c r="E17" s="709"/>
      <c r="F17" s="708" t="s">
        <v>1267</v>
      </c>
      <c r="G17" s="708"/>
      <c r="H17" s="707">
        <v>34338.325212572847</v>
      </c>
      <c r="I17" s="704">
        <v>763.13652431451226</v>
      </c>
      <c r="J17" s="706">
        <v>0</v>
      </c>
      <c r="K17" s="706">
        <v>0</v>
      </c>
      <c r="L17" s="706">
        <v>473.84637431928917</v>
      </c>
      <c r="M17" s="706">
        <v>0</v>
      </c>
      <c r="N17" s="706">
        <v>0</v>
      </c>
      <c r="O17" s="706">
        <v>0</v>
      </c>
      <c r="P17" s="706">
        <v>289.29014999522309</v>
      </c>
      <c r="Q17" s="706">
        <v>0</v>
      </c>
      <c r="R17" s="706">
        <v>0</v>
      </c>
      <c r="S17" s="706">
        <v>0</v>
      </c>
      <c r="T17" s="706">
        <v>0</v>
      </c>
      <c r="U17" s="706">
        <v>0</v>
      </c>
      <c r="V17" s="706">
        <v>0</v>
      </c>
      <c r="W17" s="704">
        <v>13355.426578771376</v>
      </c>
      <c r="X17" s="706">
        <v>13414.899207031622</v>
      </c>
      <c r="Y17" s="706">
        <v>8571.1283080156682</v>
      </c>
      <c r="Z17" s="706"/>
      <c r="AA17" s="706">
        <v>116.8911818094965</v>
      </c>
      <c r="AB17" s="706"/>
      <c r="AC17" s="706"/>
      <c r="AD17" s="706">
        <v>-274.17120473870256</v>
      </c>
      <c r="AE17" s="706">
        <v>-4600.3152765835484</v>
      </c>
      <c r="AF17" s="706">
        <v>-1700.8455144740612</v>
      </c>
      <c r="AG17" s="706"/>
      <c r="AH17" s="706">
        <v>8.4551447406133562</v>
      </c>
      <c r="AI17" s="706">
        <v>296.8137957389892</v>
      </c>
      <c r="AJ17" s="706">
        <v>-120.4499856692462</v>
      </c>
      <c r="AK17" s="706">
        <v>-1996.4173115505876</v>
      </c>
      <c r="AL17" s="706">
        <v>-836.10394573421229</v>
      </c>
      <c r="AM17" s="706">
        <v>-209.22900544568643</v>
      </c>
      <c r="AN17" s="706">
        <v>15.620521639438234</v>
      </c>
      <c r="AO17" s="706">
        <v>50.157638291774148</v>
      </c>
      <c r="AP17" s="706">
        <v>312.05216394382342</v>
      </c>
      <c r="AQ17" s="706">
        <v>265.83548294640298</v>
      </c>
      <c r="AR17" s="706"/>
      <c r="AS17" s="706">
        <v>41.081494219929297</v>
      </c>
      <c r="AT17" s="704">
        <v>7753.2721887837961</v>
      </c>
      <c r="AU17" s="706">
        <v>7753.2721887837961</v>
      </c>
      <c r="AV17" s="706">
        <v>0</v>
      </c>
      <c r="AW17" s="706">
        <v>0</v>
      </c>
      <c r="AX17" s="706">
        <v>0</v>
      </c>
      <c r="AY17" s="706">
        <v>0</v>
      </c>
      <c r="AZ17" s="704">
        <v>11675.05015763829</v>
      </c>
      <c r="BA17" s="706">
        <v>10038.693035253655</v>
      </c>
      <c r="BB17" s="706">
        <v>75.570841692939709</v>
      </c>
      <c r="BC17" s="706">
        <v>0</v>
      </c>
      <c r="BD17" s="706">
        <v>0</v>
      </c>
      <c r="BE17" s="706">
        <v>0</v>
      </c>
      <c r="BF17" s="706">
        <v>1272.1887837966942</v>
      </c>
      <c r="BG17" s="706">
        <v>0</v>
      </c>
      <c r="BH17" s="706">
        <v>29.688544950797745</v>
      </c>
      <c r="BI17" s="706">
        <v>142.56711569695233</v>
      </c>
      <c r="BJ17" s="706">
        <v>4.8008025222126678</v>
      </c>
      <c r="BK17" s="706">
        <v>110.60953472819337</v>
      </c>
      <c r="BL17" s="706">
        <v>0</v>
      </c>
      <c r="BM17" s="706">
        <v>0.93149899684723414</v>
      </c>
      <c r="BN17" s="706">
        <v>0</v>
      </c>
      <c r="BO17" s="704">
        <v>142.35215438998756</v>
      </c>
      <c r="BP17" s="706">
        <v>2.746727811216203</v>
      </c>
      <c r="BQ17" s="706">
        <v>139.60542657877136</v>
      </c>
      <c r="BR17" s="705">
        <v>0</v>
      </c>
      <c r="BS17" s="705">
        <v>0</v>
      </c>
      <c r="BT17" s="704">
        <v>649.08760867488297</v>
      </c>
    </row>
    <row r="18" spans="1:72">
      <c r="A18" s="709" t="s">
        <v>1266</v>
      </c>
      <c r="B18" s="709"/>
      <c r="C18" s="709"/>
      <c r="D18" s="709"/>
      <c r="E18" s="709"/>
      <c r="F18" s="708" t="s">
        <v>1265</v>
      </c>
      <c r="G18" s="708"/>
      <c r="H18" s="707">
        <v>15998.280309544281</v>
      </c>
      <c r="I18" s="704">
        <v>76.860609534728184</v>
      </c>
      <c r="J18" s="706">
        <v>0</v>
      </c>
      <c r="K18" s="706">
        <v>0</v>
      </c>
      <c r="L18" s="706">
        <v>17.459635043469952</v>
      </c>
      <c r="M18" s="706">
        <v>0</v>
      </c>
      <c r="N18" s="706">
        <v>0</v>
      </c>
      <c r="O18" s="706">
        <v>0</v>
      </c>
      <c r="P18" s="706">
        <v>59.400974491258239</v>
      </c>
      <c r="Q18" s="706">
        <v>0</v>
      </c>
      <c r="R18" s="706">
        <v>0</v>
      </c>
      <c r="S18" s="706">
        <v>0</v>
      </c>
      <c r="T18" s="706">
        <v>0</v>
      </c>
      <c r="U18" s="706">
        <v>0</v>
      </c>
      <c r="V18" s="706">
        <v>0</v>
      </c>
      <c r="W18" s="704">
        <v>14617.607719499378</v>
      </c>
      <c r="X18" s="706">
        <v>12868.993025699818</v>
      </c>
      <c r="Y18" s="706"/>
      <c r="Z18" s="706">
        <v>1548.8201012706602</v>
      </c>
      <c r="AA18" s="706">
        <v>116.8911818094965</v>
      </c>
      <c r="AB18" s="706"/>
      <c r="AC18" s="706"/>
      <c r="AD18" s="706"/>
      <c r="AE18" s="706">
        <v>13.208178083500524</v>
      </c>
      <c r="AF18" s="706"/>
      <c r="AG18" s="706"/>
      <c r="AH18" s="706"/>
      <c r="AI18" s="706"/>
      <c r="AJ18" s="706"/>
      <c r="AK18" s="706"/>
      <c r="AL18" s="706">
        <v>69.671348046240567</v>
      </c>
      <c r="AM18" s="706">
        <v>0</v>
      </c>
      <c r="AN18" s="706"/>
      <c r="AO18" s="706"/>
      <c r="AP18" s="706"/>
      <c r="AQ18" s="706"/>
      <c r="AR18" s="706"/>
      <c r="AS18" s="706"/>
      <c r="AT18" s="704">
        <v>802.64163561670011</v>
      </c>
      <c r="AU18" s="706">
        <v>794.23426005541216</v>
      </c>
      <c r="AV18" s="706">
        <v>0</v>
      </c>
      <c r="AW18" s="706">
        <v>8.4073755612878571</v>
      </c>
      <c r="AX18" s="706">
        <v>0</v>
      </c>
      <c r="AY18" s="706">
        <v>0</v>
      </c>
      <c r="AZ18" s="704">
        <v>268.72551829559569</v>
      </c>
      <c r="BA18" s="706"/>
      <c r="BB18" s="706"/>
      <c r="BC18" s="706"/>
      <c r="BD18" s="706">
        <v>0</v>
      </c>
      <c r="BE18" s="706"/>
      <c r="BF18" s="706">
        <v>143.92853730772904</v>
      </c>
      <c r="BG18" s="706">
        <v>0</v>
      </c>
      <c r="BH18" s="706">
        <v>3.9409572943536828</v>
      </c>
      <c r="BI18" s="706">
        <v>120.85602369351294</v>
      </c>
      <c r="BJ18" s="706">
        <v>0</v>
      </c>
      <c r="BK18" s="706">
        <v>0</v>
      </c>
      <c r="BL18" s="706">
        <v>0</v>
      </c>
      <c r="BM18" s="706">
        <v>0</v>
      </c>
      <c r="BN18" s="706">
        <v>0</v>
      </c>
      <c r="BO18" s="704">
        <v>120.6410623865482</v>
      </c>
      <c r="BP18" s="706">
        <v>2.746727811216203</v>
      </c>
      <c r="BQ18" s="706">
        <v>117.894334575332</v>
      </c>
      <c r="BR18" s="705">
        <v>0</v>
      </c>
      <c r="BS18" s="705">
        <v>39.075188688258336</v>
      </c>
      <c r="BT18" s="704">
        <v>72.752460112735264</v>
      </c>
    </row>
    <row r="19" spans="1:72">
      <c r="A19" s="688" t="s">
        <v>968</v>
      </c>
      <c r="B19" s="687" t="s">
        <v>1222</v>
      </c>
      <c r="C19" s="687"/>
      <c r="D19" s="687"/>
      <c r="E19" s="687"/>
      <c r="F19" s="686" t="s">
        <v>1264</v>
      </c>
      <c r="G19" s="686"/>
      <c r="H19" s="685">
        <v>1045.0702206936085</v>
      </c>
      <c r="I19" s="682">
        <v>17.459635043469952</v>
      </c>
      <c r="J19" s="684">
        <v>0</v>
      </c>
      <c r="K19" s="684">
        <v>0</v>
      </c>
      <c r="L19" s="684">
        <v>17.459635043469952</v>
      </c>
      <c r="M19" s="684">
        <v>0</v>
      </c>
      <c r="N19" s="684">
        <v>0</v>
      </c>
      <c r="O19" s="684">
        <v>0</v>
      </c>
      <c r="P19" s="684">
        <v>0</v>
      </c>
      <c r="Q19" s="684">
        <v>0</v>
      </c>
      <c r="R19" s="684">
        <v>0</v>
      </c>
      <c r="S19" s="684">
        <v>0</v>
      </c>
      <c r="T19" s="684">
        <v>0</v>
      </c>
      <c r="U19" s="684">
        <v>0</v>
      </c>
      <c r="V19" s="684">
        <v>0</v>
      </c>
      <c r="W19" s="682">
        <v>3.0811120664946974</v>
      </c>
      <c r="X19" s="684"/>
      <c r="Y19" s="684"/>
      <c r="Z19" s="684"/>
      <c r="AA19" s="684"/>
      <c r="AB19" s="684"/>
      <c r="AC19" s="684"/>
      <c r="AD19" s="684"/>
      <c r="AE19" s="684"/>
      <c r="AF19" s="684"/>
      <c r="AG19" s="684"/>
      <c r="AH19" s="684"/>
      <c r="AI19" s="684"/>
      <c r="AJ19" s="684"/>
      <c r="AK19" s="684"/>
      <c r="AL19" s="684">
        <v>3.0811120664946974</v>
      </c>
      <c r="AM19" s="684">
        <v>0</v>
      </c>
      <c r="AN19" s="684"/>
      <c r="AO19" s="684"/>
      <c r="AP19" s="684"/>
      <c r="AQ19" s="684"/>
      <c r="AR19" s="684"/>
      <c r="AS19" s="684"/>
      <c r="AT19" s="682">
        <v>785.9224228527753</v>
      </c>
      <c r="AU19" s="684">
        <v>778.06439285373074</v>
      </c>
      <c r="AV19" s="684">
        <v>0</v>
      </c>
      <c r="AW19" s="684">
        <v>7.8580299990446161</v>
      </c>
      <c r="AX19" s="684">
        <v>0</v>
      </c>
      <c r="AY19" s="684">
        <v>0</v>
      </c>
      <c r="AZ19" s="682">
        <v>114.62214579153529</v>
      </c>
      <c r="BA19" s="684"/>
      <c r="BB19" s="684"/>
      <c r="BC19" s="684"/>
      <c r="BD19" s="684">
        <v>0</v>
      </c>
      <c r="BE19" s="684"/>
      <c r="BF19" s="684">
        <v>30.357313461354732</v>
      </c>
      <c r="BG19" s="684"/>
      <c r="BH19" s="684">
        <v>2.1018438903219643</v>
      </c>
      <c r="BI19" s="684">
        <v>82.162988439858594</v>
      </c>
      <c r="BJ19" s="684">
        <v>0</v>
      </c>
      <c r="BK19" s="684">
        <v>0</v>
      </c>
      <c r="BL19" s="684">
        <v>0</v>
      </c>
      <c r="BM19" s="684">
        <v>0</v>
      </c>
      <c r="BN19" s="684">
        <v>0</v>
      </c>
      <c r="BO19" s="682">
        <v>84.909716251074798</v>
      </c>
      <c r="BP19" s="684">
        <v>2.746727811216203</v>
      </c>
      <c r="BQ19" s="684">
        <v>82.162988439858594</v>
      </c>
      <c r="BR19" s="683"/>
      <c r="BS19" s="683">
        <v>39.075188688258336</v>
      </c>
      <c r="BT19" s="682"/>
    </row>
    <row r="20" spans="1:72">
      <c r="A20" s="681"/>
      <c r="B20" s="680" t="s">
        <v>968</v>
      </c>
      <c r="C20" s="679" t="s">
        <v>1220</v>
      </c>
      <c r="D20" s="679"/>
      <c r="E20" s="679"/>
      <c r="F20" s="678" t="s">
        <v>1263</v>
      </c>
      <c r="G20" s="678"/>
      <c r="H20" s="677">
        <v>191.74548581255374</v>
      </c>
      <c r="I20" s="674">
        <v>17.459635043469952</v>
      </c>
      <c r="J20" s="676">
        <v>0</v>
      </c>
      <c r="K20" s="676">
        <v>0</v>
      </c>
      <c r="L20" s="676">
        <v>17.459635043469952</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7.8580299990446161</v>
      </c>
      <c r="AU20" s="676">
        <v>0</v>
      </c>
      <c r="AV20" s="676">
        <v>0</v>
      </c>
      <c r="AW20" s="676">
        <v>7.8580299990446161</v>
      </c>
      <c r="AX20" s="676">
        <v>0</v>
      </c>
      <c r="AY20" s="676">
        <v>0</v>
      </c>
      <c r="AZ20" s="674">
        <v>84.264832330180568</v>
      </c>
      <c r="BA20" s="676"/>
      <c r="BB20" s="676"/>
      <c r="BC20" s="676"/>
      <c r="BD20" s="676">
        <v>0</v>
      </c>
      <c r="BE20" s="676"/>
      <c r="BF20" s="676">
        <v>0</v>
      </c>
      <c r="BG20" s="676"/>
      <c r="BH20" s="676">
        <v>2.1018438903219643</v>
      </c>
      <c r="BI20" s="676">
        <v>82.162988439858594</v>
      </c>
      <c r="BJ20" s="676">
        <v>0</v>
      </c>
      <c r="BK20" s="676">
        <v>0</v>
      </c>
      <c r="BL20" s="676">
        <v>0</v>
      </c>
      <c r="BM20" s="676">
        <v>0</v>
      </c>
      <c r="BN20" s="676">
        <v>0</v>
      </c>
      <c r="BO20" s="674">
        <v>82.162988439858594</v>
      </c>
      <c r="BP20" s="676">
        <v>0</v>
      </c>
      <c r="BQ20" s="676">
        <v>82.162988439858594</v>
      </c>
      <c r="BR20" s="675"/>
      <c r="BS20" s="675"/>
      <c r="BT20" s="674"/>
    </row>
    <row r="21" spans="1:72">
      <c r="A21" s="681"/>
      <c r="B21" s="680"/>
      <c r="C21" s="680" t="s">
        <v>968</v>
      </c>
      <c r="D21" s="679" t="s">
        <v>1262</v>
      </c>
      <c r="E21" s="679"/>
      <c r="F21" s="678" t="s">
        <v>1261</v>
      </c>
      <c r="G21" s="678"/>
      <c r="H21" s="677">
        <v>9.0522594821820963</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7.8580299990446161</v>
      </c>
      <c r="AU21" s="676">
        <v>0</v>
      </c>
      <c r="AV21" s="676">
        <v>0</v>
      </c>
      <c r="AW21" s="676">
        <v>7.8580299990446161</v>
      </c>
      <c r="AX21" s="676">
        <v>0</v>
      </c>
      <c r="AY21" s="676">
        <v>0</v>
      </c>
      <c r="AZ21" s="674">
        <v>1.1942294831374796</v>
      </c>
      <c r="BA21" s="676"/>
      <c r="BB21" s="676"/>
      <c r="BC21" s="676"/>
      <c r="BD21" s="676">
        <v>0</v>
      </c>
      <c r="BE21" s="676"/>
      <c r="BF21" s="676">
        <v>0</v>
      </c>
      <c r="BG21" s="676"/>
      <c r="BH21" s="676">
        <v>1.1942294831374796</v>
      </c>
      <c r="BI21" s="676">
        <v>0</v>
      </c>
      <c r="BJ21" s="676">
        <v>0</v>
      </c>
      <c r="BK21" s="676">
        <v>0</v>
      </c>
      <c r="BL21" s="676">
        <v>0</v>
      </c>
      <c r="BM21" s="676">
        <v>0</v>
      </c>
      <c r="BN21" s="676">
        <v>0</v>
      </c>
      <c r="BO21" s="674">
        <v>0</v>
      </c>
      <c r="BP21" s="676">
        <v>0</v>
      </c>
      <c r="BQ21" s="676">
        <v>0</v>
      </c>
      <c r="BR21" s="675"/>
      <c r="BS21" s="675"/>
      <c r="BT21" s="674"/>
    </row>
    <row r="22" spans="1:72">
      <c r="A22" s="681"/>
      <c r="B22" s="680"/>
      <c r="C22" s="680" t="s">
        <v>968</v>
      </c>
      <c r="D22" s="679" t="s">
        <v>1260</v>
      </c>
      <c r="E22" s="679"/>
      <c r="F22" s="678" t="s">
        <v>1259</v>
      </c>
      <c r="G22" s="678"/>
      <c r="H22" s="677">
        <v>182.69322633037163</v>
      </c>
      <c r="I22" s="674">
        <v>17.459635043469952</v>
      </c>
      <c r="J22" s="676">
        <v>0</v>
      </c>
      <c r="K22" s="676">
        <v>0</v>
      </c>
      <c r="L22" s="676">
        <v>17.459635043469952</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83.070602847043077</v>
      </c>
      <c r="BA22" s="676"/>
      <c r="BB22" s="676"/>
      <c r="BC22" s="676"/>
      <c r="BD22" s="676">
        <v>0</v>
      </c>
      <c r="BE22" s="676"/>
      <c r="BF22" s="676">
        <v>0</v>
      </c>
      <c r="BG22" s="676"/>
      <c r="BH22" s="676">
        <v>0.9076144071844845</v>
      </c>
      <c r="BI22" s="676">
        <v>82.162988439858594</v>
      </c>
      <c r="BJ22" s="676">
        <v>0</v>
      </c>
      <c r="BK22" s="676">
        <v>0</v>
      </c>
      <c r="BL22" s="676">
        <v>0</v>
      </c>
      <c r="BM22" s="676">
        <v>0</v>
      </c>
      <c r="BN22" s="676">
        <v>0</v>
      </c>
      <c r="BO22" s="674">
        <v>82.162988439858594</v>
      </c>
      <c r="BP22" s="676">
        <v>0</v>
      </c>
      <c r="BQ22" s="676">
        <v>82.162988439858594</v>
      </c>
      <c r="BR22" s="675"/>
      <c r="BS22" s="675"/>
      <c r="BT22" s="674"/>
    </row>
    <row r="23" spans="1:72">
      <c r="A23" s="681"/>
      <c r="B23" s="680" t="s">
        <v>968</v>
      </c>
      <c r="C23" s="679" t="s">
        <v>1190</v>
      </c>
      <c r="D23" s="679"/>
      <c r="E23" s="679"/>
      <c r="F23" s="678" t="s">
        <v>1258</v>
      </c>
      <c r="G23" s="678"/>
      <c r="H23" s="677">
        <v>814.2495461927964</v>
      </c>
      <c r="I23" s="674">
        <v>0</v>
      </c>
      <c r="J23" s="676">
        <v>0</v>
      </c>
      <c r="K23" s="676">
        <v>0</v>
      </c>
      <c r="L23" s="676">
        <v>0</v>
      </c>
      <c r="M23" s="676">
        <v>0</v>
      </c>
      <c r="N23" s="676">
        <v>0</v>
      </c>
      <c r="O23" s="676">
        <v>0</v>
      </c>
      <c r="P23" s="676">
        <v>0</v>
      </c>
      <c r="Q23" s="676">
        <v>0</v>
      </c>
      <c r="R23" s="676">
        <v>0</v>
      </c>
      <c r="S23" s="676">
        <v>0</v>
      </c>
      <c r="T23" s="676">
        <v>0</v>
      </c>
      <c r="U23" s="676">
        <v>0</v>
      </c>
      <c r="V23" s="676">
        <v>0</v>
      </c>
      <c r="W23" s="674">
        <v>3.0811120664946974</v>
      </c>
      <c r="X23" s="676"/>
      <c r="Y23" s="676"/>
      <c r="Z23" s="676"/>
      <c r="AA23" s="676"/>
      <c r="AB23" s="676"/>
      <c r="AC23" s="676"/>
      <c r="AD23" s="676"/>
      <c r="AE23" s="676"/>
      <c r="AF23" s="676"/>
      <c r="AG23" s="676"/>
      <c r="AH23" s="676"/>
      <c r="AI23" s="676"/>
      <c r="AJ23" s="676"/>
      <c r="AK23" s="676"/>
      <c r="AL23" s="676">
        <v>3.0811120664946974</v>
      </c>
      <c r="AM23" s="676">
        <v>0</v>
      </c>
      <c r="AN23" s="676"/>
      <c r="AO23" s="676"/>
      <c r="AP23" s="676"/>
      <c r="AQ23" s="676"/>
      <c r="AR23" s="676"/>
      <c r="AS23" s="676"/>
      <c r="AT23" s="674">
        <v>778.06439285373074</v>
      </c>
      <c r="AU23" s="676">
        <v>778.06439285373074</v>
      </c>
      <c r="AV23" s="676">
        <v>0</v>
      </c>
      <c r="AW23" s="676">
        <v>0</v>
      </c>
      <c r="AX23" s="676">
        <v>0</v>
      </c>
      <c r="AY23" s="676">
        <v>0</v>
      </c>
      <c r="AZ23" s="674">
        <v>30.357313461354732</v>
      </c>
      <c r="BA23" s="676"/>
      <c r="BB23" s="676"/>
      <c r="BC23" s="676"/>
      <c r="BD23" s="676">
        <v>0</v>
      </c>
      <c r="BE23" s="676"/>
      <c r="BF23" s="676">
        <v>30.357313461354732</v>
      </c>
      <c r="BG23" s="676"/>
      <c r="BH23" s="676">
        <v>0</v>
      </c>
      <c r="BI23" s="676">
        <v>0</v>
      </c>
      <c r="BJ23" s="676">
        <v>0</v>
      </c>
      <c r="BK23" s="676">
        <v>0</v>
      </c>
      <c r="BL23" s="676">
        <v>0</v>
      </c>
      <c r="BM23" s="676">
        <v>0</v>
      </c>
      <c r="BN23" s="676">
        <v>0</v>
      </c>
      <c r="BO23" s="674">
        <v>2.746727811216203</v>
      </c>
      <c r="BP23" s="676">
        <v>2.746727811216203</v>
      </c>
      <c r="BQ23" s="676">
        <v>0</v>
      </c>
      <c r="BR23" s="675"/>
      <c r="BS23" s="675"/>
      <c r="BT23" s="674"/>
    </row>
    <row r="24" spans="1:72">
      <c r="A24" s="681"/>
      <c r="B24" s="680"/>
      <c r="C24" s="680" t="s">
        <v>968</v>
      </c>
      <c r="D24" s="679" t="s">
        <v>1257</v>
      </c>
      <c r="E24" s="679"/>
      <c r="F24" s="678" t="s">
        <v>1256</v>
      </c>
      <c r="G24" s="678"/>
      <c r="H24" s="677">
        <v>814.2495461927964</v>
      </c>
      <c r="I24" s="674">
        <v>0</v>
      </c>
      <c r="J24" s="676">
        <v>0</v>
      </c>
      <c r="K24" s="676">
        <v>0</v>
      </c>
      <c r="L24" s="676">
        <v>0</v>
      </c>
      <c r="M24" s="676">
        <v>0</v>
      </c>
      <c r="N24" s="676">
        <v>0</v>
      </c>
      <c r="O24" s="676">
        <v>0</v>
      </c>
      <c r="P24" s="676">
        <v>0</v>
      </c>
      <c r="Q24" s="676">
        <v>0</v>
      </c>
      <c r="R24" s="676">
        <v>0</v>
      </c>
      <c r="S24" s="676">
        <v>0</v>
      </c>
      <c r="T24" s="676">
        <v>0</v>
      </c>
      <c r="U24" s="676">
        <v>0</v>
      </c>
      <c r="V24" s="676">
        <v>0</v>
      </c>
      <c r="W24" s="674">
        <v>3.0811120664946974</v>
      </c>
      <c r="X24" s="676"/>
      <c r="Y24" s="676"/>
      <c r="Z24" s="676"/>
      <c r="AA24" s="676"/>
      <c r="AB24" s="676"/>
      <c r="AC24" s="676"/>
      <c r="AD24" s="676"/>
      <c r="AE24" s="676"/>
      <c r="AF24" s="676"/>
      <c r="AG24" s="676"/>
      <c r="AH24" s="676"/>
      <c r="AI24" s="676"/>
      <c r="AJ24" s="676"/>
      <c r="AK24" s="676"/>
      <c r="AL24" s="676">
        <v>3.0811120664946974</v>
      </c>
      <c r="AM24" s="676">
        <v>0</v>
      </c>
      <c r="AN24" s="676"/>
      <c r="AO24" s="676"/>
      <c r="AP24" s="676"/>
      <c r="AQ24" s="676"/>
      <c r="AR24" s="676"/>
      <c r="AS24" s="676"/>
      <c r="AT24" s="674">
        <v>778.06439285373074</v>
      </c>
      <c r="AU24" s="676">
        <v>778.06439285373074</v>
      </c>
      <c r="AV24" s="676">
        <v>0</v>
      </c>
      <c r="AW24" s="676">
        <v>0</v>
      </c>
      <c r="AX24" s="676">
        <v>0</v>
      </c>
      <c r="AY24" s="676">
        <v>0</v>
      </c>
      <c r="AZ24" s="674">
        <v>30.357313461354732</v>
      </c>
      <c r="BA24" s="676"/>
      <c r="BB24" s="676"/>
      <c r="BC24" s="676"/>
      <c r="BD24" s="676">
        <v>0</v>
      </c>
      <c r="BE24" s="676"/>
      <c r="BF24" s="676">
        <v>30.357313461354732</v>
      </c>
      <c r="BG24" s="676"/>
      <c r="BH24" s="676">
        <v>0</v>
      </c>
      <c r="BI24" s="676">
        <v>0</v>
      </c>
      <c r="BJ24" s="676">
        <v>0</v>
      </c>
      <c r="BK24" s="676">
        <v>0</v>
      </c>
      <c r="BL24" s="676">
        <v>0</v>
      </c>
      <c r="BM24" s="676">
        <v>0</v>
      </c>
      <c r="BN24" s="676">
        <v>0</v>
      </c>
      <c r="BO24" s="674">
        <v>2.746727811216203</v>
      </c>
      <c r="BP24" s="676">
        <v>2.746727811216203</v>
      </c>
      <c r="BQ24" s="676">
        <v>0</v>
      </c>
      <c r="BR24" s="675"/>
      <c r="BS24" s="675"/>
      <c r="BT24" s="674"/>
    </row>
    <row r="25" spans="1:72">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c r="A26" s="681"/>
      <c r="B26" s="680" t="s">
        <v>968</v>
      </c>
      <c r="C26" s="679" t="s">
        <v>1253</v>
      </c>
      <c r="D26" s="679"/>
      <c r="E26" s="679"/>
      <c r="F26" s="678" t="s">
        <v>1252</v>
      </c>
      <c r="G26" s="678"/>
      <c r="H26" s="677">
        <v>39.075188688258336</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39.075188688258336</v>
      </c>
      <c r="BT26" s="674"/>
    </row>
    <row r="27" spans="1:72">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c r="A29" s="680" t="s">
        <v>968</v>
      </c>
      <c r="B29" s="679" t="s">
        <v>1138</v>
      </c>
      <c r="C29" s="679"/>
      <c r="D29" s="679"/>
      <c r="E29" s="679"/>
      <c r="F29" s="678" t="s">
        <v>1248</v>
      </c>
      <c r="G29" s="678"/>
      <c r="H29" s="677">
        <v>59.400974491258239</v>
      </c>
      <c r="I29" s="674">
        <v>59.400974491258239</v>
      </c>
      <c r="J29" s="676"/>
      <c r="K29" s="676"/>
      <c r="L29" s="676"/>
      <c r="M29" s="676"/>
      <c r="N29" s="676"/>
      <c r="O29" s="676"/>
      <c r="P29" s="676">
        <v>59.400974491258239</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c r="A31" s="680" t="s">
        <v>968</v>
      </c>
      <c r="B31" s="679" t="s">
        <v>287</v>
      </c>
      <c r="C31" s="679"/>
      <c r="D31" s="679"/>
      <c r="E31" s="679"/>
      <c r="F31" s="678" t="s">
        <v>1246</v>
      </c>
      <c r="G31" s="678"/>
      <c r="H31" s="677">
        <v>14534.728193369638</v>
      </c>
      <c r="I31" s="674"/>
      <c r="J31" s="676"/>
      <c r="K31" s="676"/>
      <c r="L31" s="676"/>
      <c r="M31" s="676"/>
      <c r="N31" s="676"/>
      <c r="O31" s="676"/>
      <c r="P31" s="676"/>
      <c r="Q31" s="676"/>
      <c r="R31" s="676"/>
      <c r="S31" s="676"/>
      <c r="T31" s="676"/>
      <c r="U31" s="676"/>
      <c r="V31" s="676"/>
      <c r="W31" s="674">
        <v>14534.728193369638</v>
      </c>
      <c r="X31" s="676">
        <v>12868.993025699818</v>
      </c>
      <c r="Y31" s="676"/>
      <c r="Z31" s="676">
        <v>1548.8201012706602</v>
      </c>
      <c r="AA31" s="676">
        <v>116.8911818094965</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c r="A32" s="680" t="s">
        <v>968</v>
      </c>
      <c r="B32" s="679" t="s">
        <v>1245</v>
      </c>
      <c r="C32" s="679"/>
      <c r="D32" s="679"/>
      <c r="E32" s="679"/>
      <c r="F32" s="678" t="s">
        <v>1244</v>
      </c>
      <c r="G32" s="678"/>
      <c r="H32" s="677">
        <v>359.10480557944015</v>
      </c>
      <c r="I32" s="674">
        <v>0</v>
      </c>
      <c r="J32" s="676">
        <v>0</v>
      </c>
      <c r="K32" s="676">
        <v>0</v>
      </c>
      <c r="L32" s="676">
        <v>0</v>
      </c>
      <c r="M32" s="676">
        <v>0</v>
      </c>
      <c r="N32" s="676">
        <v>0</v>
      </c>
      <c r="O32" s="676">
        <v>0</v>
      </c>
      <c r="P32" s="676">
        <v>0</v>
      </c>
      <c r="Q32" s="676">
        <v>0</v>
      </c>
      <c r="R32" s="676">
        <v>0</v>
      </c>
      <c r="S32" s="676">
        <v>0</v>
      </c>
      <c r="T32" s="676">
        <v>0</v>
      </c>
      <c r="U32" s="676">
        <v>0</v>
      </c>
      <c r="V32" s="676">
        <v>0</v>
      </c>
      <c r="W32" s="674">
        <v>79.82229865290914</v>
      </c>
      <c r="X32" s="676"/>
      <c r="Y32" s="676"/>
      <c r="Z32" s="676"/>
      <c r="AA32" s="676"/>
      <c r="AB32" s="676"/>
      <c r="AC32" s="676"/>
      <c r="AD32" s="676"/>
      <c r="AE32" s="676">
        <v>13.208178083500524</v>
      </c>
      <c r="AF32" s="676"/>
      <c r="AG32" s="676"/>
      <c r="AH32" s="676"/>
      <c r="AI32" s="676"/>
      <c r="AJ32" s="676"/>
      <c r="AK32" s="676"/>
      <c r="AL32" s="676">
        <v>66.59023597974587</v>
      </c>
      <c r="AM32" s="676">
        <v>0</v>
      </c>
      <c r="AN32" s="676"/>
      <c r="AO32" s="676"/>
      <c r="AP32" s="676"/>
      <c r="AQ32" s="676"/>
      <c r="AR32" s="676"/>
      <c r="AS32" s="676"/>
      <c r="AT32" s="674">
        <v>16.719212763924716</v>
      </c>
      <c r="AU32" s="676">
        <v>16.169867201681473</v>
      </c>
      <c r="AV32" s="676">
        <v>0</v>
      </c>
      <c r="AW32" s="676">
        <v>0.5493455622432406</v>
      </c>
      <c r="AX32" s="676">
        <v>0</v>
      </c>
      <c r="AY32" s="676">
        <v>0</v>
      </c>
      <c r="AZ32" s="674">
        <v>154.10337250406036</v>
      </c>
      <c r="BA32" s="676"/>
      <c r="BB32" s="676"/>
      <c r="BC32" s="676"/>
      <c r="BD32" s="676">
        <v>0</v>
      </c>
      <c r="BE32" s="676"/>
      <c r="BF32" s="676">
        <v>113.57122384637431</v>
      </c>
      <c r="BG32" s="676"/>
      <c r="BH32" s="676">
        <v>1.8391134040317187</v>
      </c>
      <c r="BI32" s="676">
        <v>38.693035253654344</v>
      </c>
      <c r="BJ32" s="676">
        <v>0</v>
      </c>
      <c r="BK32" s="676">
        <v>0</v>
      </c>
      <c r="BL32" s="676">
        <v>0</v>
      </c>
      <c r="BM32" s="676">
        <v>0</v>
      </c>
      <c r="BN32" s="676">
        <v>0</v>
      </c>
      <c r="BO32" s="674">
        <v>35.731346135473387</v>
      </c>
      <c r="BP32" s="676">
        <v>0</v>
      </c>
      <c r="BQ32" s="676">
        <v>35.731346135473387</v>
      </c>
      <c r="BR32" s="675"/>
      <c r="BS32" s="675"/>
      <c r="BT32" s="674">
        <v>72.752460112735264</v>
      </c>
    </row>
    <row r="33" spans="1:72">
      <c r="A33" s="681"/>
      <c r="B33" s="680" t="s">
        <v>968</v>
      </c>
      <c r="C33" s="679" t="s">
        <v>1243</v>
      </c>
      <c r="D33" s="679"/>
      <c r="E33" s="679"/>
      <c r="F33" s="678" t="s">
        <v>1242</v>
      </c>
      <c r="G33" s="678"/>
      <c r="H33" s="677">
        <v>286.3762300563676</v>
      </c>
      <c r="I33" s="674">
        <v>0</v>
      </c>
      <c r="J33" s="676">
        <v>0</v>
      </c>
      <c r="K33" s="676">
        <v>0</v>
      </c>
      <c r="L33" s="676">
        <v>0</v>
      </c>
      <c r="M33" s="676">
        <v>0</v>
      </c>
      <c r="N33" s="676">
        <v>0</v>
      </c>
      <c r="O33" s="676">
        <v>0</v>
      </c>
      <c r="P33" s="676">
        <v>0</v>
      </c>
      <c r="Q33" s="676">
        <v>0</v>
      </c>
      <c r="R33" s="676">
        <v>0</v>
      </c>
      <c r="S33" s="676">
        <v>0</v>
      </c>
      <c r="T33" s="676">
        <v>0</v>
      </c>
      <c r="U33" s="676">
        <v>0</v>
      </c>
      <c r="V33" s="676">
        <v>0</v>
      </c>
      <c r="W33" s="674">
        <v>79.82229865290914</v>
      </c>
      <c r="X33" s="676"/>
      <c r="Y33" s="676"/>
      <c r="Z33" s="676"/>
      <c r="AA33" s="676"/>
      <c r="AB33" s="676"/>
      <c r="AC33" s="676"/>
      <c r="AD33" s="676"/>
      <c r="AE33" s="676">
        <v>13.208178083500524</v>
      </c>
      <c r="AF33" s="676"/>
      <c r="AG33" s="676"/>
      <c r="AH33" s="676"/>
      <c r="AI33" s="676"/>
      <c r="AJ33" s="676"/>
      <c r="AK33" s="676"/>
      <c r="AL33" s="676">
        <v>66.59023597974587</v>
      </c>
      <c r="AM33" s="676">
        <v>0</v>
      </c>
      <c r="AN33" s="676"/>
      <c r="AO33" s="676"/>
      <c r="AP33" s="676"/>
      <c r="AQ33" s="676"/>
      <c r="AR33" s="676"/>
      <c r="AS33" s="676"/>
      <c r="AT33" s="674">
        <v>16.719212763924716</v>
      </c>
      <c r="AU33" s="676">
        <v>16.169867201681473</v>
      </c>
      <c r="AV33" s="676">
        <v>0</v>
      </c>
      <c r="AW33" s="676">
        <v>0.5493455622432406</v>
      </c>
      <c r="AX33" s="676">
        <v>0</v>
      </c>
      <c r="AY33" s="676">
        <v>0</v>
      </c>
      <c r="AZ33" s="674">
        <v>154.10337250406036</v>
      </c>
      <c r="BA33" s="676"/>
      <c r="BB33" s="676"/>
      <c r="BC33" s="676"/>
      <c r="BD33" s="676">
        <v>0</v>
      </c>
      <c r="BE33" s="676"/>
      <c r="BF33" s="676">
        <v>113.57122384637431</v>
      </c>
      <c r="BG33" s="676"/>
      <c r="BH33" s="676">
        <v>1.8391134040317187</v>
      </c>
      <c r="BI33" s="676">
        <v>38.693035253654344</v>
      </c>
      <c r="BJ33" s="676">
        <v>0</v>
      </c>
      <c r="BK33" s="676">
        <v>0</v>
      </c>
      <c r="BL33" s="676">
        <v>0</v>
      </c>
      <c r="BM33" s="676">
        <v>0</v>
      </c>
      <c r="BN33" s="676">
        <v>0</v>
      </c>
      <c r="BO33" s="674">
        <v>35.731346135473387</v>
      </c>
      <c r="BP33" s="676">
        <v>0</v>
      </c>
      <c r="BQ33" s="676">
        <v>35.731346135473387</v>
      </c>
      <c r="BR33" s="675"/>
      <c r="BS33" s="675"/>
      <c r="BT33" s="674"/>
    </row>
    <row r="34" spans="1:72">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c r="A35" s="681"/>
      <c r="B35" s="680" t="s">
        <v>968</v>
      </c>
      <c r="C35" s="679" t="s">
        <v>1239</v>
      </c>
      <c r="D35" s="679"/>
      <c r="E35" s="679"/>
      <c r="F35" s="678" t="s">
        <v>1238</v>
      </c>
      <c r="G35" s="678"/>
      <c r="H35" s="677">
        <v>15.310021973822488</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15.310021973822488</v>
      </c>
    </row>
    <row r="36" spans="1:72">
      <c r="A36" s="681"/>
      <c r="B36" s="680" t="s">
        <v>968</v>
      </c>
      <c r="C36" s="679" t="s">
        <v>1237</v>
      </c>
      <c r="D36" s="679"/>
      <c r="E36" s="679"/>
      <c r="F36" s="678" t="s">
        <v>1236</v>
      </c>
      <c r="G36" s="678"/>
      <c r="H36" s="677">
        <v>57.44243813891277</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57.44243813891277</v>
      </c>
    </row>
    <row r="37" spans="1:72">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c r="A44" s="722" t="s">
        <v>1224</v>
      </c>
      <c r="B44" s="722"/>
      <c r="C44" s="722"/>
      <c r="D44" s="722"/>
      <c r="E44" s="722"/>
      <c r="F44" s="721" t="s">
        <v>1223</v>
      </c>
      <c r="G44" s="721"/>
      <c r="H44" s="720">
        <v>15589.423903697334</v>
      </c>
      <c r="I44" s="717">
        <v>0</v>
      </c>
      <c r="J44" s="719"/>
      <c r="K44" s="719"/>
      <c r="L44" s="719"/>
      <c r="M44" s="719"/>
      <c r="N44" s="719"/>
      <c r="O44" s="719">
        <v>0</v>
      </c>
      <c r="P44" s="719">
        <v>0</v>
      </c>
      <c r="Q44" s="719">
        <v>0</v>
      </c>
      <c r="R44" s="719">
        <v>0</v>
      </c>
      <c r="S44" s="719">
        <v>0</v>
      </c>
      <c r="T44" s="719"/>
      <c r="U44" s="719">
        <v>0</v>
      </c>
      <c r="V44" s="719"/>
      <c r="W44" s="717">
        <v>14516.169867201681</v>
      </c>
      <c r="X44" s="719"/>
      <c r="Y44" s="719"/>
      <c r="Z44" s="719"/>
      <c r="AA44" s="719"/>
      <c r="AB44" s="719"/>
      <c r="AC44" s="719">
        <v>444.58775198242091</v>
      </c>
      <c r="AD44" s="719"/>
      <c r="AE44" s="719">
        <v>434.93837775867007</v>
      </c>
      <c r="AF44" s="719">
        <v>3565.778159931212</v>
      </c>
      <c r="AG44" s="719"/>
      <c r="AH44" s="719"/>
      <c r="AI44" s="719">
        <v>489.89681857265691</v>
      </c>
      <c r="AJ44" s="719">
        <v>188.37775867010603</v>
      </c>
      <c r="AK44" s="719">
        <v>1613.6906467946881</v>
      </c>
      <c r="AL44" s="719">
        <v>5856.8835387408044</v>
      </c>
      <c r="AM44" s="719">
        <v>1786.5673067736695</v>
      </c>
      <c r="AN44" s="719"/>
      <c r="AO44" s="719"/>
      <c r="AP44" s="719"/>
      <c r="AQ44" s="719">
        <v>135.42562338779018</v>
      </c>
      <c r="AR44" s="719"/>
      <c r="AS44" s="719"/>
      <c r="AT44" s="717">
        <v>59.400974491258239</v>
      </c>
      <c r="AU44" s="719"/>
      <c r="AV44" s="719">
        <v>0</v>
      </c>
      <c r="AW44" s="719">
        <v>59.400974491258239</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531.57542753415498</v>
      </c>
      <c r="BT44" s="717">
        <v>482.27763447023978</v>
      </c>
    </row>
    <row r="45" spans="1:72">
      <c r="A45" s="688" t="s">
        <v>968</v>
      </c>
      <c r="B45" s="687" t="s">
        <v>1222</v>
      </c>
      <c r="C45" s="687"/>
      <c r="D45" s="687"/>
      <c r="E45" s="687"/>
      <c r="F45" s="686" t="s">
        <v>1221</v>
      </c>
      <c r="G45" s="686"/>
      <c r="H45" s="685">
        <v>621.83529186968565</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139.55765739944587</v>
      </c>
      <c r="BT45" s="682">
        <v>482.27763447023978</v>
      </c>
    </row>
    <row r="46" spans="1:72">
      <c r="A46" s="681"/>
      <c r="B46" s="680" t="s">
        <v>968</v>
      </c>
      <c r="C46" s="679" t="s">
        <v>1220</v>
      </c>
      <c r="D46" s="679"/>
      <c r="E46" s="679"/>
      <c r="F46" s="678" t="s">
        <v>1219</v>
      </c>
      <c r="G46" s="678"/>
      <c r="H46" s="677">
        <v>168.09974204643163</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139.55765739944587</v>
      </c>
      <c r="BT46" s="674">
        <v>28.542084646985764</v>
      </c>
    </row>
    <row r="47" spans="1:72">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c r="A48" s="681"/>
      <c r="B48" s="679"/>
      <c r="C48" s="680" t="s">
        <v>968</v>
      </c>
      <c r="D48" s="679" t="s">
        <v>1216</v>
      </c>
      <c r="E48" s="679"/>
      <c r="F48" s="678" t="s">
        <v>1215</v>
      </c>
      <c r="G48" s="678"/>
      <c r="H48" s="677">
        <v>6.1144549536638957</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6.1144549536638957</v>
      </c>
    </row>
    <row r="49" spans="1:72">
      <c r="A49" s="681"/>
      <c r="B49" s="679"/>
      <c r="C49" s="680" t="s">
        <v>968</v>
      </c>
      <c r="D49" s="679" t="s">
        <v>1214</v>
      </c>
      <c r="E49" s="679"/>
      <c r="F49" s="678" t="s">
        <v>1213</v>
      </c>
      <c r="G49" s="678"/>
      <c r="H49" s="677">
        <v>2.4839973249259577</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2.4839973249259577</v>
      </c>
    </row>
    <row r="50" spans="1:72">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c r="A52" s="681"/>
      <c r="B52" s="679"/>
      <c r="C52" s="680" t="s">
        <v>968</v>
      </c>
      <c r="D52" s="679" t="s">
        <v>1208</v>
      </c>
      <c r="E52" s="679"/>
      <c r="F52" s="678" t="s">
        <v>1207</v>
      </c>
      <c r="G52" s="678"/>
      <c r="H52" s="677">
        <v>19.94363236839591</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19.94363236839591</v>
      </c>
    </row>
    <row r="53" spans="1:72">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c r="A56" s="681"/>
      <c r="B56" s="679"/>
      <c r="C56" s="680" t="s">
        <v>968</v>
      </c>
      <c r="D56" s="679" t="s">
        <v>1200</v>
      </c>
      <c r="E56" s="679"/>
      <c r="F56" s="678" t="s">
        <v>1199</v>
      </c>
      <c r="G56" s="678"/>
      <c r="H56" s="677">
        <v>138.29177414732015</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138.29177414732015</v>
      </c>
      <c r="BT56" s="674"/>
    </row>
    <row r="57" spans="1:72">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c r="A61" s="681"/>
      <c r="B61" s="680" t="s">
        <v>968</v>
      </c>
      <c r="C61" s="679" t="s">
        <v>1190</v>
      </c>
      <c r="D61" s="679"/>
      <c r="E61" s="679"/>
      <c r="F61" s="678" t="s">
        <v>1189</v>
      </c>
      <c r="G61" s="678"/>
      <c r="H61" s="677">
        <v>453.73554982325402</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453.73554982325402</v>
      </c>
    </row>
    <row r="62" spans="1:72">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c r="A63" s="681"/>
      <c r="B63" s="679"/>
      <c r="C63" s="680" t="s">
        <v>968</v>
      </c>
      <c r="D63" s="679" t="s">
        <v>1186</v>
      </c>
      <c r="E63" s="679"/>
      <c r="F63" s="678" t="s">
        <v>1185</v>
      </c>
      <c r="G63" s="678"/>
      <c r="H63" s="677">
        <v>442.91583070602843</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442.91583070602843</v>
      </c>
    </row>
    <row r="64" spans="1:72">
      <c r="A64" s="681"/>
      <c r="B64" s="679"/>
      <c r="C64" s="680" t="s">
        <v>968</v>
      </c>
      <c r="D64" s="679" t="s">
        <v>1184</v>
      </c>
      <c r="E64" s="679"/>
      <c r="F64" s="678" t="s">
        <v>1183</v>
      </c>
      <c r="G64" s="678"/>
      <c r="H64" s="677">
        <v>10.843603706888315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10.843603706888315</v>
      </c>
    </row>
    <row r="65" spans="1:72">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c r="A87" s="680" t="s">
        <v>968</v>
      </c>
      <c r="B87" s="679" t="s">
        <v>1138</v>
      </c>
      <c r="C87" s="679"/>
      <c r="D87" s="679"/>
      <c r="E87" s="679"/>
      <c r="F87" s="678" t="s">
        <v>1137</v>
      </c>
      <c r="G87" s="678"/>
      <c r="H87" s="677">
        <v>59.400974491258239</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59.400974491258239</v>
      </c>
      <c r="AU87" s="676"/>
      <c r="AV87" s="676"/>
      <c r="AW87" s="676">
        <v>59.400974491258239</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c r="A89" s="680" t="s">
        <v>968</v>
      </c>
      <c r="B89" s="679" t="s">
        <v>287</v>
      </c>
      <c r="C89" s="679"/>
      <c r="D89" s="679"/>
      <c r="E89" s="679"/>
      <c r="F89" s="678" t="s">
        <v>1135</v>
      </c>
      <c r="G89" s="678"/>
      <c r="H89" s="677">
        <v>14516.169867201681</v>
      </c>
      <c r="I89" s="674"/>
      <c r="J89" s="676"/>
      <c r="K89" s="676"/>
      <c r="L89" s="676"/>
      <c r="M89" s="676"/>
      <c r="N89" s="676"/>
      <c r="O89" s="676"/>
      <c r="P89" s="676"/>
      <c r="Q89" s="676"/>
      <c r="R89" s="676"/>
      <c r="S89" s="676"/>
      <c r="T89" s="676"/>
      <c r="U89" s="676"/>
      <c r="V89" s="676"/>
      <c r="W89" s="674">
        <v>14516.169867201681</v>
      </c>
      <c r="X89" s="676"/>
      <c r="Y89" s="676"/>
      <c r="Z89" s="676"/>
      <c r="AA89" s="676"/>
      <c r="AB89" s="676"/>
      <c r="AC89" s="676">
        <v>444.58775198242091</v>
      </c>
      <c r="AD89" s="676"/>
      <c r="AE89" s="676">
        <v>434.93837775867007</v>
      </c>
      <c r="AF89" s="676">
        <v>3565.778159931212</v>
      </c>
      <c r="AG89" s="676"/>
      <c r="AH89" s="676"/>
      <c r="AI89" s="676">
        <v>489.89681857265691</v>
      </c>
      <c r="AJ89" s="676">
        <v>188.37775867010603</v>
      </c>
      <c r="AK89" s="676">
        <v>1613.6906467946881</v>
      </c>
      <c r="AL89" s="676">
        <v>5856.8835387408044</v>
      </c>
      <c r="AM89" s="676">
        <v>1786.5673067736695</v>
      </c>
      <c r="AN89" s="676"/>
      <c r="AO89" s="676"/>
      <c r="AP89" s="676"/>
      <c r="AQ89" s="676">
        <v>135.42562338779018</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c r="A93" s="680" t="s">
        <v>968</v>
      </c>
      <c r="B93" s="679" t="s">
        <v>1129</v>
      </c>
      <c r="C93" s="679"/>
      <c r="D93" s="679"/>
      <c r="E93" s="679"/>
      <c r="F93" s="678" t="s">
        <v>1128</v>
      </c>
      <c r="G93" s="678"/>
      <c r="H93" s="677">
        <v>392.01777013470905</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392.01777013470905</v>
      </c>
      <c r="BT93" s="674"/>
    </row>
    <row r="94" spans="1:72">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c r="A96" s="681"/>
      <c r="B96" s="680" t="s">
        <v>968</v>
      </c>
      <c r="C96" s="679" t="s">
        <v>1123</v>
      </c>
      <c r="D96" s="679"/>
      <c r="E96" s="679"/>
      <c r="F96" s="678" t="s">
        <v>1122</v>
      </c>
      <c r="G96" s="678"/>
      <c r="H96" s="677">
        <v>228.45610012419985</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228.45610012419985</v>
      </c>
      <c r="BT96" s="674"/>
    </row>
    <row r="97" spans="1:72">
      <c r="A97" s="681"/>
      <c r="B97" s="680" t="s">
        <v>968</v>
      </c>
      <c r="C97" s="679" t="s">
        <v>1121</v>
      </c>
      <c r="D97" s="679"/>
      <c r="E97" s="679"/>
      <c r="F97" s="678" t="s">
        <v>1120</v>
      </c>
      <c r="G97" s="678"/>
      <c r="H97" s="677">
        <v>43.971529569121998</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43.971529569121998</v>
      </c>
      <c r="BT97" s="674"/>
    </row>
    <row r="98" spans="1:72">
      <c r="A98" s="681"/>
      <c r="B98" s="680" t="s">
        <v>968</v>
      </c>
      <c r="C98" s="679" t="s">
        <v>1119</v>
      </c>
      <c r="D98" s="679"/>
      <c r="E98" s="679"/>
      <c r="F98" s="678" t="s">
        <v>1118</v>
      </c>
      <c r="G98" s="678"/>
      <c r="H98" s="677">
        <v>56.534823731728288</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56.534823731728288</v>
      </c>
      <c r="BT98" s="674"/>
    </row>
    <row r="99" spans="1:72">
      <c r="A99" s="681"/>
      <c r="B99" s="680" t="s">
        <v>968</v>
      </c>
      <c r="C99" s="679" t="s">
        <v>1117</v>
      </c>
      <c r="D99" s="679"/>
      <c r="E99" s="679"/>
      <c r="F99" s="678" t="s">
        <v>1116</v>
      </c>
      <c r="G99" s="678"/>
      <c r="H99" s="677">
        <v>23.980128021400592</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23.980128021400592</v>
      </c>
      <c r="BT99" s="674"/>
    </row>
    <row r="100" spans="1:72">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c r="A106" s="681"/>
      <c r="B106" s="680" t="s">
        <v>968</v>
      </c>
      <c r="C106" s="679" t="s">
        <v>1103</v>
      </c>
      <c r="D106" s="679"/>
      <c r="E106" s="679"/>
      <c r="F106" s="678" t="s">
        <v>1102</v>
      </c>
      <c r="G106" s="678"/>
      <c r="H106" s="677">
        <v>32.817426196617937</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32.817426196617937</v>
      </c>
      <c r="BT106" s="674"/>
    </row>
    <row r="107" spans="1:72">
      <c r="A107" s="681"/>
      <c r="B107" s="680" t="s">
        <v>968</v>
      </c>
      <c r="C107" s="679" t="s">
        <v>1101</v>
      </c>
      <c r="D107" s="679"/>
      <c r="E107" s="679"/>
      <c r="F107" s="678" t="s">
        <v>1100</v>
      </c>
      <c r="G107" s="678"/>
      <c r="H107" s="677">
        <v>6.2577624916403929</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6.2577624916403929</v>
      </c>
      <c r="BT107" s="674"/>
    </row>
    <row r="108" spans="1:72">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c r="A109" s="709" t="s">
        <v>1097</v>
      </c>
      <c r="B109" s="709"/>
      <c r="C109" s="709"/>
      <c r="D109" s="709"/>
      <c r="E109" s="709"/>
      <c r="F109" s="708" t="s">
        <v>1096</v>
      </c>
      <c r="G109" s="708"/>
      <c r="H109" s="707">
        <v>419.27008693990638</v>
      </c>
      <c r="I109" s="704"/>
      <c r="J109" s="706"/>
      <c r="K109" s="706"/>
      <c r="L109" s="706"/>
      <c r="M109" s="706"/>
      <c r="N109" s="706"/>
      <c r="O109" s="706"/>
      <c r="P109" s="706"/>
      <c r="Q109" s="706"/>
      <c r="R109" s="706"/>
      <c r="S109" s="706"/>
      <c r="T109" s="706"/>
      <c r="U109" s="706"/>
      <c r="V109" s="706"/>
      <c r="W109" s="704">
        <v>419.27008693990638</v>
      </c>
      <c r="X109" s="706">
        <v>0</v>
      </c>
      <c r="Y109" s="706">
        <v>-8571.1283080156682</v>
      </c>
      <c r="Z109" s="706">
        <v>1601.3661985287092</v>
      </c>
      <c r="AA109" s="706"/>
      <c r="AB109" s="706"/>
      <c r="AC109" s="706">
        <v>0</v>
      </c>
      <c r="AD109" s="706">
        <v>957.93923760389794</v>
      </c>
      <c r="AE109" s="706">
        <v>5671.6585459061807</v>
      </c>
      <c r="AF109" s="706">
        <v>0</v>
      </c>
      <c r="AG109" s="706">
        <v>0</v>
      </c>
      <c r="AH109" s="706">
        <v>0</v>
      </c>
      <c r="AI109" s="706">
        <v>0</v>
      </c>
      <c r="AJ109" s="706">
        <v>0</v>
      </c>
      <c r="AK109" s="706">
        <v>2227.0946785134229</v>
      </c>
      <c r="AL109" s="706">
        <v>-1.0270373554982324</v>
      </c>
      <c r="AM109" s="706">
        <v>-1465.5584217063149</v>
      </c>
      <c r="AN109" s="706">
        <v>-1.0509219451609821</v>
      </c>
      <c r="AO109" s="706">
        <v>0</v>
      </c>
      <c r="AP109" s="706">
        <v>0</v>
      </c>
      <c r="AQ109" s="706">
        <v>0</v>
      </c>
      <c r="AR109" s="706">
        <v>0</v>
      </c>
      <c r="AS109" s="706">
        <v>0</v>
      </c>
      <c r="AT109" s="704"/>
      <c r="AU109" s="706"/>
      <c r="AV109" s="706"/>
      <c r="AW109" s="706"/>
      <c r="AX109" s="706"/>
      <c r="AY109" s="706"/>
      <c r="AZ109" s="704">
        <v>-10114.263876946594</v>
      </c>
      <c r="BA109" s="706">
        <v>-10038.693035253655</v>
      </c>
      <c r="BB109" s="706">
        <v>-75.570841692939709</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10114.263876946594</v>
      </c>
    </row>
    <row r="110" spans="1:72">
      <c r="A110" s="688" t="s">
        <v>968</v>
      </c>
      <c r="B110" s="687" t="s">
        <v>1095</v>
      </c>
      <c r="C110" s="687"/>
      <c r="D110" s="687"/>
      <c r="E110" s="687"/>
      <c r="F110" s="686" t="s">
        <v>1094</v>
      </c>
      <c r="G110" s="686"/>
      <c r="H110" s="685">
        <v>339.49555746632274</v>
      </c>
      <c r="I110" s="682"/>
      <c r="J110" s="684"/>
      <c r="K110" s="684"/>
      <c r="L110" s="684"/>
      <c r="M110" s="684"/>
      <c r="N110" s="684"/>
      <c r="O110" s="684"/>
      <c r="P110" s="684"/>
      <c r="Q110" s="684"/>
      <c r="R110" s="684"/>
      <c r="S110" s="684"/>
      <c r="T110" s="684"/>
      <c r="U110" s="684"/>
      <c r="V110" s="684"/>
      <c r="W110" s="682">
        <v>339.49555746632274</v>
      </c>
      <c r="X110" s="684"/>
      <c r="Y110" s="684">
        <v>-8571.1283080156682</v>
      </c>
      <c r="Z110" s="684"/>
      <c r="AA110" s="684"/>
      <c r="AB110" s="684"/>
      <c r="AC110" s="684"/>
      <c r="AD110" s="684">
        <v>977.76344702398012</v>
      </c>
      <c r="AE110" s="684">
        <v>5705.7896245342499</v>
      </c>
      <c r="AF110" s="684"/>
      <c r="AG110" s="684"/>
      <c r="AH110" s="684"/>
      <c r="AI110" s="684"/>
      <c r="AJ110" s="684"/>
      <c r="AK110" s="684">
        <v>2227.0946785134229</v>
      </c>
      <c r="AL110" s="684"/>
      <c r="AM110" s="684">
        <v>0</v>
      </c>
      <c r="AN110" s="684"/>
      <c r="AO110" s="684"/>
      <c r="AP110" s="684"/>
      <c r="AQ110" s="684"/>
      <c r="AR110" s="684"/>
      <c r="AS110" s="684"/>
      <c r="AT110" s="682"/>
      <c r="AU110" s="684"/>
      <c r="AV110" s="684"/>
      <c r="AW110" s="684"/>
      <c r="AX110" s="684"/>
      <c r="AY110" s="684"/>
      <c r="AZ110" s="682">
        <v>-10114.263876946594</v>
      </c>
      <c r="BA110" s="684">
        <v>-10038.693035253655</v>
      </c>
      <c r="BB110" s="684">
        <v>-75.570841692939709</v>
      </c>
      <c r="BC110" s="684">
        <v>0</v>
      </c>
      <c r="BD110" s="684"/>
      <c r="BE110" s="684">
        <v>0</v>
      </c>
      <c r="BF110" s="684"/>
      <c r="BG110" s="684"/>
      <c r="BH110" s="684"/>
      <c r="BI110" s="684"/>
      <c r="BJ110" s="684"/>
      <c r="BK110" s="684"/>
      <c r="BL110" s="684"/>
      <c r="BM110" s="684"/>
      <c r="BN110" s="684"/>
      <c r="BO110" s="682"/>
      <c r="BP110" s="684"/>
      <c r="BQ110" s="684"/>
      <c r="BR110" s="683"/>
      <c r="BS110" s="683"/>
      <c r="BT110" s="682">
        <v>10114.263876946594</v>
      </c>
    </row>
    <row r="111" spans="1:72">
      <c r="A111" s="680" t="s">
        <v>968</v>
      </c>
      <c r="B111" s="679" t="s">
        <v>1093</v>
      </c>
      <c r="C111" s="679"/>
      <c r="D111" s="679"/>
      <c r="E111" s="679"/>
      <c r="F111" s="678" t="s">
        <v>1092</v>
      </c>
      <c r="G111" s="678"/>
      <c r="H111" s="677">
        <v>84.217063150855068</v>
      </c>
      <c r="I111" s="674"/>
      <c r="J111" s="676"/>
      <c r="K111" s="676"/>
      <c r="L111" s="676"/>
      <c r="M111" s="676"/>
      <c r="N111" s="676"/>
      <c r="O111" s="676"/>
      <c r="P111" s="676"/>
      <c r="Q111" s="676"/>
      <c r="R111" s="676"/>
      <c r="S111" s="676"/>
      <c r="T111" s="676"/>
      <c r="U111" s="676"/>
      <c r="V111" s="676"/>
      <c r="W111" s="674">
        <v>84.217063150855068</v>
      </c>
      <c r="X111" s="676"/>
      <c r="Y111" s="676"/>
      <c r="Z111" s="676">
        <v>1548.8201012706602</v>
      </c>
      <c r="AA111" s="676"/>
      <c r="AB111" s="676"/>
      <c r="AC111" s="676"/>
      <c r="AD111" s="676"/>
      <c r="AE111" s="676"/>
      <c r="AF111" s="676"/>
      <c r="AG111" s="676"/>
      <c r="AH111" s="676"/>
      <c r="AI111" s="676"/>
      <c r="AJ111" s="676"/>
      <c r="AK111" s="676"/>
      <c r="AL111" s="676"/>
      <c r="AM111" s="676">
        <v>-1464.603038119805</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c r="A112" s="672" t="s">
        <v>968</v>
      </c>
      <c r="B112" s="671" t="s">
        <v>1091</v>
      </c>
      <c r="C112" s="671"/>
      <c r="D112" s="671"/>
      <c r="E112" s="671"/>
      <c r="F112" s="670" t="s">
        <v>1090</v>
      </c>
      <c r="G112" s="670"/>
      <c r="H112" s="669">
        <v>-4.4425336772714239</v>
      </c>
      <c r="I112" s="666"/>
      <c r="J112" s="668"/>
      <c r="K112" s="668"/>
      <c r="L112" s="668"/>
      <c r="M112" s="668"/>
      <c r="N112" s="668"/>
      <c r="O112" s="668"/>
      <c r="P112" s="668"/>
      <c r="Q112" s="668"/>
      <c r="R112" s="668"/>
      <c r="S112" s="668"/>
      <c r="T112" s="668"/>
      <c r="U112" s="668"/>
      <c r="V112" s="668"/>
      <c r="W112" s="666">
        <v>-4.4425336772714239</v>
      </c>
      <c r="X112" s="668">
        <v>0</v>
      </c>
      <c r="Y112" s="668">
        <v>0</v>
      </c>
      <c r="Z112" s="668">
        <v>52.546097258049102</v>
      </c>
      <c r="AA112" s="668"/>
      <c r="AB112" s="668"/>
      <c r="AC112" s="668">
        <v>0</v>
      </c>
      <c r="AD112" s="668">
        <v>-19.824209420082163</v>
      </c>
      <c r="AE112" s="668">
        <v>-34.131078628069169</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c r="A113" s="709" t="s">
        <v>1089</v>
      </c>
      <c r="B113" s="709"/>
      <c r="C113" s="709"/>
      <c r="D113" s="709"/>
      <c r="E113" s="709"/>
      <c r="F113" s="708" t="s">
        <v>1088</v>
      </c>
      <c r="G113" s="708"/>
      <c r="H113" s="707">
        <v>5104.2801184675645</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840.52259482182092</v>
      </c>
      <c r="X113" s="706"/>
      <c r="Y113" s="706"/>
      <c r="Z113" s="706"/>
      <c r="AA113" s="706"/>
      <c r="AB113" s="706"/>
      <c r="AC113" s="706">
        <v>398.1561096780357</v>
      </c>
      <c r="AD113" s="706"/>
      <c r="AE113" s="706"/>
      <c r="AF113" s="706"/>
      <c r="AG113" s="706"/>
      <c r="AH113" s="706"/>
      <c r="AI113" s="706"/>
      <c r="AJ113" s="706"/>
      <c r="AK113" s="706"/>
      <c r="AL113" s="706">
        <v>214.14923091621284</v>
      </c>
      <c r="AM113" s="706">
        <v>0</v>
      </c>
      <c r="AN113" s="706"/>
      <c r="AO113" s="706"/>
      <c r="AP113" s="706"/>
      <c r="AQ113" s="706">
        <v>228.21725422757237</v>
      </c>
      <c r="AR113" s="706"/>
      <c r="AS113" s="706"/>
      <c r="AT113" s="704">
        <v>3656.01413967708</v>
      </c>
      <c r="AU113" s="706">
        <v>3656.01413967708</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5.9233782363618994</v>
      </c>
      <c r="BT113" s="704">
        <v>601.79612114263875</v>
      </c>
    </row>
    <row r="114" spans="1:72">
      <c r="A114" s="688" t="s">
        <v>968</v>
      </c>
      <c r="B114" s="687" t="s">
        <v>1087</v>
      </c>
      <c r="C114" s="687"/>
      <c r="D114" s="687"/>
      <c r="E114" s="687"/>
      <c r="F114" s="686" t="s">
        <v>1086</v>
      </c>
      <c r="G114" s="686"/>
      <c r="H114" s="685">
        <v>57.131938473297026</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8.1924142543231095</v>
      </c>
      <c r="X114" s="684"/>
      <c r="Y114" s="684"/>
      <c r="Z114" s="684"/>
      <c r="AA114" s="684"/>
      <c r="AB114" s="684"/>
      <c r="AC114" s="684"/>
      <c r="AD114" s="684"/>
      <c r="AE114" s="684"/>
      <c r="AF114" s="684"/>
      <c r="AG114" s="684"/>
      <c r="AH114" s="684"/>
      <c r="AI114" s="684"/>
      <c r="AJ114" s="684"/>
      <c r="AK114" s="684"/>
      <c r="AL114" s="684">
        <v>8.1924142543231095</v>
      </c>
      <c r="AM114" s="684">
        <v>0</v>
      </c>
      <c r="AN114" s="684"/>
      <c r="AO114" s="684"/>
      <c r="AP114" s="684"/>
      <c r="AQ114" s="684"/>
      <c r="AR114" s="684"/>
      <c r="AS114" s="684"/>
      <c r="AT114" s="682">
        <v>0</v>
      </c>
      <c r="AU114" s="684">
        <v>0</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48.915639629311165</v>
      </c>
    </row>
    <row r="115" spans="1:72">
      <c r="A115" s="680" t="s">
        <v>968</v>
      </c>
      <c r="B115" s="679" t="s">
        <v>1085</v>
      </c>
      <c r="C115" s="679"/>
      <c r="D115" s="679"/>
      <c r="E115" s="679"/>
      <c r="F115" s="678" t="s">
        <v>1084</v>
      </c>
      <c r="G115" s="678"/>
      <c r="H115" s="677">
        <v>14.784561001241999</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14.784561001241999</v>
      </c>
    </row>
    <row r="116" spans="1:72">
      <c r="A116" s="680"/>
      <c r="B116" s="680" t="s">
        <v>968</v>
      </c>
      <c r="C116" s="679" t="s">
        <v>1083</v>
      </c>
      <c r="D116" s="679"/>
      <c r="E116" s="679"/>
      <c r="F116" s="678" t="s">
        <v>1082</v>
      </c>
      <c r="G116" s="678"/>
      <c r="H116" s="677">
        <v>49.345562243240657</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49.345562243240657</v>
      </c>
    </row>
    <row r="117" spans="1:72">
      <c r="A117" s="680"/>
      <c r="B117" s="680" t="s">
        <v>1081</v>
      </c>
      <c r="C117" s="679" t="s">
        <v>1080</v>
      </c>
      <c r="D117" s="679"/>
      <c r="E117" s="679"/>
      <c r="F117" s="678" t="s">
        <v>1079</v>
      </c>
      <c r="G117" s="678"/>
      <c r="H117" s="677">
        <v>34.56100124199866</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34.56100124199866</v>
      </c>
    </row>
    <row r="118" spans="1:72">
      <c r="A118" s="680"/>
      <c r="B118" s="680"/>
      <c r="C118" s="680" t="s">
        <v>968</v>
      </c>
      <c r="D118" s="679" t="s">
        <v>1078</v>
      </c>
      <c r="E118" s="679"/>
      <c r="F118" s="678" t="s">
        <v>1077</v>
      </c>
      <c r="G118" s="678"/>
      <c r="H118" s="677">
        <v>32.506926531002193</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32.506926531002193</v>
      </c>
    </row>
    <row r="119" spans="1:72">
      <c r="A119" s="680"/>
      <c r="B119" s="680"/>
      <c r="C119" s="680" t="s">
        <v>968</v>
      </c>
      <c r="D119" s="679" t="s">
        <v>1076</v>
      </c>
      <c r="E119" s="679"/>
      <c r="F119" s="678" t="s">
        <v>1075</v>
      </c>
      <c r="G119" s="678"/>
      <c r="H119" s="677">
        <v>2.0540747109964648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2.0540747109964648</v>
      </c>
    </row>
    <row r="120" spans="1:72" s="710" customFormat="1">
      <c r="A120" s="716" t="s">
        <v>968</v>
      </c>
      <c r="B120" s="715" t="s">
        <v>1074</v>
      </c>
      <c r="C120" s="715"/>
      <c r="D120" s="715"/>
      <c r="E120" s="715"/>
      <c r="F120" s="714" t="s">
        <v>1073</v>
      </c>
      <c r="G120" s="714"/>
      <c r="H120" s="713">
        <v>4326.6456482277636</v>
      </c>
      <c r="I120" s="711"/>
      <c r="J120" s="713"/>
      <c r="K120" s="713"/>
      <c r="L120" s="713"/>
      <c r="M120" s="713"/>
      <c r="N120" s="713"/>
      <c r="O120" s="713"/>
      <c r="P120" s="713"/>
      <c r="Q120" s="713"/>
      <c r="R120" s="713"/>
      <c r="S120" s="713"/>
      <c r="T120" s="713"/>
      <c r="U120" s="713"/>
      <c r="V120" s="713"/>
      <c r="W120" s="711">
        <v>205.95681666188975</v>
      </c>
      <c r="X120" s="713"/>
      <c r="Y120" s="713"/>
      <c r="Z120" s="713"/>
      <c r="AA120" s="713"/>
      <c r="AB120" s="713"/>
      <c r="AC120" s="713"/>
      <c r="AD120" s="713"/>
      <c r="AE120" s="713"/>
      <c r="AF120" s="713"/>
      <c r="AG120" s="713"/>
      <c r="AH120" s="713"/>
      <c r="AI120" s="713"/>
      <c r="AJ120" s="713"/>
      <c r="AK120" s="713"/>
      <c r="AL120" s="713">
        <v>205.95681666188975</v>
      </c>
      <c r="AM120" s="713">
        <v>0</v>
      </c>
      <c r="AN120" s="713"/>
      <c r="AO120" s="713"/>
      <c r="AP120" s="713"/>
      <c r="AQ120" s="713"/>
      <c r="AR120" s="713"/>
      <c r="AS120" s="713"/>
      <c r="AT120" s="711">
        <v>3656.01413967708</v>
      </c>
      <c r="AU120" s="713">
        <v>3656.01413967708</v>
      </c>
      <c r="AV120" s="713"/>
      <c r="AW120" s="713"/>
      <c r="AX120" s="713"/>
      <c r="AY120" s="713"/>
      <c r="AZ120" s="711"/>
      <c r="BA120" s="713"/>
      <c r="BB120" s="713"/>
      <c r="BC120" s="713"/>
      <c r="BD120" s="713"/>
      <c r="BE120" s="713"/>
      <c r="BF120" s="713"/>
      <c r="BG120" s="713"/>
      <c r="BH120" s="713"/>
      <c r="BI120" s="713"/>
      <c r="BJ120" s="713"/>
      <c r="BK120" s="713"/>
      <c r="BL120" s="713"/>
      <c r="BM120" s="713"/>
      <c r="BN120" s="713"/>
      <c r="BO120" s="711"/>
      <c r="BP120" s="713"/>
      <c r="BQ120" s="713"/>
      <c r="BR120" s="712"/>
      <c r="BS120" s="712">
        <v>0</v>
      </c>
      <c r="BT120" s="711">
        <v>464.65080729913058</v>
      </c>
    </row>
    <row r="121" spans="1:72" s="710" customFormat="1">
      <c r="A121" s="716" t="s">
        <v>968</v>
      </c>
      <c r="B121" s="715" t="s">
        <v>1072</v>
      </c>
      <c r="C121" s="715"/>
      <c r="D121" s="715"/>
      <c r="E121" s="715"/>
      <c r="F121" s="714" t="s">
        <v>1071</v>
      </c>
      <c r="G121" s="714"/>
      <c r="H121" s="713">
        <v>701.58593675360657</v>
      </c>
      <c r="I121" s="711">
        <v>0</v>
      </c>
      <c r="J121" s="713">
        <v>0</v>
      </c>
      <c r="K121" s="713">
        <v>0</v>
      </c>
      <c r="L121" s="713">
        <v>0</v>
      </c>
      <c r="M121" s="713">
        <v>0</v>
      </c>
      <c r="N121" s="713">
        <v>0</v>
      </c>
      <c r="O121" s="713">
        <v>0</v>
      </c>
      <c r="P121" s="713">
        <v>0</v>
      </c>
      <c r="Q121" s="713">
        <v>0</v>
      </c>
      <c r="R121" s="713">
        <v>0</v>
      </c>
      <c r="S121" s="713">
        <v>0</v>
      </c>
      <c r="T121" s="713">
        <v>0</v>
      </c>
      <c r="U121" s="713">
        <v>0</v>
      </c>
      <c r="V121" s="713">
        <v>0</v>
      </c>
      <c r="W121" s="711">
        <v>626.37336390560802</v>
      </c>
      <c r="X121" s="713"/>
      <c r="Y121" s="713"/>
      <c r="Z121" s="713"/>
      <c r="AA121" s="713"/>
      <c r="AB121" s="713"/>
      <c r="AC121" s="713">
        <v>398.1561096780357</v>
      </c>
      <c r="AD121" s="713"/>
      <c r="AE121" s="713"/>
      <c r="AF121" s="713"/>
      <c r="AG121" s="713"/>
      <c r="AH121" s="713"/>
      <c r="AI121" s="713"/>
      <c r="AJ121" s="713"/>
      <c r="AK121" s="713"/>
      <c r="AL121" s="713"/>
      <c r="AM121" s="713">
        <v>0</v>
      </c>
      <c r="AN121" s="713"/>
      <c r="AO121" s="713"/>
      <c r="AP121" s="713"/>
      <c r="AQ121" s="713">
        <v>228.21725422757237</v>
      </c>
      <c r="AR121" s="713"/>
      <c r="AS121" s="713"/>
      <c r="AT121" s="711">
        <v>0</v>
      </c>
      <c r="AU121" s="713">
        <v>0</v>
      </c>
      <c r="AV121" s="713">
        <v>0</v>
      </c>
      <c r="AW121" s="713">
        <v>0</v>
      </c>
      <c r="AX121" s="713">
        <v>0</v>
      </c>
      <c r="AY121" s="713">
        <v>0</v>
      </c>
      <c r="AZ121" s="711">
        <v>0</v>
      </c>
      <c r="BA121" s="713"/>
      <c r="BB121" s="713"/>
      <c r="BC121" s="713"/>
      <c r="BD121" s="713">
        <v>0</v>
      </c>
      <c r="BE121" s="713"/>
      <c r="BF121" s="713">
        <v>0</v>
      </c>
      <c r="BG121" s="713">
        <v>0</v>
      </c>
      <c r="BH121" s="713">
        <v>0</v>
      </c>
      <c r="BI121" s="713">
        <v>0</v>
      </c>
      <c r="BJ121" s="713">
        <v>0</v>
      </c>
      <c r="BK121" s="713">
        <v>0</v>
      </c>
      <c r="BL121" s="713">
        <v>0</v>
      </c>
      <c r="BM121" s="713">
        <v>0</v>
      </c>
      <c r="BN121" s="713">
        <v>0</v>
      </c>
      <c r="BO121" s="711">
        <v>0</v>
      </c>
      <c r="BP121" s="713">
        <v>0</v>
      </c>
      <c r="BQ121" s="713">
        <v>0</v>
      </c>
      <c r="BR121" s="712"/>
      <c r="BS121" s="712">
        <v>5.9233782363618994</v>
      </c>
      <c r="BT121" s="711">
        <v>69.313079201299317</v>
      </c>
    </row>
    <row r="122" spans="1:72">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c r="A123" s="680" t="s">
        <v>968</v>
      </c>
      <c r="B123" s="679" t="s">
        <v>1068</v>
      </c>
      <c r="C123" s="679"/>
      <c r="D123" s="679"/>
      <c r="E123" s="679"/>
      <c r="F123" s="678" t="s">
        <v>1067</v>
      </c>
      <c r="G123" s="678"/>
      <c r="H123" s="677">
        <v>2.9139199388554502</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0</v>
      </c>
      <c r="X123" s="676"/>
      <c r="Y123" s="676"/>
      <c r="Z123" s="676"/>
      <c r="AA123" s="676"/>
      <c r="AB123" s="676"/>
      <c r="AC123" s="676"/>
      <c r="AD123" s="676"/>
      <c r="AE123" s="676"/>
      <c r="AF123" s="676"/>
      <c r="AG123" s="676"/>
      <c r="AH123" s="676"/>
      <c r="AI123" s="676"/>
      <c r="AJ123" s="676"/>
      <c r="AK123" s="676"/>
      <c r="AL123" s="676"/>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2.9139199388554502</v>
      </c>
    </row>
    <row r="124" spans="1:72">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c r="A133" s="680" t="s">
        <v>968</v>
      </c>
      <c r="B133" s="679" t="s">
        <v>1048</v>
      </c>
      <c r="C133" s="679"/>
      <c r="D133" s="679"/>
      <c r="E133" s="679"/>
      <c r="F133" s="678" t="s">
        <v>1047</v>
      </c>
      <c r="G133" s="678"/>
      <c r="H133" s="677">
        <v>1.1942294831374796</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1.1942294831374796</v>
      </c>
    </row>
    <row r="134" spans="1:72">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c r="A135" s="709" t="s">
        <v>1044</v>
      </c>
      <c r="B135" s="709"/>
      <c r="C135" s="709"/>
      <c r="D135" s="709"/>
      <c r="E135" s="709"/>
      <c r="F135" s="708" t="s">
        <v>1043</v>
      </c>
      <c r="G135" s="708"/>
      <c r="H135" s="707">
        <v>944.99379000668762</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13.948600363045761</v>
      </c>
      <c r="AU135" s="706">
        <v>0</v>
      </c>
      <c r="AV135" s="706">
        <v>0</v>
      </c>
      <c r="AW135" s="706">
        <v>13.948600363045761</v>
      </c>
      <c r="AX135" s="706">
        <v>0</v>
      </c>
      <c r="AY135" s="706">
        <v>0</v>
      </c>
      <c r="AZ135" s="704">
        <v>12.467755803955287</v>
      </c>
      <c r="BA135" s="706"/>
      <c r="BB135" s="706"/>
      <c r="BC135" s="706"/>
      <c r="BD135" s="706">
        <v>0</v>
      </c>
      <c r="BE135" s="706"/>
      <c r="BF135" s="706">
        <v>0</v>
      </c>
      <c r="BG135" s="706">
        <v>0</v>
      </c>
      <c r="BH135" s="706">
        <v>12.467755803955287</v>
      </c>
      <c r="BI135" s="706">
        <v>0</v>
      </c>
      <c r="BJ135" s="706">
        <v>0</v>
      </c>
      <c r="BK135" s="706">
        <v>0</v>
      </c>
      <c r="BL135" s="706">
        <v>0</v>
      </c>
      <c r="BM135" s="706">
        <v>0</v>
      </c>
      <c r="BN135" s="706">
        <v>0</v>
      </c>
      <c r="BO135" s="704">
        <v>0</v>
      </c>
      <c r="BP135" s="706">
        <v>0</v>
      </c>
      <c r="BQ135" s="706">
        <v>0</v>
      </c>
      <c r="BR135" s="705"/>
      <c r="BS135" s="705">
        <v>102.4887742428585</v>
      </c>
      <c r="BT135" s="704">
        <v>816.08865959682805</v>
      </c>
    </row>
    <row r="136" spans="1:72">
      <c r="A136" s="709" t="s">
        <v>1042</v>
      </c>
      <c r="B136" s="709"/>
      <c r="C136" s="709"/>
      <c r="D136" s="709"/>
      <c r="E136" s="709"/>
      <c r="F136" s="708" t="s">
        <v>1041</v>
      </c>
      <c r="G136" s="708"/>
      <c r="H136" s="707">
        <v>28299.488869781217</v>
      </c>
      <c r="I136" s="704">
        <v>686.29979936944676</v>
      </c>
      <c r="J136" s="706">
        <v>0</v>
      </c>
      <c r="K136" s="706">
        <v>0</v>
      </c>
      <c r="L136" s="706">
        <v>456.3867392758192</v>
      </c>
      <c r="M136" s="706">
        <v>0</v>
      </c>
      <c r="N136" s="706">
        <v>0</v>
      </c>
      <c r="O136" s="706">
        <v>0</v>
      </c>
      <c r="P136" s="706">
        <v>229.91306009362759</v>
      </c>
      <c r="Q136" s="706">
        <v>0</v>
      </c>
      <c r="R136" s="706">
        <v>0</v>
      </c>
      <c r="S136" s="706">
        <v>0</v>
      </c>
      <c r="T136" s="706">
        <v>0</v>
      </c>
      <c r="U136" s="706">
        <v>0</v>
      </c>
      <c r="V136" s="706">
        <v>0</v>
      </c>
      <c r="W136" s="704">
        <v>12832.736218591765</v>
      </c>
      <c r="X136" s="706">
        <v>545.90618133180465</v>
      </c>
      <c r="Y136" s="706">
        <v>0</v>
      </c>
      <c r="Z136" s="706">
        <v>52.546097258049102</v>
      </c>
      <c r="AA136" s="706">
        <v>0</v>
      </c>
      <c r="AB136" s="706"/>
      <c r="AC136" s="706">
        <v>46.431642304385207</v>
      </c>
      <c r="AD136" s="706">
        <v>683.76803286519532</v>
      </c>
      <c r="AE136" s="706">
        <v>1493.0734689978026</v>
      </c>
      <c r="AF136" s="706">
        <v>1864.932645457151</v>
      </c>
      <c r="AG136" s="706">
        <v>0</v>
      </c>
      <c r="AH136" s="706">
        <v>8.4551447406133562</v>
      </c>
      <c r="AI136" s="706">
        <v>786.71061431164605</v>
      </c>
      <c r="AJ136" s="706">
        <v>67.951657590522586</v>
      </c>
      <c r="AK136" s="706">
        <v>1844.3680137575236</v>
      </c>
      <c r="AL136" s="706">
        <v>4735.9319766886401</v>
      </c>
      <c r="AM136" s="706">
        <v>111.7798796216681</v>
      </c>
      <c r="AN136" s="706">
        <v>14.569599694277251</v>
      </c>
      <c r="AO136" s="706">
        <v>50.157638291774148</v>
      </c>
      <c r="AP136" s="706">
        <v>312.05216394382342</v>
      </c>
      <c r="AQ136" s="706">
        <v>173.04385210662079</v>
      </c>
      <c r="AR136" s="706">
        <v>0</v>
      </c>
      <c r="AS136" s="706">
        <v>41.081494219929297</v>
      </c>
      <c r="AT136" s="704">
        <v>3340.0449030285658</v>
      </c>
      <c r="AU136" s="706">
        <v>3302.9999044616411</v>
      </c>
      <c r="AV136" s="706">
        <v>0</v>
      </c>
      <c r="AW136" s="706">
        <v>37.044998566924619</v>
      </c>
      <c r="AX136" s="706">
        <v>0</v>
      </c>
      <c r="AY136" s="706">
        <v>0</v>
      </c>
      <c r="AZ136" s="704">
        <v>1279.5691220024839</v>
      </c>
      <c r="BA136" s="706">
        <v>0</v>
      </c>
      <c r="BB136" s="706">
        <v>0</v>
      </c>
      <c r="BC136" s="706">
        <v>0</v>
      </c>
      <c r="BD136" s="706">
        <v>0</v>
      </c>
      <c r="BE136" s="706">
        <v>0</v>
      </c>
      <c r="BF136" s="706">
        <v>1128.2602464889653</v>
      </c>
      <c r="BG136" s="706">
        <v>0</v>
      </c>
      <c r="BH136" s="706">
        <v>13.279831852488774</v>
      </c>
      <c r="BI136" s="706">
        <v>21.711092003439379</v>
      </c>
      <c r="BJ136" s="706">
        <v>4.8008025222126678</v>
      </c>
      <c r="BK136" s="706">
        <v>110.60953472819337</v>
      </c>
      <c r="BL136" s="706">
        <v>0</v>
      </c>
      <c r="BM136" s="706">
        <v>0.93149899684723414</v>
      </c>
      <c r="BN136" s="706">
        <v>0</v>
      </c>
      <c r="BO136" s="704">
        <v>21.711092003439379</v>
      </c>
      <c r="BP136" s="706">
        <v>0</v>
      </c>
      <c r="BQ136" s="706">
        <v>21.711092003439379</v>
      </c>
      <c r="BR136" s="705">
        <v>0</v>
      </c>
      <c r="BS136" s="705">
        <v>384.08808636667618</v>
      </c>
      <c r="BT136" s="704">
        <v>9755.0396484188404</v>
      </c>
    </row>
    <row r="137" spans="1:72">
      <c r="A137" s="665" t="s">
        <v>1040</v>
      </c>
      <c r="B137" s="665"/>
      <c r="C137" s="665"/>
      <c r="D137" s="665"/>
      <c r="E137" s="665"/>
      <c r="F137" s="664" t="s">
        <v>1039</v>
      </c>
      <c r="G137" s="664"/>
      <c r="H137" s="663">
        <v>2297.291487532244</v>
      </c>
      <c r="I137" s="660">
        <v>52.355020540747105</v>
      </c>
      <c r="J137" s="662">
        <v>0</v>
      </c>
      <c r="K137" s="662">
        <v>0</v>
      </c>
      <c r="L137" s="662">
        <v>52.355020540747105</v>
      </c>
      <c r="M137" s="662">
        <v>0</v>
      </c>
      <c r="N137" s="662">
        <v>0</v>
      </c>
      <c r="O137" s="662">
        <v>0</v>
      </c>
      <c r="P137" s="662">
        <v>0</v>
      </c>
      <c r="Q137" s="662">
        <v>0</v>
      </c>
      <c r="R137" s="662">
        <v>0</v>
      </c>
      <c r="S137" s="662">
        <v>0</v>
      </c>
      <c r="T137" s="662">
        <v>0</v>
      </c>
      <c r="U137" s="662">
        <v>0</v>
      </c>
      <c r="V137" s="662">
        <v>0</v>
      </c>
      <c r="W137" s="660">
        <v>1827.1949937900065</v>
      </c>
      <c r="X137" s="662">
        <v>0</v>
      </c>
      <c r="Y137" s="662">
        <v>0</v>
      </c>
      <c r="Z137" s="662"/>
      <c r="AA137" s="662"/>
      <c r="AB137" s="662"/>
      <c r="AC137" s="662">
        <v>0</v>
      </c>
      <c r="AD137" s="662">
        <v>193.79956052355018</v>
      </c>
      <c r="AE137" s="662">
        <v>797.17206458393036</v>
      </c>
      <c r="AF137" s="662">
        <v>0</v>
      </c>
      <c r="AG137" s="662">
        <v>0</v>
      </c>
      <c r="AH137" s="662">
        <v>0</v>
      </c>
      <c r="AI137" s="662">
        <v>0</v>
      </c>
      <c r="AJ137" s="662">
        <v>0</v>
      </c>
      <c r="AK137" s="662">
        <v>0</v>
      </c>
      <c r="AL137" s="662">
        <v>11.321295500143307</v>
      </c>
      <c r="AM137" s="662">
        <v>22.308206745008121</v>
      </c>
      <c r="AN137" s="662">
        <v>13.542562338779019</v>
      </c>
      <c r="AO137" s="662">
        <v>41.129263399254796</v>
      </c>
      <c r="AP137" s="662">
        <v>312.98366294067068</v>
      </c>
      <c r="AQ137" s="662">
        <v>392.90149995223078</v>
      </c>
      <c r="AR137" s="662">
        <v>0</v>
      </c>
      <c r="AS137" s="662">
        <v>42.036877806439286</v>
      </c>
      <c r="AT137" s="660">
        <v>417.76535779115312</v>
      </c>
      <c r="AU137" s="662">
        <v>417.76535779115312</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c r="A140" s="680" t="s">
        <v>968</v>
      </c>
      <c r="B140" s="679" t="s">
        <v>1034</v>
      </c>
      <c r="C140" s="679"/>
      <c r="D140" s="679"/>
      <c r="E140" s="679"/>
      <c r="F140" s="678" t="s">
        <v>1033</v>
      </c>
      <c r="G140" s="678"/>
      <c r="H140" s="677">
        <v>2244.9364669914971</v>
      </c>
      <c r="I140" s="674"/>
      <c r="J140" s="676"/>
      <c r="K140" s="676"/>
      <c r="L140" s="676"/>
      <c r="M140" s="676"/>
      <c r="N140" s="676"/>
      <c r="O140" s="676"/>
      <c r="P140" s="676"/>
      <c r="Q140" s="676"/>
      <c r="R140" s="676"/>
      <c r="S140" s="676"/>
      <c r="T140" s="676"/>
      <c r="U140" s="676"/>
      <c r="V140" s="676"/>
      <c r="W140" s="674">
        <v>1827.1949937900065</v>
      </c>
      <c r="X140" s="676">
        <v>0</v>
      </c>
      <c r="Y140" s="676">
        <v>0</v>
      </c>
      <c r="Z140" s="676"/>
      <c r="AA140" s="676"/>
      <c r="AB140" s="676"/>
      <c r="AC140" s="676">
        <v>0</v>
      </c>
      <c r="AD140" s="676">
        <v>193.79956052355018</v>
      </c>
      <c r="AE140" s="676">
        <v>797.17206458393036</v>
      </c>
      <c r="AF140" s="676">
        <v>0</v>
      </c>
      <c r="AG140" s="676">
        <v>0</v>
      </c>
      <c r="AH140" s="676">
        <v>0</v>
      </c>
      <c r="AI140" s="676">
        <v>0</v>
      </c>
      <c r="AJ140" s="676">
        <v>0</v>
      </c>
      <c r="AK140" s="676">
        <v>0</v>
      </c>
      <c r="AL140" s="676">
        <v>11.321295500143307</v>
      </c>
      <c r="AM140" s="676">
        <v>22.308206745008121</v>
      </c>
      <c r="AN140" s="676">
        <v>13.542562338779019</v>
      </c>
      <c r="AO140" s="676">
        <v>41.129263399254796</v>
      </c>
      <c r="AP140" s="676">
        <v>312.98366294067068</v>
      </c>
      <c r="AQ140" s="676">
        <v>392.90149995223078</v>
      </c>
      <c r="AR140" s="676">
        <v>0</v>
      </c>
      <c r="AS140" s="676">
        <v>42.036877806439286</v>
      </c>
      <c r="AT140" s="674">
        <v>417.76535779115312</v>
      </c>
      <c r="AU140" s="676">
        <v>417.76535779115312</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1414.8036686729722</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997.03831088181903</v>
      </c>
      <c r="X141" s="699"/>
      <c r="Y141" s="699"/>
      <c r="Z141" s="699"/>
      <c r="AA141" s="699"/>
      <c r="AB141" s="699"/>
      <c r="AC141" s="699"/>
      <c r="AD141" s="699">
        <v>193.79956052355018</v>
      </c>
      <c r="AE141" s="699">
        <v>755.3501480844559</v>
      </c>
      <c r="AF141" s="699"/>
      <c r="AG141" s="699"/>
      <c r="AH141" s="699"/>
      <c r="AI141" s="699"/>
      <c r="AJ141" s="699"/>
      <c r="AK141" s="699"/>
      <c r="AL141" s="699">
        <v>5.1113021878284126</v>
      </c>
      <c r="AM141" s="699">
        <v>0</v>
      </c>
      <c r="AN141" s="699">
        <v>13.542562338779019</v>
      </c>
      <c r="AO141" s="699"/>
      <c r="AP141" s="699"/>
      <c r="AQ141" s="699">
        <v>29.25862233686825</v>
      </c>
      <c r="AR141" s="699"/>
      <c r="AS141" s="699"/>
      <c r="AT141" s="697">
        <v>417.76535779115312</v>
      </c>
      <c r="AU141" s="699">
        <v>417.76535779115312</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c r="A144" s="695" t="s">
        <v>968</v>
      </c>
      <c r="B144" s="694" t="s">
        <v>1026</v>
      </c>
      <c r="C144" s="694"/>
      <c r="D144" s="694"/>
      <c r="E144" s="694"/>
      <c r="F144" s="693" t="s">
        <v>1025</v>
      </c>
      <c r="G144" s="693"/>
      <c r="H144" s="692">
        <v>52.355020540747105</v>
      </c>
      <c r="I144" s="689">
        <v>52.355020540747105</v>
      </c>
      <c r="J144" s="691">
        <v>0</v>
      </c>
      <c r="K144" s="691">
        <v>0</v>
      </c>
      <c r="L144" s="691">
        <v>52.355020540747105</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c r="A145" s="665" t="s">
        <v>1024</v>
      </c>
      <c r="B145" s="665"/>
      <c r="C145" s="665"/>
      <c r="D145" s="665"/>
      <c r="E145" s="665"/>
      <c r="F145" s="664" t="s">
        <v>1023</v>
      </c>
      <c r="G145" s="664"/>
      <c r="H145" s="663">
        <v>19632.081780835004</v>
      </c>
      <c r="I145" s="660">
        <v>591.97955479124869</v>
      </c>
      <c r="J145" s="662">
        <v>0</v>
      </c>
      <c r="K145" s="662">
        <v>0</v>
      </c>
      <c r="L145" s="662">
        <v>386.5959682812649</v>
      </c>
      <c r="M145" s="662">
        <v>0</v>
      </c>
      <c r="N145" s="662">
        <v>0</v>
      </c>
      <c r="O145" s="662">
        <v>0</v>
      </c>
      <c r="P145" s="662">
        <v>205.4074710996465</v>
      </c>
      <c r="Q145" s="662">
        <v>0</v>
      </c>
      <c r="R145" s="662">
        <v>0</v>
      </c>
      <c r="S145" s="662">
        <v>0</v>
      </c>
      <c r="T145" s="662">
        <v>0</v>
      </c>
      <c r="U145" s="662">
        <v>0</v>
      </c>
      <c r="V145" s="662">
        <v>0</v>
      </c>
      <c r="W145" s="660">
        <v>7208.6080061144548</v>
      </c>
      <c r="X145" s="662"/>
      <c r="Y145" s="662"/>
      <c r="Z145" s="662"/>
      <c r="AA145" s="662"/>
      <c r="AB145" s="662"/>
      <c r="AC145" s="662"/>
      <c r="AD145" s="662">
        <v>265.35779115314796</v>
      </c>
      <c r="AE145" s="662">
        <v>223.51199006401069</v>
      </c>
      <c r="AF145" s="662">
        <v>1280.4767364096683</v>
      </c>
      <c r="AG145" s="662">
        <v>2.1018438903219643</v>
      </c>
      <c r="AH145" s="662"/>
      <c r="AI145" s="662">
        <v>811.35951084360363</v>
      </c>
      <c r="AJ145" s="662">
        <v>67.951657590522586</v>
      </c>
      <c r="AK145" s="662"/>
      <c r="AL145" s="662">
        <v>4378.3557848476157</v>
      </c>
      <c r="AM145" s="662">
        <v>165.28136046622717</v>
      </c>
      <c r="AN145" s="662"/>
      <c r="AO145" s="662"/>
      <c r="AP145" s="662"/>
      <c r="AQ145" s="662">
        <v>14.211330849336008</v>
      </c>
      <c r="AR145" s="662"/>
      <c r="AS145" s="662"/>
      <c r="AT145" s="660">
        <v>392.30438521066208</v>
      </c>
      <c r="AU145" s="662">
        <v>355.25938664373746</v>
      </c>
      <c r="AV145" s="662">
        <v>0</v>
      </c>
      <c r="AW145" s="662">
        <v>37.044998566924619</v>
      </c>
      <c r="AX145" s="662">
        <v>0</v>
      </c>
      <c r="AY145" s="662">
        <v>0</v>
      </c>
      <c r="AZ145" s="660">
        <v>1278.3510079296836</v>
      </c>
      <c r="BA145" s="662"/>
      <c r="BB145" s="662"/>
      <c r="BC145" s="662"/>
      <c r="BD145" s="662">
        <v>0</v>
      </c>
      <c r="BE145" s="662"/>
      <c r="BF145" s="662">
        <v>1128.2602464889653</v>
      </c>
      <c r="BG145" s="662">
        <v>0</v>
      </c>
      <c r="BH145" s="662">
        <v>12.228909907327791</v>
      </c>
      <c r="BI145" s="662">
        <v>21.711092003439379</v>
      </c>
      <c r="BJ145" s="662">
        <v>4.4903028565969239</v>
      </c>
      <c r="BK145" s="662">
        <v>110.75284226616986</v>
      </c>
      <c r="BL145" s="662">
        <v>0</v>
      </c>
      <c r="BM145" s="662">
        <v>0.93149899684723414</v>
      </c>
      <c r="BN145" s="662">
        <v>0</v>
      </c>
      <c r="BO145" s="660">
        <v>21.711092003439379</v>
      </c>
      <c r="BP145" s="662">
        <v>0</v>
      </c>
      <c r="BQ145" s="662">
        <v>21.711092003439379</v>
      </c>
      <c r="BR145" s="661"/>
      <c r="BS145" s="661">
        <v>384.08808636667618</v>
      </c>
      <c r="BT145" s="660">
        <v>9755.0396484188404</v>
      </c>
    </row>
    <row r="146" spans="1:72">
      <c r="A146" s="688" t="s">
        <v>968</v>
      </c>
      <c r="B146" s="687" t="s">
        <v>1022</v>
      </c>
      <c r="C146" s="687"/>
      <c r="D146" s="687"/>
      <c r="E146" s="687"/>
      <c r="F146" s="686" t="s">
        <v>1021</v>
      </c>
      <c r="G146" s="686"/>
      <c r="H146" s="685">
        <v>6158.235406515716</v>
      </c>
      <c r="I146" s="682">
        <v>591.97955479124869</v>
      </c>
      <c r="J146" s="684">
        <v>0</v>
      </c>
      <c r="K146" s="684">
        <v>0</v>
      </c>
      <c r="L146" s="684">
        <v>386.5959682812649</v>
      </c>
      <c r="M146" s="684">
        <v>0</v>
      </c>
      <c r="N146" s="684">
        <v>0</v>
      </c>
      <c r="O146" s="684">
        <v>0</v>
      </c>
      <c r="P146" s="684">
        <v>205.4074710996465</v>
      </c>
      <c r="Q146" s="684">
        <v>0</v>
      </c>
      <c r="R146" s="684">
        <v>0</v>
      </c>
      <c r="S146" s="684">
        <v>0</v>
      </c>
      <c r="T146" s="684">
        <v>0</v>
      </c>
      <c r="U146" s="684">
        <v>0</v>
      </c>
      <c r="V146" s="684">
        <v>0</v>
      </c>
      <c r="W146" s="682">
        <v>969.83376325594725</v>
      </c>
      <c r="X146" s="684"/>
      <c r="Y146" s="684"/>
      <c r="Z146" s="684"/>
      <c r="AA146" s="684"/>
      <c r="AB146" s="684"/>
      <c r="AC146" s="684"/>
      <c r="AD146" s="684">
        <v>265.35779115314796</v>
      </c>
      <c r="AE146" s="684">
        <v>191.57829368491448</v>
      </c>
      <c r="AF146" s="684">
        <v>0</v>
      </c>
      <c r="AG146" s="684"/>
      <c r="AH146" s="684"/>
      <c r="AI146" s="684">
        <v>0</v>
      </c>
      <c r="AJ146" s="684">
        <v>1.0270373554982324</v>
      </c>
      <c r="AK146" s="684"/>
      <c r="AL146" s="684">
        <v>393.49861469379954</v>
      </c>
      <c r="AM146" s="684">
        <v>104.13681092958822</v>
      </c>
      <c r="AN146" s="684"/>
      <c r="AO146" s="684"/>
      <c r="AP146" s="684"/>
      <c r="AQ146" s="684">
        <v>14.211330849336008</v>
      </c>
      <c r="AR146" s="684"/>
      <c r="AS146" s="684"/>
      <c r="AT146" s="682">
        <v>292.29960829272949</v>
      </c>
      <c r="AU146" s="684">
        <v>255.2546097258049</v>
      </c>
      <c r="AV146" s="684">
        <v>0</v>
      </c>
      <c r="AW146" s="684">
        <v>37.044998566924619</v>
      </c>
      <c r="AX146" s="684">
        <v>0</v>
      </c>
      <c r="AY146" s="684">
        <v>0</v>
      </c>
      <c r="AZ146" s="682">
        <v>412.63017101366194</v>
      </c>
      <c r="BA146" s="684"/>
      <c r="BB146" s="684"/>
      <c r="BC146" s="684"/>
      <c r="BD146" s="684">
        <v>0</v>
      </c>
      <c r="BE146" s="684"/>
      <c r="BF146" s="684">
        <v>390.91907901022256</v>
      </c>
      <c r="BG146" s="684">
        <v>0</v>
      </c>
      <c r="BH146" s="684">
        <v>0</v>
      </c>
      <c r="BI146" s="684">
        <v>21.711092003439379</v>
      </c>
      <c r="BJ146" s="684">
        <v>0</v>
      </c>
      <c r="BK146" s="684">
        <v>0</v>
      </c>
      <c r="BL146" s="684">
        <v>0</v>
      </c>
      <c r="BM146" s="684">
        <v>0</v>
      </c>
      <c r="BN146" s="684">
        <v>0</v>
      </c>
      <c r="BO146" s="682">
        <v>21.711092003439379</v>
      </c>
      <c r="BP146" s="684">
        <v>0</v>
      </c>
      <c r="BQ146" s="684">
        <v>21.711092003439379</v>
      </c>
      <c r="BR146" s="683"/>
      <c r="BS146" s="683">
        <v>39.696188019489824</v>
      </c>
      <c r="BT146" s="682">
        <v>3830.0850291391994</v>
      </c>
    </row>
    <row r="147" spans="1:72">
      <c r="A147" s="681"/>
      <c r="B147" s="680" t="s">
        <v>968</v>
      </c>
      <c r="C147" s="679" t="s">
        <v>1020</v>
      </c>
      <c r="D147" s="679"/>
      <c r="E147" s="679"/>
      <c r="F147" s="678" t="s">
        <v>1019</v>
      </c>
      <c r="G147" s="678"/>
      <c r="H147" s="677">
        <v>745.86796598834428</v>
      </c>
      <c r="I147" s="674">
        <v>307.15582306295977</v>
      </c>
      <c r="J147" s="676">
        <v>0</v>
      </c>
      <c r="K147" s="676">
        <v>0</v>
      </c>
      <c r="L147" s="676">
        <v>167.78924238081589</v>
      </c>
      <c r="M147" s="676">
        <v>0</v>
      </c>
      <c r="N147" s="676">
        <v>0</v>
      </c>
      <c r="O147" s="676">
        <v>0</v>
      </c>
      <c r="P147" s="676">
        <v>139.36658068214388</v>
      </c>
      <c r="Q147" s="676">
        <v>0</v>
      </c>
      <c r="R147" s="676">
        <v>0</v>
      </c>
      <c r="S147" s="676">
        <v>0</v>
      </c>
      <c r="T147" s="676">
        <v>0</v>
      </c>
      <c r="U147" s="676">
        <v>0</v>
      </c>
      <c r="V147" s="676">
        <v>0</v>
      </c>
      <c r="W147" s="674">
        <v>11.345180089806057</v>
      </c>
      <c r="X147" s="676"/>
      <c r="Y147" s="676"/>
      <c r="Z147" s="676"/>
      <c r="AA147" s="676"/>
      <c r="AB147" s="676"/>
      <c r="AC147" s="676"/>
      <c r="AD147" s="676"/>
      <c r="AE147" s="676">
        <v>3.2960733734594436</v>
      </c>
      <c r="AF147" s="676">
        <v>0</v>
      </c>
      <c r="AG147" s="676"/>
      <c r="AH147" s="676"/>
      <c r="AI147" s="676">
        <v>0</v>
      </c>
      <c r="AJ147" s="676"/>
      <c r="AK147" s="676"/>
      <c r="AL147" s="676">
        <v>7.2131460781503769</v>
      </c>
      <c r="AM147" s="676">
        <v>0</v>
      </c>
      <c r="AN147" s="676"/>
      <c r="AO147" s="676"/>
      <c r="AP147" s="676"/>
      <c r="AQ147" s="676">
        <v>0.83596063819623578</v>
      </c>
      <c r="AR147" s="676"/>
      <c r="AS147" s="676"/>
      <c r="AT147" s="674">
        <v>17.841788478073944</v>
      </c>
      <c r="AU147" s="676">
        <v>1.2181140728002293</v>
      </c>
      <c r="AV147" s="676">
        <v>0</v>
      </c>
      <c r="AW147" s="676">
        <v>16.623674405273718</v>
      </c>
      <c r="AX147" s="676">
        <v>0</v>
      </c>
      <c r="AY147" s="676">
        <v>0</v>
      </c>
      <c r="AZ147" s="674">
        <v>7.0698385401738797</v>
      </c>
      <c r="BA147" s="676"/>
      <c r="BB147" s="676"/>
      <c r="BC147" s="676"/>
      <c r="BD147" s="676">
        <v>0</v>
      </c>
      <c r="BE147" s="676"/>
      <c r="BF147" s="676">
        <v>7.0698385401738797</v>
      </c>
      <c r="BG147" s="676">
        <v>0</v>
      </c>
      <c r="BH147" s="676">
        <v>0</v>
      </c>
      <c r="BI147" s="676">
        <v>0</v>
      </c>
      <c r="BJ147" s="676">
        <v>0</v>
      </c>
      <c r="BK147" s="676">
        <v>0</v>
      </c>
      <c r="BL147" s="676">
        <v>0</v>
      </c>
      <c r="BM147" s="676">
        <v>0</v>
      </c>
      <c r="BN147" s="676">
        <v>0</v>
      </c>
      <c r="BO147" s="674">
        <v>0</v>
      </c>
      <c r="BP147" s="676">
        <v>0</v>
      </c>
      <c r="BQ147" s="676">
        <v>0</v>
      </c>
      <c r="BR147" s="675"/>
      <c r="BS147" s="675">
        <v>0.21496130696474633</v>
      </c>
      <c r="BT147" s="674">
        <v>402.24037451036588</v>
      </c>
    </row>
    <row r="148" spans="1:72">
      <c r="A148" s="681"/>
      <c r="B148" s="680" t="s">
        <v>968</v>
      </c>
      <c r="C148" s="679" t="s">
        <v>1018</v>
      </c>
      <c r="D148" s="679"/>
      <c r="E148" s="679"/>
      <c r="F148" s="678" t="s">
        <v>1017</v>
      </c>
      <c r="G148" s="678"/>
      <c r="H148" s="677">
        <v>1428.2029234737747</v>
      </c>
      <c r="I148" s="674">
        <v>195.39982803095441</v>
      </c>
      <c r="J148" s="676">
        <v>0</v>
      </c>
      <c r="K148" s="676">
        <v>0</v>
      </c>
      <c r="L148" s="676">
        <v>140.27419508932834</v>
      </c>
      <c r="M148" s="676">
        <v>0</v>
      </c>
      <c r="N148" s="676">
        <v>0</v>
      </c>
      <c r="O148" s="676">
        <v>0</v>
      </c>
      <c r="P148" s="676">
        <v>55.125632941626058</v>
      </c>
      <c r="Q148" s="676">
        <v>0</v>
      </c>
      <c r="R148" s="676">
        <v>0</v>
      </c>
      <c r="S148" s="676">
        <v>0</v>
      </c>
      <c r="T148" s="676">
        <v>0</v>
      </c>
      <c r="U148" s="676">
        <v>0</v>
      </c>
      <c r="V148" s="676">
        <v>0</v>
      </c>
      <c r="W148" s="674">
        <v>397.22461068118849</v>
      </c>
      <c r="X148" s="676"/>
      <c r="Y148" s="676"/>
      <c r="Z148" s="676"/>
      <c r="AA148" s="676"/>
      <c r="AB148" s="676"/>
      <c r="AC148" s="676"/>
      <c r="AD148" s="676">
        <v>265.35779115314796</v>
      </c>
      <c r="AE148" s="676">
        <v>62.76870163370593</v>
      </c>
      <c r="AF148" s="676"/>
      <c r="AG148" s="676"/>
      <c r="AH148" s="676"/>
      <c r="AI148" s="676"/>
      <c r="AJ148" s="676"/>
      <c r="AK148" s="676"/>
      <c r="AL148" s="676">
        <v>47.124295404604943</v>
      </c>
      <c r="AM148" s="676">
        <v>21.973822489729624</v>
      </c>
      <c r="AN148" s="676"/>
      <c r="AO148" s="676"/>
      <c r="AP148" s="676"/>
      <c r="AQ148" s="676"/>
      <c r="AR148" s="676"/>
      <c r="AS148" s="676"/>
      <c r="AT148" s="674">
        <v>124.62978886022738</v>
      </c>
      <c r="AU148" s="676">
        <v>108.65099837584789</v>
      </c>
      <c r="AV148" s="676">
        <v>0</v>
      </c>
      <c r="AW148" s="676">
        <v>15.978790484379477</v>
      </c>
      <c r="AX148" s="676">
        <v>0</v>
      </c>
      <c r="AY148" s="676">
        <v>0</v>
      </c>
      <c r="AZ148" s="674">
        <v>23.980128021400592</v>
      </c>
      <c r="BA148" s="676"/>
      <c r="BB148" s="676"/>
      <c r="BC148" s="676"/>
      <c r="BD148" s="676">
        <v>0</v>
      </c>
      <c r="BE148" s="676"/>
      <c r="BF148" s="676">
        <v>21.018438903219643</v>
      </c>
      <c r="BG148" s="676">
        <v>0</v>
      </c>
      <c r="BH148" s="676">
        <v>0</v>
      </c>
      <c r="BI148" s="676">
        <v>2.9616891181809497</v>
      </c>
      <c r="BJ148" s="676">
        <v>0</v>
      </c>
      <c r="BK148" s="676">
        <v>0</v>
      </c>
      <c r="BL148" s="676">
        <v>0</v>
      </c>
      <c r="BM148" s="676">
        <v>0</v>
      </c>
      <c r="BN148" s="676">
        <v>0</v>
      </c>
      <c r="BO148" s="674">
        <v>2.9616891181809497</v>
      </c>
      <c r="BP148" s="676">
        <v>0</v>
      </c>
      <c r="BQ148" s="676">
        <v>2.9616891181809497</v>
      </c>
      <c r="BR148" s="675"/>
      <c r="BS148" s="675">
        <v>12.372217445304289</v>
      </c>
      <c r="BT148" s="674">
        <v>671.63466131651853</v>
      </c>
    </row>
    <row r="149" spans="1:72">
      <c r="A149" s="681"/>
      <c r="B149" s="680" t="s">
        <v>968</v>
      </c>
      <c r="C149" s="679" t="s">
        <v>1016</v>
      </c>
      <c r="D149" s="679"/>
      <c r="E149" s="679"/>
      <c r="F149" s="678" t="s">
        <v>1015</v>
      </c>
      <c r="G149" s="678"/>
      <c r="H149" s="677">
        <v>1743.7661220980224</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49.273908474252408</v>
      </c>
      <c r="X149" s="676"/>
      <c r="Y149" s="676"/>
      <c r="Z149" s="676"/>
      <c r="AA149" s="676"/>
      <c r="AB149" s="676"/>
      <c r="AC149" s="676"/>
      <c r="AD149" s="676"/>
      <c r="AE149" s="676">
        <v>36.328460877042133</v>
      </c>
      <c r="AF149" s="676"/>
      <c r="AG149" s="676"/>
      <c r="AH149" s="676"/>
      <c r="AI149" s="676"/>
      <c r="AJ149" s="676"/>
      <c r="AK149" s="676"/>
      <c r="AL149" s="676">
        <v>11.273526320817808</v>
      </c>
      <c r="AM149" s="676">
        <v>0</v>
      </c>
      <c r="AN149" s="676"/>
      <c r="AO149" s="676"/>
      <c r="AP149" s="676"/>
      <c r="AQ149" s="676">
        <v>1.6719212763924716</v>
      </c>
      <c r="AR149" s="676"/>
      <c r="AS149" s="676"/>
      <c r="AT149" s="674">
        <v>87.58479029330276</v>
      </c>
      <c r="AU149" s="676">
        <v>87.58479029330276</v>
      </c>
      <c r="AV149" s="676">
        <v>0</v>
      </c>
      <c r="AW149" s="676">
        <v>0</v>
      </c>
      <c r="AX149" s="676">
        <v>0</v>
      </c>
      <c r="AY149" s="676">
        <v>0</v>
      </c>
      <c r="AZ149" s="674">
        <v>0.14330753797649756</v>
      </c>
      <c r="BA149" s="676"/>
      <c r="BB149" s="676"/>
      <c r="BC149" s="676"/>
      <c r="BD149" s="676">
        <v>0</v>
      </c>
      <c r="BE149" s="676"/>
      <c r="BF149" s="676">
        <v>0.14330753797649756</v>
      </c>
      <c r="BG149" s="676">
        <v>0</v>
      </c>
      <c r="BH149" s="676">
        <v>0</v>
      </c>
      <c r="BI149" s="676">
        <v>0</v>
      </c>
      <c r="BJ149" s="676">
        <v>0</v>
      </c>
      <c r="BK149" s="676">
        <v>0</v>
      </c>
      <c r="BL149" s="676">
        <v>0</v>
      </c>
      <c r="BM149" s="676">
        <v>0</v>
      </c>
      <c r="BN149" s="676">
        <v>0</v>
      </c>
      <c r="BO149" s="674">
        <v>0</v>
      </c>
      <c r="BP149" s="676">
        <v>0</v>
      </c>
      <c r="BQ149" s="676">
        <v>0</v>
      </c>
      <c r="BR149" s="675"/>
      <c r="BS149" s="675">
        <v>1.0031527658354829</v>
      </c>
      <c r="BT149" s="674">
        <v>1605.7609630266552</v>
      </c>
    </row>
    <row r="150" spans="1:72">
      <c r="A150" s="681"/>
      <c r="B150" s="680" t="s">
        <v>968</v>
      </c>
      <c r="C150" s="679" t="s">
        <v>1014</v>
      </c>
      <c r="D150" s="679"/>
      <c r="E150" s="679"/>
      <c r="F150" s="678" t="s">
        <v>1013</v>
      </c>
      <c r="G150" s="678"/>
      <c r="H150" s="677">
        <v>269.44205598547813</v>
      </c>
      <c r="I150" s="674">
        <v>89.423903697334481</v>
      </c>
      <c r="J150" s="676">
        <v>0</v>
      </c>
      <c r="K150" s="676">
        <v>0</v>
      </c>
      <c r="L150" s="676">
        <v>78.532530811120665</v>
      </c>
      <c r="M150" s="676">
        <v>0</v>
      </c>
      <c r="N150" s="676">
        <v>0</v>
      </c>
      <c r="O150" s="676">
        <v>0</v>
      </c>
      <c r="P150" s="676">
        <v>10.891372886213814</v>
      </c>
      <c r="Q150" s="676">
        <v>0</v>
      </c>
      <c r="R150" s="676">
        <v>0</v>
      </c>
      <c r="S150" s="676">
        <v>0</v>
      </c>
      <c r="T150" s="676">
        <v>0</v>
      </c>
      <c r="U150" s="676">
        <v>0</v>
      </c>
      <c r="V150" s="676">
        <v>0</v>
      </c>
      <c r="W150" s="674">
        <v>63.246393426960921</v>
      </c>
      <c r="X150" s="676"/>
      <c r="Y150" s="676"/>
      <c r="Z150" s="676"/>
      <c r="AA150" s="676"/>
      <c r="AB150" s="676"/>
      <c r="AC150" s="676"/>
      <c r="AD150" s="676"/>
      <c r="AE150" s="676">
        <v>28.637623005636762</v>
      </c>
      <c r="AF150" s="676"/>
      <c r="AG150" s="676"/>
      <c r="AH150" s="676"/>
      <c r="AI150" s="676"/>
      <c r="AJ150" s="676">
        <v>1.0270373554982324</v>
      </c>
      <c r="AK150" s="676"/>
      <c r="AL150" s="676">
        <v>23.574089997133846</v>
      </c>
      <c r="AM150" s="676">
        <v>0</v>
      </c>
      <c r="AN150" s="676"/>
      <c r="AO150" s="676"/>
      <c r="AP150" s="676"/>
      <c r="AQ150" s="676">
        <v>10.031527658354829</v>
      </c>
      <c r="AR150" s="676"/>
      <c r="AS150" s="676"/>
      <c r="AT150" s="674">
        <v>7.1176077194993788</v>
      </c>
      <c r="AU150" s="676">
        <v>2.6750740422279544</v>
      </c>
      <c r="AV150" s="676">
        <v>0</v>
      </c>
      <c r="AW150" s="676">
        <v>4.4425336772714239</v>
      </c>
      <c r="AX150" s="676">
        <v>0</v>
      </c>
      <c r="AY150" s="676">
        <v>0</v>
      </c>
      <c r="AZ150" s="674">
        <v>19.680901882105665</v>
      </c>
      <c r="BA150" s="676"/>
      <c r="BB150" s="676"/>
      <c r="BC150" s="676"/>
      <c r="BD150" s="676">
        <v>0</v>
      </c>
      <c r="BE150" s="676"/>
      <c r="BF150" s="676">
        <v>3.6065730390751884</v>
      </c>
      <c r="BG150" s="676">
        <v>0</v>
      </c>
      <c r="BH150" s="676">
        <v>0</v>
      </c>
      <c r="BI150" s="676">
        <v>16.074328843030475</v>
      </c>
      <c r="BJ150" s="676">
        <v>0</v>
      </c>
      <c r="BK150" s="676">
        <v>0</v>
      </c>
      <c r="BL150" s="676">
        <v>0</v>
      </c>
      <c r="BM150" s="676">
        <v>0</v>
      </c>
      <c r="BN150" s="676">
        <v>0</v>
      </c>
      <c r="BO150" s="674">
        <v>16.074328843030475</v>
      </c>
      <c r="BP150" s="676">
        <v>0</v>
      </c>
      <c r="BQ150" s="676">
        <v>16.074328843030475</v>
      </c>
      <c r="BR150" s="675"/>
      <c r="BS150" s="675">
        <v>0.21496130696474633</v>
      </c>
      <c r="BT150" s="674">
        <v>73.683959109582489</v>
      </c>
    </row>
    <row r="151" spans="1:72">
      <c r="A151" s="681"/>
      <c r="B151" s="680" t="s">
        <v>968</v>
      </c>
      <c r="C151" s="679" t="s">
        <v>1012</v>
      </c>
      <c r="D151" s="679"/>
      <c r="E151" s="679"/>
      <c r="F151" s="678" t="s">
        <v>1011</v>
      </c>
      <c r="G151" s="678"/>
      <c r="H151" s="677">
        <v>68.572656921754074</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16.695328174261967</v>
      </c>
      <c r="X151" s="676"/>
      <c r="Y151" s="676"/>
      <c r="Z151" s="676"/>
      <c r="AA151" s="676"/>
      <c r="AB151" s="676"/>
      <c r="AC151" s="676"/>
      <c r="AD151" s="676"/>
      <c r="AE151" s="676">
        <v>4.3947644979459248</v>
      </c>
      <c r="AF151" s="676"/>
      <c r="AG151" s="676"/>
      <c r="AH151" s="676"/>
      <c r="AI151" s="676"/>
      <c r="AJ151" s="676"/>
      <c r="AK151" s="676"/>
      <c r="AL151" s="676">
        <v>12.30056367631604</v>
      </c>
      <c r="AM151" s="676">
        <v>0</v>
      </c>
      <c r="AN151" s="676"/>
      <c r="AO151" s="676"/>
      <c r="AP151" s="676"/>
      <c r="AQ151" s="676"/>
      <c r="AR151" s="676"/>
      <c r="AS151" s="676"/>
      <c r="AT151" s="674">
        <v>0.78819145887073661</v>
      </c>
      <c r="AU151" s="676">
        <v>0.78819145887073661</v>
      </c>
      <c r="AV151" s="676">
        <v>0</v>
      </c>
      <c r="AW151" s="676">
        <v>0</v>
      </c>
      <c r="AX151" s="676">
        <v>0</v>
      </c>
      <c r="AY151" s="676">
        <v>0</v>
      </c>
      <c r="AZ151" s="674">
        <v>4.7769179325499185E-2</v>
      </c>
      <c r="BA151" s="676"/>
      <c r="BB151" s="676"/>
      <c r="BC151" s="676"/>
      <c r="BD151" s="676">
        <v>0</v>
      </c>
      <c r="BE151" s="676"/>
      <c r="BF151" s="676">
        <v>4.7769179325499185E-2</v>
      </c>
      <c r="BG151" s="676">
        <v>0</v>
      </c>
      <c r="BH151" s="676">
        <v>0</v>
      </c>
      <c r="BI151" s="676">
        <v>0</v>
      </c>
      <c r="BJ151" s="676">
        <v>0</v>
      </c>
      <c r="BK151" s="676">
        <v>0</v>
      </c>
      <c r="BL151" s="676">
        <v>0</v>
      </c>
      <c r="BM151" s="676">
        <v>0</v>
      </c>
      <c r="BN151" s="676">
        <v>0</v>
      </c>
      <c r="BO151" s="674">
        <v>0</v>
      </c>
      <c r="BP151" s="676">
        <v>0</v>
      </c>
      <c r="BQ151" s="676">
        <v>0</v>
      </c>
      <c r="BR151" s="675"/>
      <c r="BS151" s="675">
        <v>3.1288812458201964</v>
      </c>
      <c r="BT151" s="674">
        <v>47.888602273812936</v>
      </c>
    </row>
    <row r="152" spans="1:72">
      <c r="A152" s="681"/>
      <c r="B152" s="680" t="s">
        <v>968</v>
      </c>
      <c r="C152" s="679" t="s">
        <v>1010</v>
      </c>
      <c r="D152" s="679"/>
      <c r="E152" s="679"/>
      <c r="F152" s="678" t="s">
        <v>1009</v>
      </c>
      <c r="G152" s="678"/>
      <c r="H152" s="677">
        <v>134.30304767364095</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25.628164708130313</v>
      </c>
      <c r="X152" s="676"/>
      <c r="Y152" s="676"/>
      <c r="Z152" s="676"/>
      <c r="AA152" s="676"/>
      <c r="AB152" s="676"/>
      <c r="AC152" s="676"/>
      <c r="AD152" s="676"/>
      <c r="AE152" s="676">
        <v>5.493455622432406</v>
      </c>
      <c r="AF152" s="676"/>
      <c r="AG152" s="676"/>
      <c r="AH152" s="676"/>
      <c r="AI152" s="676"/>
      <c r="AJ152" s="676"/>
      <c r="AK152" s="676"/>
      <c r="AL152" s="676">
        <v>18.438903219642686</v>
      </c>
      <c r="AM152" s="676">
        <v>0</v>
      </c>
      <c r="AN152" s="676"/>
      <c r="AO152" s="676"/>
      <c r="AP152" s="676"/>
      <c r="AQ152" s="676">
        <v>1.6719212763924716</v>
      </c>
      <c r="AR152" s="676"/>
      <c r="AS152" s="676"/>
      <c r="AT152" s="674">
        <v>4.2036877806439286</v>
      </c>
      <c r="AU152" s="676">
        <v>4.2036877806439286</v>
      </c>
      <c r="AV152" s="676">
        <v>0</v>
      </c>
      <c r="AW152" s="676">
        <v>0</v>
      </c>
      <c r="AX152" s="676">
        <v>0</v>
      </c>
      <c r="AY152" s="676">
        <v>0</v>
      </c>
      <c r="AZ152" s="674">
        <v>2.3884589662749593E-2</v>
      </c>
      <c r="BA152" s="676"/>
      <c r="BB152" s="676"/>
      <c r="BC152" s="676"/>
      <c r="BD152" s="676">
        <v>0</v>
      </c>
      <c r="BE152" s="676"/>
      <c r="BF152" s="676">
        <v>2.3884589662749593E-2</v>
      </c>
      <c r="BG152" s="676">
        <v>0</v>
      </c>
      <c r="BH152" s="676">
        <v>0</v>
      </c>
      <c r="BI152" s="676">
        <v>0</v>
      </c>
      <c r="BJ152" s="676">
        <v>0</v>
      </c>
      <c r="BK152" s="676">
        <v>0</v>
      </c>
      <c r="BL152" s="676">
        <v>0</v>
      </c>
      <c r="BM152" s="676">
        <v>0</v>
      </c>
      <c r="BN152" s="676">
        <v>0</v>
      </c>
      <c r="BO152" s="674">
        <v>0</v>
      </c>
      <c r="BP152" s="676">
        <v>0</v>
      </c>
      <c r="BQ152" s="676">
        <v>0</v>
      </c>
      <c r="BR152" s="675"/>
      <c r="BS152" s="675">
        <v>3.7498805770516861</v>
      </c>
      <c r="BT152" s="674">
        <v>100.69743001815229</v>
      </c>
    </row>
    <row r="153" spans="1:72">
      <c r="A153" s="681"/>
      <c r="B153" s="680" t="s">
        <v>968</v>
      </c>
      <c r="C153" s="679" t="s">
        <v>1008</v>
      </c>
      <c r="D153" s="679"/>
      <c r="E153" s="679"/>
      <c r="F153" s="678" t="s">
        <v>1007</v>
      </c>
      <c r="G153" s="678"/>
      <c r="H153" s="677">
        <v>109.79745867965988</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57.394668959587271</v>
      </c>
      <c r="X153" s="676"/>
      <c r="Y153" s="676"/>
      <c r="Z153" s="676"/>
      <c r="AA153" s="676"/>
      <c r="AB153" s="676"/>
      <c r="AC153" s="676"/>
      <c r="AD153" s="676"/>
      <c r="AE153" s="676">
        <v>1.0986911244864812</v>
      </c>
      <c r="AF153" s="676"/>
      <c r="AG153" s="676"/>
      <c r="AH153" s="676"/>
      <c r="AI153" s="676"/>
      <c r="AJ153" s="676"/>
      <c r="AK153" s="676"/>
      <c r="AL153" s="676">
        <v>55.340594248590804</v>
      </c>
      <c r="AM153" s="676">
        <v>0.95538358650998367</v>
      </c>
      <c r="AN153" s="676"/>
      <c r="AO153" s="676"/>
      <c r="AP153" s="676"/>
      <c r="AQ153" s="676"/>
      <c r="AR153" s="676"/>
      <c r="AS153" s="676"/>
      <c r="AT153" s="674">
        <v>4.179803190981179</v>
      </c>
      <c r="AU153" s="676">
        <v>4.179803190981179</v>
      </c>
      <c r="AV153" s="676">
        <v>0</v>
      </c>
      <c r="AW153" s="676">
        <v>0</v>
      </c>
      <c r="AX153" s="676">
        <v>0</v>
      </c>
      <c r="AY153" s="676">
        <v>0</v>
      </c>
      <c r="AZ153" s="674">
        <v>2.3884589662749593E-2</v>
      </c>
      <c r="BA153" s="676"/>
      <c r="BB153" s="676"/>
      <c r="BC153" s="676"/>
      <c r="BD153" s="676">
        <v>0</v>
      </c>
      <c r="BE153" s="676"/>
      <c r="BF153" s="676">
        <v>2.3884589662749593E-2</v>
      </c>
      <c r="BG153" s="676">
        <v>0</v>
      </c>
      <c r="BH153" s="676">
        <v>0</v>
      </c>
      <c r="BI153" s="676">
        <v>0</v>
      </c>
      <c r="BJ153" s="676">
        <v>0</v>
      </c>
      <c r="BK153" s="676">
        <v>0</v>
      </c>
      <c r="BL153" s="676">
        <v>0</v>
      </c>
      <c r="BM153" s="676">
        <v>0</v>
      </c>
      <c r="BN153" s="676">
        <v>0</v>
      </c>
      <c r="BO153" s="674">
        <v>0</v>
      </c>
      <c r="BP153" s="676">
        <v>0</v>
      </c>
      <c r="BQ153" s="676">
        <v>0</v>
      </c>
      <c r="BR153" s="675"/>
      <c r="BS153" s="675">
        <v>0.14330753797649756</v>
      </c>
      <c r="BT153" s="674">
        <v>48.055794401452182</v>
      </c>
    </row>
    <row r="154" spans="1:72">
      <c r="A154" s="681"/>
      <c r="B154" s="680" t="s">
        <v>968</v>
      </c>
      <c r="C154" s="679" t="s">
        <v>1006</v>
      </c>
      <c r="D154" s="679"/>
      <c r="E154" s="679"/>
      <c r="F154" s="678" t="s">
        <v>1005</v>
      </c>
      <c r="G154" s="678"/>
      <c r="H154" s="677">
        <v>379.02455335817331</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85.17244673736505</v>
      </c>
      <c r="X154" s="676"/>
      <c r="Y154" s="676"/>
      <c r="Z154" s="676"/>
      <c r="AA154" s="676"/>
      <c r="AB154" s="676"/>
      <c r="AC154" s="676"/>
      <c r="AD154" s="676"/>
      <c r="AE154" s="676">
        <v>16.52813604662272</v>
      </c>
      <c r="AF154" s="676"/>
      <c r="AG154" s="676"/>
      <c r="AH154" s="676"/>
      <c r="AI154" s="676"/>
      <c r="AJ154" s="676"/>
      <c r="AK154" s="676"/>
      <c r="AL154" s="676">
        <v>68.64431069074233</v>
      </c>
      <c r="AM154" s="676">
        <v>0</v>
      </c>
      <c r="AN154" s="676"/>
      <c r="AO154" s="676"/>
      <c r="AP154" s="676"/>
      <c r="AQ154" s="676"/>
      <c r="AR154" s="676"/>
      <c r="AS154" s="676"/>
      <c r="AT154" s="674">
        <v>40.102226043756566</v>
      </c>
      <c r="AU154" s="676">
        <v>40.102226043756566</v>
      </c>
      <c r="AV154" s="676">
        <v>0</v>
      </c>
      <c r="AW154" s="676">
        <v>0</v>
      </c>
      <c r="AX154" s="676">
        <v>0</v>
      </c>
      <c r="AY154" s="676">
        <v>0</v>
      </c>
      <c r="AZ154" s="674">
        <v>4.8963408808636668</v>
      </c>
      <c r="BA154" s="676"/>
      <c r="BB154" s="676"/>
      <c r="BC154" s="676"/>
      <c r="BD154" s="676">
        <v>0</v>
      </c>
      <c r="BE154" s="676"/>
      <c r="BF154" s="676">
        <v>2.2212668386357119</v>
      </c>
      <c r="BG154" s="676">
        <v>0</v>
      </c>
      <c r="BH154" s="676">
        <v>0</v>
      </c>
      <c r="BI154" s="676">
        <v>2.6750740422279544</v>
      </c>
      <c r="BJ154" s="676">
        <v>0</v>
      </c>
      <c r="BK154" s="676">
        <v>0</v>
      </c>
      <c r="BL154" s="676">
        <v>0</v>
      </c>
      <c r="BM154" s="676">
        <v>0</v>
      </c>
      <c r="BN154" s="676">
        <v>0</v>
      </c>
      <c r="BO154" s="674">
        <v>2.6750740422279544</v>
      </c>
      <c r="BP154" s="676">
        <v>0</v>
      </c>
      <c r="BQ154" s="676">
        <v>2.6750740422279544</v>
      </c>
      <c r="BR154" s="675"/>
      <c r="BS154" s="675">
        <v>12.634947931594535</v>
      </c>
      <c r="BT154" s="674">
        <v>233.54351772236552</v>
      </c>
    </row>
    <row r="155" spans="1:72">
      <c r="A155" s="681"/>
      <c r="B155" s="680" t="s">
        <v>968</v>
      </c>
      <c r="C155" s="679" t="s">
        <v>1004</v>
      </c>
      <c r="D155" s="679"/>
      <c r="E155" s="679"/>
      <c r="F155" s="678" t="s">
        <v>1003</v>
      </c>
      <c r="G155" s="678"/>
      <c r="H155" s="677">
        <v>813.55689309257662</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97.568548772332093</v>
      </c>
      <c r="X155" s="676"/>
      <c r="Y155" s="676"/>
      <c r="Z155" s="676"/>
      <c r="AA155" s="676"/>
      <c r="AB155" s="676"/>
      <c r="AC155" s="676"/>
      <c r="AD155" s="676"/>
      <c r="AE155" s="676">
        <v>13.208178083500524</v>
      </c>
      <c r="AF155" s="676"/>
      <c r="AG155" s="676"/>
      <c r="AH155" s="676"/>
      <c r="AI155" s="676"/>
      <c r="AJ155" s="676"/>
      <c r="AK155" s="676"/>
      <c r="AL155" s="676">
        <v>4.1081494219929295</v>
      </c>
      <c r="AM155" s="676">
        <v>80.252221266838632</v>
      </c>
      <c r="AN155" s="676"/>
      <c r="AO155" s="676"/>
      <c r="AP155" s="676"/>
      <c r="AQ155" s="676"/>
      <c r="AR155" s="676"/>
      <c r="AS155" s="676"/>
      <c r="AT155" s="674">
        <v>1.4330753797649756</v>
      </c>
      <c r="AU155" s="676">
        <v>1.4330753797649756</v>
      </c>
      <c r="AV155" s="676">
        <v>0</v>
      </c>
      <c r="AW155" s="676">
        <v>0</v>
      </c>
      <c r="AX155" s="676">
        <v>0</v>
      </c>
      <c r="AY155" s="676">
        <v>0</v>
      </c>
      <c r="AZ155" s="674">
        <v>279.54523741282122</v>
      </c>
      <c r="BA155" s="676"/>
      <c r="BB155" s="676"/>
      <c r="BC155" s="676"/>
      <c r="BD155" s="676">
        <v>0</v>
      </c>
      <c r="BE155" s="676"/>
      <c r="BF155" s="676">
        <v>279.54523741282122</v>
      </c>
      <c r="BG155" s="676">
        <v>0</v>
      </c>
      <c r="BH155" s="676">
        <v>0</v>
      </c>
      <c r="BI155" s="676">
        <v>0</v>
      </c>
      <c r="BJ155" s="676">
        <v>0</v>
      </c>
      <c r="BK155" s="676">
        <v>0</v>
      </c>
      <c r="BL155" s="676">
        <v>0</v>
      </c>
      <c r="BM155" s="676">
        <v>0</v>
      </c>
      <c r="BN155" s="676">
        <v>0</v>
      </c>
      <c r="BO155" s="674">
        <v>0</v>
      </c>
      <c r="BP155" s="676">
        <v>0</v>
      </c>
      <c r="BQ155" s="676">
        <v>0</v>
      </c>
      <c r="BR155" s="675"/>
      <c r="BS155" s="675">
        <v>0.35826884494124389</v>
      </c>
      <c r="BT155" s="674">
        <v>434.65176268271711</v>
      </c>
    </row>
    <row r="156" spans="1:72">
      <c r="A156" s="681"/>
      <c r="B156" s="680" t="s">
        <v>968</v>
      </c>
      <c r="C156" s="679" t="s">
        <v>1002</v>
      </c>
      <c r="D156" s="679"/>
      <c r="E156" s="679"/>
      <c r="F156" s="678" t="s">
        <v>1001</v>
      </c>
      <c r="G156" s="678"/>
      <c r="H156" s="677">
        <v>148.51437852297695</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10.174835196331326</v>
      </c>
      <c r="X156" s="676"/>
      <c r="Y156" s="676"/>
      <c r="Z156" s="676"/>
      <c r="AA156" s="676"/>
      <c r="AB156" s="676"/>
      <c r="AC156" s="676"/>
      <c r="AD156" s="676"/>
      <c r="AE156" s="676"/>
      <c r="AF156" s="676"/>
      <c r="AG156" s="676"/>
      <c r="AH156" s="676"/>
      <c r="AI156" s="676"/>
      <c r="AJ156" s="676"/>
      <c r="AK156" s="676"/>
      <c r="AL156" s="676">
        <v>9.219451609821343</v>
      </c>
      <c r="AM156" s="676">
        <v>0.95538358650998367</v>
      </c>
      <c r="AN156" s="676"/>
      <c r="AO156" s="676"/>
      <c r="AP156" s="676"/>
      <c r="AQ156" s="676"/>
      <c r="AR156" s="676"/>
      <c r="AS156" s="676"/>
      <c r="AT156" s="674">
        <v>0.31049966561574471</v>
      </c>
      <c r="AU156" s="676">
        <v>0.31049966561574471</v>
      </c>
      <c r="AV156" s="676">
        <v>0</v>
      </c>
      <c r="AW156" s="676">
        <v>0</v>
      </c>
      <c r="AX156" s="676">
        <v>0</v>
      </c>
      <c r="AY156" s="676">
        <v>0</v>
      </c>
      <c r="AZ156" s="674">
        <v>71.008885067354541</v>
      </c>
      <c r="BA156" s="676"/>
      <c r="BB156" s="676"/>
      <c r="BC156" s="676"/>
      <c r="BD156" s="676">
        <v>0</v>
      </c>
      <c r="BE156" s="676"/>
      <c r="BF156" s="676">
        <v>71.008885067354541</v>
      </c>
      <c r="BG156" s="676">
        <v>0</v>
      </c>
      <c r="BH156" s="676">
        <v>0</v>
      </c>
      <c r="BI156" s="676">
        <v>0</v>
      </c>
      <c r="BJ156" s="676">
        <v>0</v>
      </c>
      <c r="BK156" s="676">
        <v>0</v>
      </c>
      <c r="BL156" s="676">
        <v>0</v>
      </c>
      <c r="BM156" s="676">
        <v>0</v>
      </c>
      <c r="BN156" s="676">
        <v>0</v>
      </c>
      <c r="BO156" s="674">
        <v>0</v>
      </c>
      <c r="BP156" s="676">
        <v>0</v>
      </c>
      <c r="BQ156" s="676">
        <v>0</v>
      </c>
      <c r="BR156" s="675"/>
      <c r="BS156" s="675">
        <v>5.3740326741186584</v>
      </c>
      <c r="BT156" s="674">
        <v>61.646125919556702</v>
      </c>
    </row>
    <row r="157" spans="1:72">
      <c r="A157" s="681"/>
      <c r="B157" s="680" t="s">
        <v>968</v>
      </c>
      <c r="C157" s="679" t="s">
        <v>1000</v>
      </c>
      <c r="D157" s="679"/>
      <c r="E157" s="679"/>
      <c r="F157" s="678" t="s">
        <v>999</v>
      </c>
      <c r="G157" s="678"/>
      <c r="H157" s="677">
        <v>255.94726282602463</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150.90283748925194</v>
      </c>
      <c r="X157" s="676"/>
      <c r="Y157" s="676"/>
      <c r="Z157" s="676"/>
      <c r="AA157" s="676"/>
      <c r="AB157" s="676"/>
      <c r="AC157" s="676"/>
      <c r="AD157" s="676"/>
      <c r="AE157" s="676">
        <v>18.72551829559568</v>
      </c>
      <c r="AF157" s="676"/>
      <c r="AG157" s="676"/>
      <c r="AH157" s="676"/>
      <c r="AI157" s="676"/>
      <c r="AJ157" s="676"/>
      <c r="AK157" s="676"/>
      <c r="AL157" s="676">
        <v>132.17731919365625</v>
      </c>
      <c r="AM157" s="676">
        <v>0</v>
      </c>
      <c r="AN157" s="676"/>
      <c r="AO157" s="676"/>
      <c r="AP157" s="676"/>
      <c r="AQ157" s="676"/>
      <c r="AR157" s="676"/>
      <c r="AS157" s="676"/>
      <c r="AT157" s="674">
        <v>0.50157638291774143</v>
      </c>
      <c r="AU157" s="676">
        <v>0.50157638291774143</v>
      </c>
      <c r="AV157" s="676">
        <v>0</v>
      </c>
      <c r="AW157" s="676">
        <v>0</v>
      </c>
      <c r="AX157" s="676">
        <v>0</v>
      </c>
      <c r="AY157" s="676">
        <v>0</v>
      </c>
      <c r="AZ157" s="674">
        <v>4.0364956530046809</v>
      </c>
      <c r="BA157" s="676"/>
      <c r="BB157" s="676"/>
      <c r="BC157" s="676"/>
      <c r="BD157" s="676">
        <v>0</v>
      </c>
      <c r="BE157" s="676"/>
      <c r="BF157" s="676">
        <v>4.0364956530046809</v>
      </c>
      <c r="BG157" s="676">
        <v>0</v>
      </c>
      <c r="BH157" s="676">
        <v>0</v>
      </c>
      <c r="BI157" s="676">
        <v>0</v>
      </c>
      <c r="BJ157" s="676">
        <v>0</v>
      </c>
      <c r="BK157" s="676">
        <v>0</v>
      </c>
      <c r="BL157" s="676">
        <v>0</v>
      </c>
      <c r="BM157" s="676">
        <v>0</v>
      </c>
      <c r="BN157" s="676">
        <v>0</v>
      </c>
      <c r="BO157" s="674">
        <v>0</v>
      </c>
      <c r="BP157" s="676">
        <v>0</v>
      </c>
      <c r="BQ157" s="676">
        <v>0</v>
      </c>
      <c r="BR157" s="675"/>
      <c r="BS157" s="675">
        <v>0</v>
      </c>
      <c r="BT157" s="674">
        <v>100.50635330085029</v>
      </c>
    </row>
    <row r="158" spans="1:72">
      <c r="A158" s="681"/>
      <c r="B158" s="680" t="s">
        <v>968</v>
      </c>
      <c r="C158" s="679" t="s">
        <v>998</v>
      </c>
      <c r="D158" s="679"/>
      <c r="E158" s="679"/>
      <c r="F158" s="678" t="s">
        <v>997</v>
      </c>
      <c r="G158" s="678"/>
      <c r="H158" s="677">
        <v>8.670106047578102</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1.0270373554982324</v>
      </c>
      <c r="X158" s="676"/>
      <c r="Y158" s="676"/>
      <c r="Z158" s="676"/>
      <c r="AA158" s="676"/>
      <c r="AB158" s="676"/>
      <c r="AC158" s="676"/>
      <c r="AD158" s="676"/>
      <c r="AE158" s="676"/>
      <c r="AF158" s="676"/>
      <c r="AG158" s="676"/>
      <c r="AH158" s="676"/>
      <c r="AI158" s="676"/>
      <c r="AJ158" s="676"/>
      <c r="AK158" s="676"/>
      <c r="AL158" s="676">
        <v>1.0270373554982324</v>
      </c>
      <c r="AM158" s="676">
        <v>0</v>
      </c>
      <c r="AN158" s="676"/>
      <c r="AO158" s="676"/>
      <c r="AP158" s="676"/>
      <c r="AQ158" s="676"/>
      <c r="AR158" s="676"/>
      <c r="AS158" s="676"/>
      <c r="AT158" s="674">
        <v>0.52546097258049107</v>
      </c>
      <c r="AU158" s="676">
        <v>0.52546097258049107</v>
      </c>
      <c r="AV158" s="676">
        <v>0</v>
      </c>
      <c r="AW158" s="676">
        <v>0</v>
      </c>
      <c r="AX158" s="676">
        <v>0</v>
      </c>
      <c r="AY158" s="676">
        <v>0</v>
      </c>
      <c r="AZ158" s="674">
        <v>0</v>
      </c>
      <c r="BA158" s="676"/>
      <c r="BB158" s="676"/>
      <c r="BC158" s="676"/>
      <c r="BD158" s="676">
        <v>0</v>
      </c>
      <c r="BE158" s="676"/>
      <c r="BF158" s="676">
        <v>0</v>
      </c>
      <c r="BG158" s="676">
        <v>0</v>
      </c>
      <c r="BH158" s="676">
        <v>0</v>
      </c>
      <c r="BI158" s="676">
        <v>0</v>
      </c>
      <c r="BJ158" s="676">
        <v>0</v>
      </c>
      <c r="BK158" s="676">
        <v>0</v>
      </c>
      <c r="BL158" s="676">
        <v>0</v>
      </c>
      <c r="BM158" s="676">
        <v>0</v>
      </c>
      <c r="BN158" s="676">
        <v>0</v>
      </c>
      <c r="BO158" s="674">
        <v>0</v>
      </c>
      <c r="BP158" s="676">
        <v>0</v>
      </c>
      <c r="BQ158" s="676">
        <v>0</v>
      </c>
      <c r="BR158" s="675"/>
      <c r="BS158" s="675">
        <v>4.7769179325499185E-2</v>
      </c>
      <c r="BT158" s="674">
        <v>7.0459539505111302</v>
      </c>
    </row>
    <row r="159" spans="1:72">
      <c r="A159" s="681"/>
      <c r="B159" s="680" t="s">
        <v>968</v>
      </c>
      <c r="C159" s="679" t="s">
        <v>996</v>
      </c>
      <c r="D159" s="679"/>
      <c r="E159" s="679"/>
      <c r="F159" s="678" t="s">
        <v>995</v>
      </c>
      <c r="G159" s="678"/>
      <c r="H159" s="677">
        <v>52.61775102703735</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4.179803190981179</v>
      </c>
      <c r="X159" s="676"/>
      <c r="Y159" s="676"/>
      <c r="Z159" s="676"/>
      <c r="AA159" s="676"/>
      <c r="AB159" s="676"/>
      <c r="AC159" s="676"/>
      <c r="AD159" s="676"/>
      <c r="AE159" s="676">
        <v>1.0986911244864812</v>
      </c>
      <c r="AF159" s="676"/>
      <c r="AG159" s="676"/>
      <c r="AH159" s="676"/>
      <c r="AI159" s="676"/>
      <c r="AJ159" s="676"/>
      <c r="AK159" s="676"/>
      <c r="AL159" s="676">
        <v>3.0811120664946974</v>
      </c>
      <c r="AM159" s="676">
        <v>0</v>
      </c>
      <c r="AN159" s="676"/>
      <c r="AO159" s="676"/>
      <c r="AP159" s="676"/>
      <c r="AQ159" s="676"/>
      <c r="AR159" s="676"/>
      <c r="AS159" s="676"/>
      <c r="AT159" s="674">
        <v>3.0811120664946974</v>
      </c>
      <c r="AU159" s="676">
        <v>3.0811120664946974</v>
      </c>
      <c r="AV159" s="676">
        <v>0</v>
      </c>
      <c r="AW159" s="676">
        <v>0</v>
      </c>
      <c r="AX159" s="676">
        <v>0</v>
      </c>
      <c r="AY159" s="676">
        <v>0</v>
      </c>
      <c r="AZ159" s="674">
        <v>2.1734976593102129</v>
      </c>
      <c r="BA159" s="676"/>
      <c r="BB159" s="676"/>
      <c r="BC159" s="676"/>
      <c r="BD159" s="676">
        <v>0</v>
      </c>
      <c r="BE159" s="676"/>
      <c r="BF159" s="676">
        <v>2.1734976593102129</v>
      </c>
      <c r="BG159" s="676">
        <v>0</v>
      </c>
      <c r="BH159" s="676">
        <v>0</v>
      </c>
      <c r="BI159" s="676">
        <v>0</v>
      </c>
      <c r="BJ159" s="676">
        <v>0</v>
      </c>
      <c r="BK159" s="676">
        <v>0</v>
      </c>
      <c r="BL159" s="676">
        <v>0</v>
      </c>
      <c r="BM159" s="676">
        <v>0</v>
      </c>
      <c r="BN159" s="676">
        <v>0</v>
      </c>
      <c r="BO159" s="674">
        <v>0</v>
      </c>
      <c r="BP159" s="676">
        <v>0</v>
      </c>
      <c r="BQ159" s="676">
        <v>0</v>
      </c>
      <c r="BR159" s="675"/>
      <c r="BS159" s="675">
        <v>0.45380720359224225</v>
      </c>
      <c r="BT159" s="674">
        <v>42.729530906659022</v>
      </c>
    </row>
    <row r="160" spans="1:72">
      <c r="A160" s="680" t="s">
        <v>968</v>
      </c>
      <c r="B160" s="679" t="s">
        <v>994</v>
      </c>
      <c r="C160" s="679"/>
      <c r="D160" s="679"/>
      <c r="E160" s="679"/>
      <c r="F160" s="678" t="s">
        <v>993</v>
      </c>
      <c r="G160" s="678"/>
      <c r="H160" s="677">
        <v>5331.0642973153717</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5101.1990064010697</v>
      </c>
      <c r="X160" s="676"/>
      <c r="Y160" s="676"/>
      <c r="Z160" s="676"/>
      <c r="AA160" s="676"/>
      <c r="AB160" s="676"/>
      <c r="AC160" s="676"/>
      <c r="AD160" s="676"/>
      <c r="AE160" s="676">
        <v>2.1973822489729624</v>
      </c>
      <c r="AF160" s="676">
        <v>1256.8787618228719</v>
      </c>
      <c r="AG160" s="676">
        <v>2.1018438903219643</v>
      </c>
      <c r="AH160" s="676"/>
      <c r="AI160" s="676">
        <v>777.46727811216203</v>
      </c>
      <c r="AJ160" s="676"/>
      <c r="AK160" s="676"/>
      <c r="AL160" s="676">
        <v>3004.2753415496322</v>
      </c>
      <c r="AM160" s="676">
        <v>58.278398777109004</v>
      </c>
      <c r="AN160" s="676"/>
      <c r="AO160" s="676"/>
      <c r="AP160" s="676"/>
      <c r="AQ160" s="676"/>
      <c r="AR160" s="676"/>
      <c r="AS160" s="676"/>
      <c r="AT160" s="674">
        <v>54.385210662080823</v>
      </c>
      <c r="AU160" s="676">
        <v>54.385210662080823</v>
      </c>
      <c r="AV160" s="676">
        <v>0</v>
      </c>
      <c r="AW160" s="676">
        <v>0</v>
      </c>
      <c r="AX160" s="676">
        <v>0</v>
      </c>
      <c r="AY160" s="676">
        <v>0</v>
      </c>
      <c r="AZ160" s="674">
        <v>116.15075952995127</v>
      </c>
      <c r="BA160" s="676"/>
      <c r="BB160" s="676"/>
      <c r="BC160" s="676"/>
      <c r="BD160" s="676">
        <v>0</v>
      </c>
      <c r="BE160" s="676"/>
      <c r="BF160" s="676">
        <v>0</v>
      </c>
      <c r="BG160" s="676">
        <v>0</v>
      </c>
      <c r="BH160" s="676">
        <v>0</v>
      </c>
      <c r="BI160" s="676">
        <v>0</v>
      </c>
      <c r="BJ160" s="676">
        <v>4.4903028565969239</v>
      </c>
      <c r="BK160" s="676">
        <v>110.75284226616986</v>
      </c>
      <c r="BL160" s="676">
        <v>0</v>
      </c>
      <c r="BM160" s="676">
        <v>0.93149899684723414</v>
      </c>
      <c r="BN160" s="676">
        <v>0</v>
      </c>
      <c r="BO160" s="674">
        <v>0</v>
      </c>
      <c r="BP160" s="676">
        <v>0</v>
      </c>
      <c r="BQ160" s="676">
        <v>0</v>
      </c>
      <c r="BR160" s="675"/>
      <c r="BS160" s="675"/>
      <c r="BT160" s="674">
        <v>59.329320722269991</v>
      </c>
    </row>
    <row r="161" spans="1:72">
      <c r="A161" s="681"/>
      <c r="B161" s="680" t="s">
        <v>968</v>
      </c>
      <c r="C161" s="679" t="s">
        <v>992</v>
      </c>
      <c r="D161" s="679"/>
      <c r="E161" s="679"/>
      <c r="F161" s="678" t="s">
        <v>991</v>
      </c>
      <c r="G161" s="678"/>
      <c r="H161" s="677">
        <v>72.394191267794014</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13.327601031814273</v>
      </c>
      <c r="X161" s="676"/>
      <c r="Y161" s="676"/>
      <c r="Z161" s="676"/>
      <c r="AA161" s="676"/>
      <c r="AB161" s="676"/>
      <c r="AC161" s="676"/>
      <c r="AD161" s="676"/>
      <c r="AE161" s="676"/>
      <c r="AF161" s="676"/>
      <c r="AG161" s="676"/>
      <c r="AH161" s="676"/>
      <c r="AI161" s="676"/>
      <c r="AJ161" s="676"/>
      <c r="AK161" s="676"/>
      <c r="AL161" s="676">
        <v>13.327601031814273</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59.066590235979746</v>
      </c>
    </row>
    <row r="162" spans="1:72">
      <c r="A162" s="681"/>
      <c r="B162" s="680" t="s">
        <v>968</v>
      </c>
      <c r="C162" s="679" t="s">
        <v>990</v>
      </c>
      <c r="D162" s="679"/>
      <c r="E162" s="679"/>
      <c r="F162" s="678" t="s">
        <v>989</v>
      </c>
      <c r="G162" s="678"/>
      <c r="H162" s="677">
        <v>3612.830801566829</v>
      </c>
      <c r="I162" s="674"/>
      <c r="J162" s="676"/>
      <c r="K162" s="676"/>
      <c r="L162" s="676"/>
      <c r="M162" s="676"/>
      <c r="N162" s="676"/>
      <c r="O162" s="676"/>
      <c r="P162" s="676"/>
      <c r="Q162" s="676"/>
      <c r="R162" s="676"/>
      <c r="S162" s="676"/>
      <c r="T162" s="676"/>
      <c r="U162" s="676"/>
      <c r="V162" s="676"/>
      <c r="W162" s="674">
        <v>3491.9747778733158</v>
      </c>
      <c r="X162" s="676"/>
      <c r="Y162" s="676"/>
      <c r="Z162" s="676"/>
      <c r="AA162" s="676"/>
      <c r="AB162" s="676"/>
      <c r="AC162" s="676"/>
      <c r="AD162" s="676"/>
      <c r="AE162" s="676">
        <v>2.1973822489729624</v>
      </c>
      <c r="AF162" s="676">
        <v>1215.0568453233973</v>
      </c>
      <c r="AG162" s="676"/>
      <c r="AH162" s="676"/>
      <c r="AI162" s="676"/>
      <c r="AJ162" s="676"/>
      <c r="AK162" s="676"/>
      <c r="AL162" s="676">
        <v>2274.7205503009459</v>
      </c>
      <c r="AM162" s="676">
        <v>0</v>
      </c>
      <c r="AN162" s="676"/>
      <c r="AO162" s="676"/>
      <c r="AP162" s="676"/>
      <c r="AQ162" s="676"/>
      <c r="AR162" s="676"/>
      <c r="AS162" s="676"/>
      <c r="AT162" s="674">
        <v>4.4425336772714239</v>
      </c>
      <c r="AU162" s="676">
        <v>4.4425336772714239</v>
      </c>
      <c r="AV162" s="676"/>
      <c r="AW162" s="676"/>
      <c r="AX162" s="676"/>
      <c r="AY162" s="676"/>
      <c r="AZ162" s="674">
        <v>116.15075952995127</v>
      </c>
      <c r="BA162" s="676"/>
      <c r="BB162" s="676"/>
      <c r="BC162" s="676"/>
      <c r="BD162" s="676">
        <v>0</v>
      </c>
      <c r="BE162" s="676"/>
      <c r="BF162" s="676">
        <v>0</v>
      </c>
      <c r="BG162" s="676">
        <v>0</v>
      </c>
      <c r="BH162" s="676">
        <v>0</v>
      </c>
      <c r="BI162" s="676">
        <v>0</v>
      </c>
      <c r="BJ162" s="676">
        <v>4.4903028565969239</v>
      </c>
      <c r="BK162" s="676">
        <v>110.75284226616986</v>
      </c>
      <c r="BL162" s="676">
        <v>0</v>
      </c>
      <c r="BM162" s="676">
        <v>0.93149899684723414</v>
      </c>
      <c r="BN162" s="676">
        <v>0</v>
      </c>
      <c r="BO162" s="674">
        <v>0</v>
      </c>
      <c r="BP162" s="676">
        <v>0</v>
      </c>
      <c r="BQ162" s="676">
        <v>0</v>
      </c>
      <c r="BR162" s="675"/>
      <c r="BS162" s="675"/>
      <c r="BT162" s="674">
        <v>0.26273048629024554</v>
      </c>
    </row>
    <row r="163" spans="1:72">
      <c r="A163" s="681"/>
      <c r="B163" s="680" t="s">
        <v>968</v>
      </c>
      <c r="C163" s="679" t="s">
        <v>988</v>
      </c>
      <c r="D163" s="679"/>
      <c r="E163" s="679"/>
      <c r="F163" s="678" t="s">
        <v>987</v>
      </c>
      <c r="G163" s="678"/>
      <c r="H163" s="677">
        <v>430.32865195375939</v>
      </c>
      <c r="I163" s="674"/>
      <c r="J163" s="676"/>
      <c r="K163" s="676"/>
      <c r="L163" s="676"/>
      <c r="M163" s="676"/>
      <c r="N163" s="676"/>
      <c r="O163" s="676"/>
      <c r="P163" s="676"/>
      <c r="Q163" s="676"/>
      <c r="R163" s="676"/>
      <c r="S163" s="676"/>
      <c r="T163" s="676"/>
      <c r="U163" s="676"/>
      <c r="V163" s="676"/>
      <c r="W163" s="674">
        <v>430.32865195375939</v>
      </c>
      <c r="X163" s="676"/>
      <c r="Y163" s="676"/>
      <c r="Z163" s="676"/>
      <c r="AA163" s="676"/>
      <c r="AB163" s="676"/>
      <c r="AC163" s="676"/>
      <c r="AD163" s="676"/>
      <c r="AE163" s="676"/>
      <c r="AF163" s="676"/>
      <c r="AG163" s="676"/>
      <c r="AH163" s="676"/>
      <c r="AI163" s="676">
        <v>430.32865195375939</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c r="A164" s="681"/>
      <c r="B164" s="680" t="s">
        <v>968</v>
      </c>
      <c r="C164" s="679" t="s">
        <v>986</v>
      </c>
      <c r="D164" s="679"/>
      <c r="E164" s="679"/>
      <c r="F164" s="678" t="s">
        <v>985</v>
      </c>
      <c r="G164" s="678"/>
      <c r="H164" s="677">
        <v>349.24047004872455</v>
      </c>
      <c r="I164" s="674"/>
      <c r="J164" s="676"/>
      <c r="K164" s="676"/>
      <c r="L164" s="676"/>
      <c r="M164" s="676"/>
      <c r="N164" s="676"/>
      <c r="O164" s="676"/>
      <c r="P164" s="676"/>
      <c r="Q164" s="676"/>
      <c r="R164" s="676"/>
      <c r="S164" s="676"/>
      <c r="T164" s="676"/>
      <c r="U164" s="676"/>
      <c r="V164" s="676"/>
      <c r="W164" s="674">
        <v>349.24047004872455</v>
      </c>
      <c r="X164" s="676"/>
      <c r="Y164" s="676"/>
      <c r="Z164" s="676"/>
      <c r="AA164" s="676"/>
      <c r="AB164" s="676"/>
      <c r="AC164" s="676"/>
      <c r="AD164" s="676"/>
      <c r="AE164" s="676"/>
      <c r="AF164" s="676"/>
      <c r="AG164" s="676">
        <v>2.1018438903219643</v>
      </c>
      <c r="AH164" s="676"/>
      <c r="AI164" s="676">
        <v>347.13862615840259</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c r="A165" s="681"/>
      <c r="B165" s="680" t="s">
        <v>968</v>
      </c>
      <c r="C165" s="679" t="s">
        <v>984</v>
      </c>
      <c r="D165" s="679"/>
      <c r="E165" s="679"/>
      <c r="F165" s="678" t="s">
        <v>983</v>
      </c>
      <c r="G165" s="678"/>
      <c r="H165" s="677">
        <v>816.32750549345553</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816.32750549345553</v>
      </c>
      <c r="X165" s="676"/>
      <c r="Y165" s="676"/>
      <c r="Z165" s="676"/>
      <c r="AA165" s="676"/>
      <c r="AB165" s="676"/>
      <c r="AC165" s="676"/>
      <c r="AD165" s="676"/>
      <c r="AE165" s="676"/>
      <c r="AF165" s="676">
        <v>41.82191649947454</v>
      </c>
      <c r="AG165" s="676"/>
      <c r="AH165" s="676"/>
      <c r="AI165" s="676"/>
      <c r="AJ165" s="676"/>
      <c r="AK165" s="676"/>
      <c r="AL165" s="676">
        <v>716.22719021687203</v>
      </c>
      <c r="AM165" s="676">
        <v>58.278398777109004</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c r="A167" s="681"/>
      <c r="B167" s="680" t="s">
        <v>968</v>
      </c>
      <c r="C167" s="679" t="s">
        <v>980</v>
      </c>
      <c r="D167" s="679"/>
      <c r="E167" s="679"/>
      <c r="F167" s="678" t="s">
        <v>979</v>
      </c>
      <c r="G167" s="678"/>
      <c r="H167" s="677">
        <v>49.942676984809395</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49.942676984809395</v>
      </c>
      <c r="AU167" s="676">
        <v>49.942676984809395</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c r="A168" s="680" t="s">
        <v>968</v>
      </c>
      <c r="B168" s="679" t="s">
        <v>978</v>
      </c>
      <c r="C168" s="679"/>
      <c r="D168" s="679"/>
      <c r="E168" s="679"/>
      <c r="F168" s="678" t="s">
        <v>977</v>
      </c>
      <c r="G168" s="678"/>
      <c r="H168" s="677">
        <v>8142.782077003917</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1137.5752364574375</v>
      </c>
      <c r="X168" s="676"/>
      <c r="Y168" s="676"/>
      <c r="Z168" s="676"/>
      <c r="AA168" s="676"/>
      <c r="AB168" s="676"/>
      <c r="AC168" s="676"/>
      <c r="AD168" s="676"/>
      <c r="AE168" s="676">
        <v>29.736314130123244</v>
      </c>
      <c r="AF168" s="676">
        <v>23.597974586796596</v>
      </c>
      <c r="AG168" s="676"/>
      <c r="AH168" s="676"/>
      <c r="AI168" s="676">
        <v>33.892232731441673</v>
      </c>
      <c r="AJ168" s="676">
        <v>66.924620235024364</v>
      </c>
      <c r="AK168" s="676"/>
      <c r="AL168" s="676">
        <v>980.58182860418458</v>
      </c>
      <c r="AM168" s="676">
        <v>2.8661507595299511</v>
      </c>
      <c r="AN168" s="676"/>
      <c r="AO168" s="676"/>
      <c r="AP168" s="676"/>
      <c r="AQ168" s="676"/>
      <c r="AR168" s="676"/>
      <c r="AS168" s="676"/>
      <c r="AT168" s="674">
        <v>45.643450845514472</v>
      </c>
      <c r="AU168" s="676">
        <v>45.643450845514472</v>
      </c>
      <c r="AV168" s="676">
        <v>0</v>
      </c>
      <c r="AW168" s="676">
        <v>0</v>
      </c>
      <c r="AX168" s="676">
        <v>0</v>
      </c>
      <c r="AY168" s="676">
        <v>0</v>
      </c>
      <c r="AZ168" s="674">
        <v>749.57007738607047</v>
      </c>
      <c r="BA168" s="676"/>
      <c r="BB168" s="676"/>
      <c r="BC168" s="676"/>
      <c r="BD168" s="676">
        <v>0</v>
      </c>
      <c r="BE168" s="676"/>
      <c r="BF168" s="676">
        <v>737.3411674787427</v>
      </c>
      <c r="BG168" s="676">
        <v>0</v>
      </c>
      <c r="BH168" s="676">
        <v>12.228909907327791</v>
      </c>
      <c r="BI168" s="676">
        <v>0</v>
      </c>
      <c r="BJ168" s="676">
        <v>0</v>
      </c>
      <c r="BK168" s="676">
        <v>0</v>
      </c>
      <c r="BL168" s="676">
        <v>0</v>
      </c>
      <c r="BM168" s="676">
        <v>0</v>
      </c>
      <c r="BN168" s="676">
        <v>0</v>
      </c>
      <c r="BO168" s="674">
        <v>0</v>
      </c>
      <c r="BP168" s="676">
        <v>0</v>
      </c>
      <c r="BQ168" s="676">
        <v>0</v>
      </c>
      <c r="BR168" s="675"/>
      <c r="BS168" s="675">
        <v>344.39189834718638</v>
      </c>
      <c r="BT168" s="674">
        <v>5865.6014139677081</v>
      </c>
    </row>
    <row r="169" spans="1:72">
      <c r="A169" s="681"/>
      <c r="B169" s="680" t="s">
        <v>968</v>
      </c>
      <c r="C169" s="679" t="s">
        <v>976</v>
      </c>
      <c r="D169" s="679"/>
      <c r="E169" s="679"/>
      <c r="F169" s="678" t="s">
        <v>975</v>
      </c>
      <c r="G169" s="678"/>
      <c r="H169" s="677">
        <v>2806.534823731728</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242.38081589758286</v>
      </c>
      <c r="X169" s="676"/>
      <c r="Y169" s="676"/>
      <c r="Z169" s="676"/>
      <c r="AA169" s="676"/>
      <c r="AB169" s="676"/>
      <c r="AC169" s="676"/>
      <c r="AD169" s="676"/>
      <c r="AE169" s="676">
        <v>8.8134135855545992</v>
      </c>
      <c r="AF169" s="676"/>
      <c r="AG169" s="676"/>
      <c r="AH169" s="676"/>
      <c r="AI169" s="676"/>
      <c r="AJ169" s="676">
        <v>4.1081494219929295</v>
      </c>
      <c r="AK169" s="676"/>
      <c r="AL169" s="676">
        <v>228.50386930352536</v>
      </c>
      <c r="AM169" s="676">
        <v>0.95538358650998367</v>
      </c>
      <c r="AN169" s="676"/>
      <c r="AO169" s="676"/>
      <c r="AP169" s="676"/>
      <c r="AQ169" s="676"/>
      <c r="AR169" s="676"/>
      <c r="AS169" s="676"/>
      <c r="AT169" s="674">
        <v>22.236552976019873</v>
      </c>
      <c r="AU169" s="676">
        <v>22.236552976019873</v>
      </c>
      <c r="AV169" s="676">
        <v>0</v>
      </c>
      <c r="AW169" s="676">
        <v>0</v>
      </c>
      <c r="AX169" s="676">
        <v>0</v>
      </c>
      <c r="AY169" s="676">
        <v>0</v>
      </c>
      <c r="AZ169" s="674">
        <v>33.438425527849432</v>
      </c>
      <c r="BA169" s="676"/>
      <c r="BB169" s="676"/>
      <c r="BC169" s="676"/>
      <c r="BD169" s="676">
        <v>0</v>
      </c>
      <c r="BE169" s="676"/>
      <c r="BF169" s="676">
        <v>21.209515620521639</v>
      </c>
      <c r="BG169" s="676">
        <v>0</v>
      </c>
      <c r="BH169" s="676">
        <v>12.228909907327791</v>
      </c>
      <c r="BI169" s="676">
        <v>0</v>
      </c>
      <c r="BJ169" s="676">
        <v>0</v>
      </c>
      <c r="BK169" s="676">
        <v>0</v>
      </c>
      <c r="BL169" s="676">
        <v>0</v>
      </c>
      <c r="BM169" s="676">
        <v>0</v>
      </c>
      <c r="BN169" s="676">
        <v>0</v>
      </c>
      <c r="BO169" s="674">
        <v>0</v>
      </c>
      <c r="BP169" s="676">
        <v>0</v>
      </c>
      <c r="BQ169" s="676">
        <v>0</v>
      </c>
      <c r="BR169" s="675"/>
      <c r="BS169" s="675">
        <v>250.97926817617272</v>
      </c>
      <c r="BT169" s="674">
        <v>2257.5236457437659</v>
      </c>
    </row>
    <row r="170" spans="1:72">
      <c r="A170" s="681"/>
      <c r="B170" s="680" t="s">
        <v>968</v>
      </c>
      <c r="C170" s="679" t="s">
        <v>974</v>
      </c>
      <c r="D170" s="679"/>
      <c r="E170" s="679"/>
      <c r="F170" s="678" t="s">
        <v>973</v>
      </c>
      <c r="G170" s="678"/>
      <c r="H170" s="677">
        <v>4423.7603897965027</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196.66571128308016</v>
      </c>
      <c r="X170" s="676"/>
      <c r="Y170" s="676"/>
      <c r="Z170" s="676"/>
      <c r="AA170" s="676"/>
      <c r="AB170" s="676"/>
      <c r="AC170" s="676"/>
      <c r="AD170" s="676"/>
      <c r="AE170" s="676">
        <v>13.208178083500524</v>
      </c>
      <c r="AF170" s="676">
        <v>17.149135377854208</v>
      </c>
      <c r="AG170" s="676"/>
      <c r="AH170" s="676"/>
      <c r="AI170" s="676"/>
      <c r="AJ170" s="676">
        <v>62.79258622336868</v>
      </c>
      <c r="AK170" s="676"/>
      <c r="AL170" s="676">
        <v>103.49192700869399</v>
      </c>
      <c r="AM170" s="676">
        <v>0</v>
      </c>
      <c r="AN170" s="676"/>
      <c r="AO170" s="676"/>
      <c r="AP170" s="676"/>
      <c r="AQ170" s="676"/>
      <c r="AR170" s="676"/>
      <c r="AS170" s="676"/>
      <c r="AT170" s="674">
        <v>3.9648418840164323</v>
      </c>
      <c r="AU170" s="676">
        <v>3.9648418840164323</v>
      </c>
      <c r="AV170" s="676">
        <v>0</v>
      </c>
      <c r="AW170" s="676">
        <v>0</v>
      </c>
      <c r="AX170" s="676">
        <v>0</v>
      </c>
      <c r="AY170" s="676">
        <v>0</v>
      </c>
      <c r="AZ170" s="674">
        <v>711.71300277061232</v>
      </c>
      <c r="BA170" s="676"/>
      <c r="BB170" s="676"/>
      <c r="BC170" s="676"/>
      <c r="BD170" s="676">
        <v>0</v>
      </c>
      <c r="BE170" s="676"/>
      <c r="BF170" s="676">
        <v>711.71300277061232</v>
      </c>
      <c r="BG170" s="676">
        <v>0</v>
      </c>
      <c r="BH170" s="676">
        <v>0</v>
      </c>
      <c r="BI170" s="676">
        <v>0</v>
      </c>
      <c r="BJ170" s="676">
        <v>0</v>
      </c>
      <c r="BK170" s="676">
        <v>0</v>
      </c>
      <c r="BL170" s="676">
        <v>0</v>
      </c>
      <c r="BM170" s="676">
        <v>0</v>
      </c>
      <c r="BN170" s="676">
        <v>0</v>
      </c>
      <c r="BO170" s="674">
        <v>0</v>
      </c>
      <c r="BP170" s="676">
        <v>0</v>
      </c>
      <c r="BQ170" s="676">
        <v>0</v>
      </c>
      <c r="BR170" s="675"/>
      <c r="BS170" s="675">
        <v>93.197668864048907</v>
      </c>
      <c r="BT170" s="674">
        <v>3418.2191649947454</v>
      </c>
    </row>
    <row r="171" spans="1:72">
      <c r="A171" s="681"/>
      <c r="B171" s="680" t="s">
        <v>968</v>
      </c>
      <c r="C171" s="679" t="s">
        <v>972</v>
      </c>
      <c r="D171" s="679"/>
      <c r="E171" s="679"/>
      <c r="F171" s="678" t="s">
        <v>971</v>
      </c>
      <c r="G171" s="678"/>
      <c r="H171" s="677">
        <v>343.72312983662937</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147.05741855354924</v>
      </c>
      <c r="X171" s="676"/>
      <c r="Y171" s="676"/>
      <c r="Z171" s="676"/>
      <c r="AA171" s="676"/>
      <c r="AB171" s="676"/>
      <c r="AC171" s="676"/>
      <c r="AD171" s="676"/>
      <c r="AE171" s="676">
        <v>7.7147224610681189</v>
      </c>
      <c r="AF171" s="676"/>
      <c r="AG171" s="676"/>
      <c r="AH171" s="676"/>
      <c r="AI171" s="676"/>
      <c r="AJ171" s="676"/>
      <c r="AK171" s="676"/>
      <c r="AL171" s="676">
        <v>139.34269609248113</v>
      </c>
      <c r="AM171" s="676">
        <v>0</v>
      </c>
      <c r="AN171" s="676"/>
      <c r="AO171" s="676"/>
      <c r="AP171" s="676"/>
      <c r="AQ171" s="676"/>
      <c r="AR171" s="676"/>
      <c r="AS171" s="676"/>
      <c r="AT171" s="674">
        <v>19.44205598547817</v>
      </c>
      <c r="AU171" s="676">
        <v>19.44205598547817</v>
      </c>
      <c r="AV171" s="676">
        <v>0</v>
      </c>
      <c r="AW171" s="676">
        <v>0</v>
      </c>
      <c r="AX171" s="676">
        <v>0</v>
      </c>
      <c r="AY171" s="676">
        <v>0</v>
      </c>
      <c r="AZ171" s="674">
        <v>4.4186490876086744</v>
      </c>
      <c r="BA171" s="676"/>
      <c r="BB171" s="676"/>
      <c r="BC171" s="676"/>
      <c r="BD171" s="676">
        <v>0</v>
      </c>
      <c r="BE171" s="676"/>
      <c r="BF171" s="676">
        <v>4.4186490876086744</v>
      </c>
      <c r="BG171" s="676">
        <v>0</v>
      </c>
      <c r="BH171" s="676">
        <v>0</v>
      </c>
      <c r="BI171" s="676">
        <v>0</v>
      </c>
      <c r="BJ171" s="676">
        <v>0</v>
      </c>
      <c r="BK171" s="676">
        <v>0</v>
      </c>
      <c r="BL171" s="676">
        <v>0</v>
      </c>
      <c r="BM171" s="676">
        <v>0</v>
      </c>
      <c r="BN171" s="676">
        <v>0</v>
      </c>
      <c r="BO171" s="674">
        <v>0</v>
      </c>
      <c r="BP171" s="676">
        <v>0</v>
      </c>
      <c r="BQ171" s="676">
        <v>0</v>
      </c>
      <c r="BR171" s="675"/>
      <c r="BS171" s="675">
        <v>0.21496130696474633</v>
      </c>
      <c r="BT171" s="674">
        <v>172.5661603133658</v>
      </c>
    </row>
    <row r="172" spans="1:72">
      <c r="A172" s="681"/>
      <c r="B172" s="680" t="s">
        <v>968</v>
      </c>
      <c r="C172" s="679" t="s">
        <v>970</v>
      </c>
      <c r="D172" s="679"/>
      <c r="E172" s="679"/>
      <c r="F172" s="678" t="s">
        <v>969</v>
      </c>
      <c r="G172" s="678"/>
      <c r="H172" s="677">
        <v>484.61832425718922</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467.3497659310213</v>
      </c>
      <c r="X172" s="676"/>
      <c r="Y172" s="676"/>
      <c r="Z172" s="676"/>
      <c r="AA172" s="676"/>
      <c r="AB172" s="676"/>
      <c r="AC172" s="676"/>
      <c r="AD172" s="676"/>
      <c r="AE172" s="676"/>
      <c r="AF172" s="676">
        <v>5.3501480844559088</v>
      </c>
      <c r="AG172" s="676"/>
      <c r="AH172" s="676"/>
      <c r="AI172" s="676"/>
      <c r="AJ172" s="676"/>
      <c r="AK172" s="676"/>
      <c r="AL172" s="676">
        <v>460.06496608388267</v>
      </c>
      <c r="AM172" s="676">
        <v>1.9107671730199673</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c r="A173" s="673"/>
      <c r="B173" s="672" t="s">
        <v>968</v>
      </c>
      <c r="C173" s="671" t="s">
        <v>967</v>
      </c>
      <c r="D173" s="671"/>
      <c r="E173" s="671"/>
      <c r="F173" s="670" t="s">
        <v>966</v>
      </c>
      <c r="G173" s="670"/>
      <c r="H173" s="669">
        <v>84.145409381866813</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84.145409381866813</v>
      </c>
      <c r="X173" s="668"/>
      <c r="Y173" s="668"/>
      <c r="Z173" s="668"/>
      <c r="AA173" s="668"/>
      <c r="AB173" s="668"/>
      <c r="AC173" s="668"/>
      <c r="AD173" s="668"/>
      <c r="AE173" s="668"/>
      <c r="AF173" s="668">
        <v>1.0748065348237317</v>
      </c>
      <c r="AG173" s="668"/>
      <c r="AH173" s="668"/>
      <c r="AI173" s="668">
        <v>33.892232731441673</v>
      </c>
      <c r="AJ173" s="668"/>
      <c r="AK173" s="668"/>
      <c r="AL173" s="668">
        <v>49.17837011560141</v>
      </c>
      <c r="AM173" s="668">
        <v>0</v>
      </c>
      <c r="AN173" s="668"/>
      <c r="AO173" s="668"/>
      <c r="AP173" s="668"/>
      <c r="AQ173" s="668"/>
      <c r="AR173" s="668"/>
      <c r="AS173" s="668"/>
      <c r="AT173" s="666">
        <v>0</v>
      </c>
      <c r="AU173" s="668">
        <v>0</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6370.1156014139669</v>
      </c>
      <c r="I174" s="660">
        <v>41.965224037451037</v>
      </c>
      <c r="J174" s="662">
        <v>0</v>
      </c>
      <c r="K174" s="662">
        <v>0</v>
      </c>
      <c r="L174" s="662">
        <v>17.459635043469952</v>
      </c>
      <c r="M174" s="662">
        <v>0</v>
      </c>
      <c r="N174" s="662">
        <v>0</v>
      </c>
      <c r="O174" s="662">
        <v>0</v>
      </c>
      <c r="P174" s="662">
        <v>24.505588993981082</v>
      </c>
      <c r="Q174" s="662">
        <v>0</v>
      </c>
      <c r="R174" s="662">
        <v>0</v>
      </c>
      <c r="S174" s="662">
        <v>0</v>
      </c>
      <c r="T174" s="662">
        <v>0</v>
      </c>
      <c r="U174" s="662">
        <v>0</v>
      </c>
      <c r="V174" s="662">
        <v>0</v>
      </c>
      <c r="W174" s="660">
        <v>3796.9571032769654</v>
      </c>
      <c r="X174" s="662">
        <v>545.90618133180465</v>
      </c>
      <c r="Y174" s="662">
        <v>0</v>
      </c>
      <c r="Z174" s="662">
        <v>52.546097258049102</v>
      </c>
      <c r="AA174" s="662">
        <v>0</v>
      </c>
      <c r="AB174" s="662"/>
      <c r="AC174" s="662">
        <v>46.431642304385207</v>
      </c>
      <c r="AD174" s="662">
        <v>224.61068118849718</v>
      </c>
      <c r="AE174" s="662">
        <v>472.36552976019868</v>
      </c>
      <c r="AF174" s="662">
        <v>584.45590904748258</v>
      </c>
      <c r="AG174" s="662">
        <v>-2.1018438903219643</v>
      </c>
      <c r="AH174" s="662">
        <v>8.4551447406133562</v>
      </c>
      <c r="AI174" s="662">
        <v>-24.648896531957579</v>
      </c>
      <c r="AJ174" s="662">
        <v>0</v>
      </c>
      <c r="AK174" s="662">
        <v>1844.3680137575236</v>
      </c>
      <c r="AL174" s="662">
        <v>346.25489634088086</v>
      </c>
      <c r="AM174" s="662">
        <v>-75.809687589567204</v>
      </c>
      <c r="AN174" s="662">
        <v>1.0509219451609821</v>
      </c>
      <c r="AO174" s="662">
        <v>9.0283748925193468</v>
      </c>
      <c r="AP174" s="662">
        <v>-0.93149899684723414</v>
      </c>
      <c r="AQ174" s="662">
        <v>-234.068978694946</v>
      </c>
      <c r="AR174" s="662">
        <v>0</v>
      </c>
      <c r="AS174" s="662">
        <v>-0.95538358650998367</v>
      </c>
      <c r="AT174" s="660">
        <v>2529.9751600267505</v>
      </c>
      <c r="AU174" s="662">
        <v>2529.9990446164134</v>
      </c>
      <c r="AV174" s="662">
        <v>0</v>
      </c>
      <c r="AW174" s="662">
        <v>0</v>
      </c>
      <c r="AX174" s="662">
        <v>0</v>
      </c>
      <c r="AY174" s="662">
        <v>0</v>
      </c>
      <c r="AZ174" s="660">
        <v>1.2181140728002293</v>
      </c>
      <c r="BA174" s="662">
        <v>0</v>
      </c>
      <c r="BB174" s="662">
        <v>0</v>
      </c>
      <c r="BC174" s="662">
        <v>0</v>
      </c>
      <c r="BD174" s="662">
        <v>0</v>
      </c>
      <c r="BE174" s="662">
        <v>0</v>
      </c>
      <c r="BF174" s="662">
        <v>0</v>
      </c>
      <c r="BG174" s="662">
        <v>0</v>
      </c>
      <c r="BH174" s="662">
        <v>1.0509219451609821</v>
      </c>
      <c r="BI174" s="662">
        <v>0</v>
      </c>
      <c r="BJ174" s="662">
        <v>0.31049966561574471</v>
      </c>
      <c r="BK174" s="662">
        <v>-0.14330753797649756</v>
      </c>
      <c r="BL174" s="662">
        <v>0</v>
      </c>
      <c r="BM174" s="662">
        <v>0</v>
      </c>
      <c r="BN174" s="662">
        <v>0</v>
      </c>
      <c r="BO174" s="660">
        <v>0</v>
      </c>
      <c r="BP174" s="662">
        <v>0</v>
      </c>
      <c r="BQ174" s="662">
        <v>0</v>
      </c>
      <c r="BR174" s="661">
        <v>0</v>
      </c>
      <c r="BS174" s="661">
        <v>0</v>
      </c>
      <c r="BT174" s="660">
        <v>0</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656"/>
      <c r="B179" s="656"/>
      <c r="C179" s="656" t="s">
        <v>962</v>
      </c>
      <c r="D179" s="656"/>
      <c r="E179" s="656"/>
      <c r="F179" s="658" t="s">
        <v>961</v>
      </c>
      <c r="G179" s="658"/>
      <c r="H179" s="658"/>
      <c r="I179" s="658"/>
      <c r="J179" s="658"/>
      <c r="K179" s="658"/>
      <c r="L179" s="658"/>
      <c r="M179" s="658"/>
      <c r="N179" s="658"/>
      <c r="O179" s="658"/>
      <c r="P179" s="658"/>
      <c r="Q179" s="658"/>
      <c r="R179" s="658"/>
      <c r="S179" s="658"/>
      <c r="T179" s="658"/>
      <c r="U179" s="658"/>
      <c r="V179" s="658"/>
      <c r="W179" s="656"/>
      <c r="X179" s="656"/>
      <c r="Y179" s="656"/>
      <c r="Z179" s="656"/>
      <c r="AA179" s="656"/>
      <c r="AB179" s="656"/>
      <c r="AC179" s="656"/>
      <c r="AD179" s="656"/>
      <c r="AE179" s="656"/>
      <c r="AF179" s="656"/>
      <c r="AG179" s="656"/>
      <c r="AH179" s="656"/>
      <c r="AI179" s="656"/>
      <c r="AJ179" s="656"/>
      <c r="AK179" s="656"/>
      <c r="AL179" s="656"/>
      <c r="AM179" s="656"/>
      <c r="AN179" s="656"/>
      <c r="AO179" s="656"/>
      <c r="AP179" s="656"/>
      <c r="AQ179" s="656"/>
      <c r="AR179" s="656"/>
      <c r="AS179" s="656"/>
      <c r="AT179" s="656"/>
      <c r="AU179" s="656"/>
      <c r="AV179" s="656"/>
      <c r="AW179" s="656"/>
      <c r="AX179" s="656"/>
      <c r="AY179" s="656"/>
      <c r="AZ179" s="658"/>
      <c r="BA179" s="656"/>
      <c r="BB179" s="656"/>
      <c r="BC179" s="656"/>
      <c r="BD179" s="656"/>
      <c r="BE179" s="656"/>
      <c r="BF179" s="656"/>
      <c r="BG179" s="656"/>
      <c r="BH179" s="656"/>
      <c r="BI179" s="656"/>
      <c r="BJ179" s="657">
        <v>4.8008025222126678</v>
      </c>
      <c r="BK179" s="657">
        <v>110.60953472819337</v>
      </c>
      <c r="BL179" s="656"/>
      <c r="BM179" s="656"/>
      <c r="BN179" s="656"/>
      <c r="BO179" s="656"/>
      <c r="BP179" s="656"/>
      <c r="BQ179" s="656"/>
      <c r="BR179" s="656"/>
      <c r="BS179" s="656"/>
      <c r="BT179" s="656"/>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pageSetUpPr fitToPage="1"/>
  </sheetPr>
  <dimension ref="A1:BU179"/>
  <sheetViews>
    <sheetView zoomScaleNormal="100" workbookViewId="0">
      <pane xSplit="7" ySplit="2" topLeftCell="H99" activePane="bottomRight" state="frozen"/>
      <selection activeCell="D27" sqref="D27"/>
      <selection pane="topRight" activeCell="D27" sqref="D27"/>
      <selection pane="bottomLeft" activeCell="D27" sqref="D27"/>
      <selection pane="bottomRight" activeCell="D27" sqref="D27"/>
    </sheetView>
  </sheetViews>
  <sheetFormatPr baseColWidth="10" defaultColWidth="8.5" defaultRowHeight="11"/>
  <cols>
    <col min="1" max="3" width="2" style="654" customWidth="1"/>
    <col min="4" max="4" width="2.5" style="654" customWidth="1"/>
    <col min="5" max="5" width="45.5" style="654" customWidth="1"/>
    <col min="6" max="6" width="7.1640625" style="655" customWidth="1"/>
    <col min="7" max="7" width="0.5" style="655" customWidth="1"/>
    <col min="8" max="22" width="10.5" style="655" customWidth="1"/>
    <col min="23" max="45" width="10.5" style="654" customWidth="1"/>
    <col min="46" max="51" width="9.5" style="654" customWidth="1"/>
    <col min="52" max="52" width="10.5" style="655" customWidth="1"/>
    <col min="53" max="57" width="9.5" style="654" customWidth="1"/>
    <col min="58" max="256" width="8.5" style="654"/>
    <col min="257" max="259" width="2" style="654" customWidth="1"/>
    <col min="260" max="260" width="2.5" style="654" customWidth="1"/>
    <col min="261" max="261" width="45.5" style="654" customWidth="1"/>
    <col min="262" max="262" width="7.1640625" style="654" customWidth="1"/>
    <col min="263" max="263" width="0.5" style="654" customWidth="1"/>
    <col min="264" max="301" width="10.5" style="654" customWidth="1"/>
    <col min="302" max="307" width="9.5" style="654" customWidth="1"/>
    <col min="308" max="308" width="10.5" style="654" customWidth="1"/>
    <col min="309" max="313" width="9.5" style="654" customWidth="1"/>
    <col min="314" max="512" width="8.5" style="654"/>
    <col min="513" max="515" width="2" style="654" customWidth="1"/>
    <col min="516" max="516" width="2.5" style="654" customWidth="1"/>
    <col min="517" max="517" width="45.5" style="654" customWidth="1"/>
    <col min="518" max="518" width="7.1640625" style="654" customWidth="1"/>
    <col min="519" max="519" width="0.5" style="654" customWidth="1"/>
    <col min="520" max="557" width="10.5" style="654" customWidth="1"/>
    <col min="558" max="563" width="9.5" style="654" customWidth="1"/>
    <col min="564" max="564" width="10.5" style="654" customWidth="1"/>
    <col min="565" max="569" width="9.5" style="654" customWidth="1"/>
    <col min="570" max="768" width="8.5" style="654"/>
    <col min="769" max="771" width="2" style="654" customWidth="1"/>
    <col min="772" max="772" width="2.5" style="654" customWidth="1"/>
    <col min="773" max="773" width="45.5" style="654" customWidth="1"/>
    <col min="774" max="774" width="7.1640625" style="654" customWidth="1"/>
    <col min="775" max="775" width="0.5" style="654" customWidth="1"/>
    <col min="776" max="813" width="10.5" style="654" customWidth="1"/>
    <col min="814" max="819" width="9.5" style="654" customWidth="1"/>
    <col min="820" max="820" width="10.5" style="654" customWidth="1"/>
    <col min="821" max="825" width="9.5" style="654" customWidth="1"/>
    <col min="826" max="1024" width="8.5" style="654"/>
    <col min="1025" max="1027" width="2" style="654" customWidth="1"/>
    <col min="1028" max="1028" width="2.5" style="654" customWidth="1"/>
    <col min="1029" max="1029" width="45.5" style="654" customWidth="1"/>
    <col min="1030" max="1030" width="7.1640625" style="654" customWidth="1"/>
    <col min="1031" max="1031" width="0.5" style="654" customWidth="1"/>
    <col min="1032" max="1069" width="10.5" style="654" customWidth="1"/>
    <col min="1070" max="1075" width="9.5" style="654" customWidth="1"/>
    <col min="1076" max="1076" width="10.5" style="654" customWidth="1"/>
    <col min="1077" max="1081" width="9.5" style="654" customWidth="1"/>
    <col min="1082" max="1280" width="8.5" style="654"/>
    <col min="1281" max="1283" width="2" style="654" customWidth="1"/>
    <col min="1284" max="1284" width="2.5" style="654" customWidth="1"/>
    <col min="1285" max="1285" width="45.5" style="654" customWidth="1"/>
    <col min="1286" max="1286" width="7.1640625" style="654" customWidth="1"/>
    <col min="1287" max="1287" width="0.5" style="654" customWidth="1"/>
    <col min="1288" max="1325" width="10.5" style="654" customWidth="1"/>
    <col min="1326" max="1331" width="9.5" style="654" customWidth="1"/>
    <col min="1332" max="1332" width="10.5" style="654" customWidth="1"/>
    <col min="1333" max="1337" width="9.5" style="654" customWidth="1"/>
    <col min="1338" max="1536" width="8.5" style="654"/>
    <col min="1537" max="1539" width="2" style="654" customWidth="1"/>
    <col min="1540" max="1540" width="2.5" style="654" customWidth="1"/>
    <col min="1541" max="1541" width="45.5" style="654" customWidth="1"/>
    <col min="1542" max="1542" width="7.1640625" style="654" customWidth="1"/>
    <col min="1543" max="1543" width="0.5" style="654" customWidth="1"/>
    <col min="1544" max="1581" width="10.5" style="654" customWidth="1"/>
    <col min="1582" max="1587" width="9.5" style="654" customWidth="1"/>
    <col min="1588" max="1588" width="10.5" style="654" customWidth="1"/>
    <col min="1589" max="1593" width="9.5" style="654" customWidth="1"/>
    <col min="1594" max="1792" width="8.5" style="654"/>
    <col min="1793" max="1795" width="2" style="654" customWidth="1"/>
    <col min="1796" max="1796" width="2.5" style="654" customWidth="1"/>
    <col min="1797" max="1797" width="45.5" style="654" customWidth="1"/>
    <col min="1798" max="1798" width="7.1640625" style="654" customWidth="1"/>
    <col min="1799" max="1799" width="0.5" style="654" customWidth="1"/>
    <col min="1800" max="1837" width="10.5" style="654" customWidth="1"/>
    <col min="1838" max="1843" width="9.5" style="654" customWidth="1"/>
    <col min="1844" max="1844" width="10.5" style="654" customWidth="1"/>
    <col min="1845" max="1849" width="9.5" style="654" customWidth="1"/>
    <col min="1850" max="2048" width="8.5" style="654"/>
    <col min="2049" max="2051" width="2" style="654" customWidth="1"/>
    <col min="2052" max="2052" width="2.5" style="654" customWidth="1"/>
    <col min="2053" max="2053" width="45.5" style="654" customWidth="1"/>
    <col min="2054" max="2054" width="7.1640625" style="654" customWidth="1"/>
    <col min="2055" max="2055" width="0.5" style="654" customWidth="1"/>
    <col min="2056" max="2093" width="10.5" style="654" customWidth="1"/>
    <col min="2094" max="2099" width="9.5" style="654" customWidth="1"/>
    <col min="2100" max="2100" width="10.5" style="654" customWidth="1"/>
    <col min="2101" max="2105" width="9.5" style="654" customWidth="1"/>
    <col min="2106" max="2304" width="8.5" style="654"/>
    <col min="2305" max="2307" width="2" style="654" customWidth="1"/>
    <col min="2308" max="2308" width="2.5" style="654" customWidth="1"/>
    <col min="2309" max="2309" width="45.5" style="654" customWidth="1"/>
    <col min="2310" max="2310" width="7.1640625" style="654" customWidth="1"/>
    <col min="2311" max="2311" width="0.5" style="654" customWidth="1"/>
    <col min="2312" max="2349" width="10.5" style="654" customWidth="1"/>
    <col min="2350" max="2355" width="9.5" style="654" customWidth="1"/>
    <col min="2356" max="2356" width="10.5" style="654" customWidth="1"/>
    <col min="2357" max="2361" width="9.5" style="654" customWidth="1"/>
    <col min="2362" max="2560" width="8.5" style="654"/>
    <col min="2561" max="2563" width="2" style="654" customWidth="1"/>
    <col min="2564" max="2564" width="2.5" style="654" customWidth="1"/>
    <col min="2565" max="2565" width="45.5" style="654" customWidth="1"/>
    <col min="2566" max="2566" width="7.1640625" style="654" customWidth="1"/>
    <col min="2567" max="2567" width="0.5" style="654" customWidth="1"/>
    <col min="2568" max="2605" width="10.5" style="654" customWidth="1"/>
    <col min="2606" max="2611" width="9.5" style="654" customWidth="1"/>
    <col min="2612" max="2612" width="10.5" style="654" customWidth="1"/>
    <col min="2613" max="2617" width="9.5" style="654" customWidth="1"/>
    <col min="2618" max="2816" width="8.5" style="654"/>
    <col min="2817" max="2819" width="2" style="654" customWidth="1"/>
    <col min="2820" max="2820" width="2.5" style="654" customWidth="1"/>
    <col min="2821" max="2821" width="45.5" style="654" customWidth="1"/>
    <col min="2822" max="2822" width="7.1640625" style="654" customWidth="1"/>
    <col min="2823" max="2823" width="0.5" style="654" customWidth="1"/>
    <col min="2824" max="2861" width="10.5" style="654" customWidth="1"/>
    <col min="2862" max="2867" width="9.5" style="654" customWidth="1"/>
    <col min="2868" max="2868" width="10.5" style="654" customWidth="1"/>
    <col min="2869" max="2873" width="9.5" style="654" customWidth="1"/>
    <col min="2874" max="3072" width="8.5" style="654"/>
    <col min="3073" max="3075" width="2" style="654" customWidth="1"/>
    <col min="3076" max="3076" width="2.5" style="654" customWidth="1"/>
    <col min="3077" max="3077" width="45.5" style="654" customWidth="1"/>
    <col min="3078" max="3078" width="7.1640625" style="654" customWidth="1"/>
    <col min="3079" max="3079" width="0.5" style="654" customWidth="1"/>
    <col min="3080" max="3117" width="10.5" style="654" customWidth="1"/>
    <col min="3118" max="3123" width="9.5" style="654" customWidth="1"/>
    <col min="3124" max="3124" width="10.5" style="654" customWidth="1"/>
    <col min="3125" max="3129" width="9.5" style="654" customWidth="1"/>
    <col min="3130" max="3328" width="8.5" style="654"/>
    <col min="3329" max="3331" width="2" style="654" customWidth="1"/>
    <col min="3332" max="3332" width="2.5" style="654" customWidth="1"/>
    <col min="3333" max="3333" width="45.5" style="654" customWidth="1"/>
    <col min="3334" max="3334" width="7.1640625" style="654" customWidth="1"/>
    <col min="3335" max="3335" width="0.5" style="654" customWidth="1"/>
    <col min="3336" max="3373" width="10.5" style="654" customWidth="1"/>
    <col min="3374" max="3379" width="9.5" style="654" customWidth="1"/>
    <col min="3380" max="3380" width="10.5" style="654" customWidth="1"/>
    <col min="3381" max="3385" width="9.5" style="654" customWidth="1"/>
    <col min="3386" max="3584" width="8.5" style="654"/>
    <col min="3585" max="3587" width="2" style="654" customWidth="1"/>
    <col min="3588" max="3588" width="2.5" style="654" customWidth="1"/>
    <col min="3589" max="3589" width="45.5" style="654" customWidth="1"/>
    <col min="3590" max="3590" width="7.1640625" style="654" customWidth="1"/>
    <col min="3591" max="3591" width="0.5" style="654" customWidth="1"/>
    <col min="3592" max="3629" width="10.5" style="654" customWidth="1"/>
    <col min="3630" max="3635" width="9.5" style="654" customWidth="1"/>
    <col min="3636" max="3636" width="10.5" style="654" customWidth="1"/>
    <col min="3637" max="3641" width="9.5" style="654" customWidth="1"/>
    <col min="3642" max="3840" width="8.5" style="654"/>
    <col min="3841" max="3843" width="2" style="654" customWidth="1"/>
    <col min="3844" max="3844" width="2.5" style="654" customWidth="1"/>
    <col min="3845" max="3845" width="45.5" style="654" customWidth="1"/>
    <col min="3846" max="3846" width="7.1640625" style="654" customWidth="1"/>
    <col min="3847" max="3847" width="0.5" style="654" customWidth="1"/>
    <col min="3848" max="3885" width="10.5" style="654" customWidth="1"/>
    <col min="3886" max="3891" width="9.5" style="654" customWidth="1"/>
    <col min="3892" max="3892" width="10.5" style="654" customWidth="1"/>
    <col min="3893" max="3897" width="9.5" style="654" customWidth="1"/>
    <col min="3898" max="4096" width="8.5" style="654"/>
    <col min="4097" max="4099" width="2" style="654" customWidth="1"/>
    <col min="4100" max="4100" width="2.5" style="654" customWidth="1"/>
    <col min="4101" max="4101" width="45.5" style="654" customWidth="1"/>
    <col min="4102" max="4102" width="7.1640625" style="654" customWidth="1"/>
    <col min="4103" max="4103" width="0.5" style="654" customWidth="1"/>
    <col min="4104" max="4141" width="10.5" style="654" customWidth="1"/>
    <col min="4142" max="4147" width="9.5" style="654" customWidth="1"/>
    <col min="4148" max="4148" width="10.5" style="654" customWidth="1"/>
    <col min="4149" max="4153" width="9.5" style="654" customWidth="1"/>
    <col min="4154" max="4352" width="8.5" style="654"/>
    <col min="4353" max="4355" width="2" style="654" customWidth="1"/>
    <col min="4356" max="4356" width="2.5" style="654" customWidth="1"/>
    <col min="4357" max="4357" width="45.5" style="654" customWidth="1"/>
    <col min="4358" max="4358" width="7.1640625" style="654" customWidth="1"/>
    <col min="4359" max="4359" width="0.5" style="654" customWidth="1"/>
    <col min="4360" max="4397" width="10.5" style="654" customWidth="1"/>
    <col min="4398" max="4403" width="9.5" style="654" customWidth="1"/>
    <col min="4404" max="4404" width="10.5" style="654" customWidth="1"/>
    <col min="4405" max="4409" width="9.5" style="654" customWidth="1"/>
    <col min="4410" max="4608" width="8.5" style="654"/>
    <col min="4609" max="4611" width="2" style="654" customWidth="1"/>
    <col min="4612" max="4612" width="2.5" style="654" customWidth="1"/>
    <col min="4613" max="4613" width="45.5" style="654" customWidth="1"/>
    <col min="4614" max="4614" width="7.1640625" style="654" customWidth="1"/>
    <col min="4615" max="4615" width="0.5" style="654" customWidth="1"/>
    <col min="4616" max="4653" width="10.5" style="654" customWidth="1"/>
    <col min="4654" max="4659" width="9.5" style="654" customWidth="1"/>
    <col min="4660" max="4660" width="10.5" style="654" customWidth="1"/>
    <col min="4661" max="4665" width="9.5" style="654" customWidth="1"/>
    <col min="4666" max="4864" width="8.5" style="654"/>
    <col min="4865" max="4867" width="2" style="654" customWidth="1"/>
    <col min="4868" max="4868" width="2.5" style="654" customWidth="1"/>
    <col min="4869" max="4869" width="45.5" style="654" customWidth="1"/>
    <col min="4870" max="4870" width="7.1640625" style="654" customWidth="1"/>
    <col min="4871" max="4871" width="0.5" style="654" customWidth="1"/>
    <col min="4872" max="4909" width="10.5" style="654" customWidth="1"/>
    <col min="4910" max="4915" width="9.5" style="654" customWidth="1"/>
    <col min="4916" max="4916" width="10.5" style="654" customWidth="1"/>
    <col min="4917" max="4921" width="9.5" style="654" customWidth="1"/>
    <col min="4922" max="5120" width="8.5" style="654"/>
    <col min="5121" max="5123" width="2" style="654" customWidth="1"/>
    <col min="5124" max="5124" width="2.5" style="654" customWidth="1"/>
    <col min="5125" max="5125" width="45.5" style="654" customWidth="1"/>
    <col min="5126" max="5126" width="7.1640625" style="654" customWidth="1"/>
    <col min="5127" max="5127" width="0.5" style="654" customWidth="1"/>
    <col min="5128" max="5165" width="10.5" style="654" customWidth="1"/>
    <col min="5166" max="5171" width="9.5" style="654" customWidth="1"/>
    <col min="5172" max="5172" width="10.5" style="654" customWidth="1"/>
    <col min="5173" max="5177" width="9.5" style="654" customWidth="1"/>
    <col min="5178" max="5376" width="8.5" style="654"/>
    <col min="5377" max="5379" width="2" style="654" customWidth="1"/>
    <col min="5380" max="5380" width="2.5" style="654" customWidth="1"/>
    <col min="5381" max="5381" width="45.5" style="654" customWidth="1"/>
    <col min="5382" max="5382" width="7.1640625" style="654" customWidth="1"/>
    <col min="5383" max="5383" width="0.5" style="654" customWidth="1"/>
    <col min="5384" max="5421" width="10.5" style="654" customWidth="1"/>
    <col min="5422" max="5427" width="9.5" style="654" customWidth="1"/>
    <col min="5428" max="5428" width="10.5" style="654" customWidth="1"/>
    <col min="5429" max="5433" width="9.5" style="654" customWidth="1"/>
    <col min="5434" max="5632" width="8.5" style="654"/>
    <col min="5633" max="5635" width="2" style="654" customWidth="1"/>
    <col min="5636" max="5636" width="2.5" style="654" customWidth="1"/>
    <col min="5637" max="5637" width="45.5" style="654" customWidth="1"/>
    <col min="5638" max="5638" width="7.1640625" style="654" customWidth="1"/>
    <col min="5639" max="5639" width="0.5" style="654" customWidth="1"/>
    <col min="5640" max="5677" width="10.5" style="654" customWidth="1"/>
    <col min="5678" max="5683" width="9.5" style="654" customWidth="1"/>
    <col min="5684" max="5684" width="10.5" style="654" customWidth="1"/>
    <col min="5685" max="5689" width="9.5" style="654" customWidth="1"/>
    <col min="5690" max="5888" width="8.5" style="654"/>
    <col min="5889" max="5891" width="2" style="654" customWidth="1"/>
    <col min="5892" max="5892" width="2.5" style="654" customWidth="1"/>
    <col min="5893" max="5893" width="45.5" style="654" customWidth="1"/>
    <col min="5894" max="5894" width="7.1640625" style="654" customWidth="1"/>
    <col min="5895" max="5895" width="0.5" style="654" customWidth="1"/>
    <col min="5896" max="5933" width="10.5" style="654" customWidth="1"/>
    <col min="5934" max="5939" width="9.5" style="654" customWidth="1"/>
    <col min="5940" max="5940" width="10.5" style="654" customWidth="1"/>
    <col min="5941" max="5945" width="9.5" style="654" customWidth="1"/>
    <col min="5946" max="6144" width="8.5" style="654"/>
    <col min="6145" max="6147" width="2" style="654" customWidth="1"/>
    <col min="6148" max="6148" width="2.5" style="654" customWidth="1"/>
    <col min="6149" max="6149" width="45.5" style="654" customWidth="1"/>
    <col min="6150" max="6150" width="7.1640625" style="654" customWidth="1"/>
    <col min="6151" max="6151" width="0.5" style="654" customWidth="1"/>
    <col min="6152" max="6189" width="10.5" style="654" customWidth="1"/>
    <col min="6190" max="6195" width="9.5" style="654" customWidth="1"/>
    <col min="6196" max="6196" width="10.5" style="654" customWidth="1"/>
    <col min="6197" max="6201" width="9.5" style="654" customWidth="1"/>
    <col min="6202" max="6400" width="8.5" style="654"/>
    <col min="6401" max="6403" width="2" style="654" customWidth="1"/>
    <col min="6404" max="6404" width="2.5" style="654" customWidth="1"/>
    <col min="6405" max="6405" width="45.5" style="654" customWidth="1"/>
    <col min="6406" max="6406" width="7.1640625" style="654" customWidth="1"/>
    <col min="6407" max="6407" width="0.5" style="654" customWidth="1"/>
    <col min="6408" max="6445" width="10.5" style="654" customWidth="1"/>
    <col min="6446" max="6451" width="9.5" style="654" customWidth="1"/>
    <col min="6452" max="6452" width="10.5" style="654" customWidth="1"/>
    <col min="6453" max="6457" width="9.5" style="654" customWidth="1"/>
    <col min="6458" max="6656" width="8.5" style="654"/>
    <col min="6657" max="6659" width="2" style="654" customWidth="1"/>
    <col min="6660" max="6660" width="2.5" style="654" customWidth="1"/>
    <col min="6661" max="6661" width="45.5" style="654" customWidth="1"/>
    <col min="6662" max="6662" width="7.1640625" style="654" customWidth="1"/>
    <col min="6663" max="6663" width="0.5" style="654" customWidth="1"/>
    <col min="6664" max="6701" width="10.5" style="654" customWidth="1"/>
    <col min="6702" max="6707" width="9.5" style="654" customWidth="1"/>
    <col min="6708" max="6708" width="10.5" style="654" customWidth="1"/>
    <col min="6709" max="6713" width="9.5" style="654" customWidth="1"/>
    <col min="6714" max="6912" width="8.5" style="654"/>
    <col min="6913" max="6915" width="2" style="654" customWidth="1"/>
    <col min="6916" max="6916" width="2.5" style="654" customWidth="1"/>
    <col min="6917" max="6917" width="45.5" style="654" customWidth="1"/>
    <col min="6918" max="6918" width="7.1640625" style="654" customWidth="1"/>
    <col min="6919" max="6919" width="0.5" style="654" customWidth="1"/>
    <col min="6920" max="6957" width="10.5" style="654" customWidth="1"/>
    <col min="6958" max="6963" width="9.5" style="654" customWidth="1"/>
    <col min="6964" max="6964" width="10.5" style="654" customWidth="1"/>
    <col min="6965" max="6969" width="9.5" style="654" customWidth="1"/>
    <col min="6970" max="7168" width="8.5" style="654"/>
    <col min="7169" max="7171" width="2" style="654" customWidth="1"/>
    <col min="7172" max="7172" width="2.5" style="654" customWidth="1"/>
    <col min="7173" max="7173" width="45.5" style="654" customWidth="1"/>
    <col min="7174" max="7174" width="7.1640625" style="654" customWidth="1"/>
    <col min="7175" max="7175" width="0.5" style="654" customWidth="1"/>
    <col min="7176" max="7213" width="10.5" style="654" customWidth="1"/>
    <col min="7214" max="7219" width="9.5" style="654" customWidth="1"/>
    <col min="7220" max="7220" width="10.5" style="654" customWidth="1"/>
    <col min="7221" max="7225" width="9.5" style="654" customWidth="1"/>
    <col min="7226" max="7424" width="8.5" style="654"/>
    <col min="7425" max="7427" width="2" style="654" customWidth="1"/>
    <col min="7428" max="7428" width="2.5" style="654" customWidth="1"/>
    <col min="7429" max="7429" width="45.5" style="654" customWidth="1"/>
    <col min="7430" max="7430" width="7.1640625" style="654" customWidth="1"/>
    <col min="7431" max="7431" width="0.5" style="654" customWidth="1"/>
    <col min="7432" max="7469" width="10.5" style="654" customWidth="1"/>
    <col min="7470" max="7475" width="9.5" style="654" customWidth="1"/>
    <col min="7476" max="7476" width="10.5" style="654" customWidth="1"/>
    <col min="7477" max="7481" width="9.5" style="654" customWidth="1"/>
    <col min="7482" max="7680" width="8.5" style="654"/>
    <col min="7681" max="7683" width="2" style="654" customWidth="1"/>
    <col min="7684" max="7684" width="2.5" style="654" customWidth="1"/>
    <col min="7685" max="7685" width="45.5" style="654" customWidth="1"/>
    <col min="7686" max="7686" width="7.1640625" style="654" customWidth="1"/>
    <col min="7687" max="7687" width="0.5" style="654" customWidth="1"/>
    <col min="7688" max="7725" width="10.5" style="654" customWidth="1"/>
    <col min="7726" max="7731" width="9.5" style="654" customWidth="1"/>
    <col min="7732" max="7732" width="10.5" style="654" customWidth="1"/>
    <col min="7733" max="7737" width="9.5" style="654" customWidth="1"/>
    <col min="7738" max="7936" width="8.5" style="654"/>
    <col min="7937" max="7939" width="2" style="654" customWidth="1"/>
    <col min="7940" max="7940" width="2.5" style="654" customWidth="1"/>
    <col min="7941" max="7941" width="45.5" style="654" customWidth="1"/>
    <col min="7942" max="7942" width="7.1640625" style="654" customWidth="1"/>
    <col min="7943" max="7943" width="0.5" style="654" customWidth="1"/>
    <col min="7944" max="7981" width="10.5" style="654" customWidth="1"/>
    <col min="7982" max="7987" width="9.5" style="654" customWidth="1"/>
    <col min="7988" max="7988" width="10.5" style="654" customWidth="1"/>
    <col min="7989" max="7993" width="9.5" style="654" customWidth="1"/>
    <col min="7994" max="8192" width="8.5" style="654"/>
    <col min="8193" max="8195" width="2" style="654" customWidth="1"/>
    <col min="8196" max="8196" width="2.5" style="654" customWidth="1"/>
    <col min="8197" max="8197" width="45.5" style="654" customWidth="1"/>
    <col min="8198" max="8198" width="7.1640625" style="654" customWidth="1"/>
    <col min="8199" max="8199" width="0.5" style="654" customWidth="1"/>
    <col min="8200" max="8237" width="10.5" style="654" customWidth="1"/>
    <col min="8238" max="8243" width="9.5" style="654" customWidth="1"/>
    <col min="8244" max="8244" width="10.5" style="654" customWidth="1"/>
    <col min="8245" max="8249" width="9.5" style="654" customWidth="1"/>
    <col min="8250" max="8448" width="8.5" style="654"/>
    <col min="8449" max="8451" width="2" style="654" customWidth="1"/>
    <col min="8452" max="8452" width="2.5" style="654" customWidth="1"/>
    <col min="8453" max="8453" width="45.5" style="654" customWidth="1"/>
    <col min="8454" max="8454" width="7.1640625" style="654" customWidth="1"/>
    <col min="8455" max="8455" width="0.5" style="654" customWidth="1"/>
    <col min="8456" max="8493" width="10.5" style="654" customWidth="1"/>
    <col min="8494" max="8499" width="9.5" style="654" customWidth="1"/>
    <col min="8500" max="8500" width="10.5" style="654" customWidth="1"/>
    <col min="8501" max="8505" width="9.5" style="654" customWidth="1"/>
    <col min="8506" max="8704" width="8.5" style="654"/>
    <col min="8705" max="8707" width="2" style="654" customWidth="1"/>
    <col min="8708" max="8708" width="2.5" style="654" customWidth="1"/>
    <col min="8709" max="8709" width="45.5" style="654" customWidth="1"/>
    <col min="8710" max="8710" width="7.1640625" style="654" customWidth="1"/>
    <col min="8711" max="8711" width="0.5" style="654" customWidth="1"/>
    <col min="8712" max="8749" width="10.5" style="654" customWidth="1"/>
    <col min="8750" max="8755" width="9.5" style="654" customWidth="1"/>
    <col min="8756" max="8756" width="10.5" style="654" customWidth="1"/>
    <col min="8757" max="8761" width="9.5" style="654" customWidth="1"/>
    <col min="8762" max="8960" width="8.5" style="654"/>
    <col min="8961" max="8963" width="2" style="654" customWidth="1"/>
    <col min="8964" max="8964" width="2.5" style="654" customWidth="1"/>
    <col min="8965" max="8965" width="45.5" style="654" customWidth="1"/>
    <col min="8966" max="8966" width="7.1640625" style="654" customWidth="1"/>
    <col min="8967" max="8967" width="0.5" style="654" customWidth="1"/>
    <col min="8968" max="9005" width="10.5" style="654" customWidth="1"/>
    <col min="9006" max="9011" width="9.5" style="654" customWidth="1"/>
    <col min="9012" max="9012" width="10.5" style="654" customWidth="1"/>
    <col min="9013" max="9017" width="9.5" style="654" customWidth="1"/>
    <col min="9018" max="9216" width="8.5" style="654"/>
    <col min="9217" max="9219" width="2" style="654" customWidth="1"/>
    <col min="9220" max="9220" width="2.5" style="654" customWidth="1"/>
    <col min="9221" max="9221" width="45.5" style="654" customWidth="1"/>
    <col min="9222" max="9222" width="7.1640625" style="654" customWidth="1"/>
    <col min="9223" max="9223" width="0.5" style="654" customWidth="1"/>
    <col min="9224" max="9261" width="10.5" style="654" customWidth="1"/>
    <col min="9262" max="9267" width="9.5" style="654" customWidth="1"/>
    <col min="9268" max="9268" width="10.5" style="654" customWidth="1"/>
    <col min="9269" max="9273" width="9.5" style="654" customWidth="1"/>
    <col min="9274" max="9472" width="8.5" style="654"/>
    <col min="9473" max="9475" width="2" style="654" customWidth="1"/>
    <col min="9476" max="9476" width="2.5" style="654" customWidth="1"/>
    <col min="9477" max="9477" width="45.5" style="654" customWidth="1"/>
    <col min="9478" max="9478" width="7.1640625" style="654" customWidth="1"/>
    <col min="9479" max="9479" width="0.5" style="654" customWidth="1"/>
    <col min="9480" max="9517" width="10.5" style="654" customWidth="1"/>
    <col min="9518" max="9523" width="9.5" style="654" customWidth="1"/>
    <col min="9524" max="9524" width="10.5" style="654" customWidth="1"/>
    <col min="9525" max="9529" width="9.5" style="654" customWidth="1"/>
    <col min="9530" max="9728" width="8.5" style="654"/>
    <col min="9729" max="9731" width="2" style="654" customWidth="1"/>
    <col min="9732" max="9732" width="2.5" style="654" customWidth="1"/>
    <col min="9733" max="9733" width="45.5" style="654" customWidth="1"/>
    <col min="9734" max="9734" width="7.1640625" style="654" customWidth="1"/>
    <col min="9735" max="9735" width="0.5" style="654" customWidth="1"/>
    <col min="9736" max="9773" width="10.5" style="654" customWidth="1"/>
    <col min="9774" max="9779" width="9.5" style="654" customWidth="1"/>
    <col min="9780" max="9780" width="10.5" style="654" customWidth="1"/>
    <col min="9781" max="9785" width="9.5" style="654" customWidth="1"/>
    <col min="9786" max="9984" width="8.5" style="654"/>
    <col min="9985" max="9987" width="2" style="654" customWidth="1"/>
    <col min="9988" max="9988" width="2.5" style="654" customWidth="1"/>
    <col min="9989" max="9989" width="45.5" style="654" customWidth="1"/>
    <col min="9990" max="9990" width="7.1640625" style="654" customWidth="1"/>
    <col min="9991" max="9991" width="0.5" style="654" customWidth="1"/>
    <col min="9992" max="10029" width="10.5" style="654" customWidth="1"/>
    <col min="10030" max="10035" width="9.5" style="654" customWidth="1"/>
    <col min="10036" max="10036" width="10.5" style="654" customWidth="1"/>
    <col min="10037" max="10041" width="9.5" style="654" customWidth="1"/>
    <col min="10042" max="10240" width="8.5" style="654"/>
    <col min="10241" max="10243" width="2" style="654" customWidth="1"/>
    <col min="10244" max="10244" width="2.5" style="654" customWidth="1"/>
    <col min="10245" max="10245" width="45.5" style="654" customWidth="1"/>
    <col min="10246" max="10246" width="7.1640625" style="654" customWidth="1"/>
    <col min="10247" max="10247" width="0.5" style="654" customWidth="1"/>
    <col min="10248" max="10285" width="10.5" style="654" customWidth="1"/>
    <col min="10286" max="10291" width="9.5" style="654" customWidth="1"/>
    <col min="10292" max="10292" width="10.5" style="654" customWidth="1"/>
    <col min="10293" max="10297" width="9.5" style="654" customWidth="1"/>
    <col min="10298" max="10496" width="8.5" style="654"/>
    <col min="10497" max="10499" width="2" style="654" customWidth="1"/>
    <col min="10500" max="10500" width="2.5" style="654" customWidth="1"/>
    <col min="10501" max="10501" width="45.5" style="654" customWidth="1"/>
    <col min="10502" max="10502" width="7.1640625" style="654" customWidth="1"/>
    <col min="10503" max="10503" width="0.5" style="654" customWidth="1"/>
    <col min="10504" max="10541" width="10.5" style="654" customWidth="1"/>
    <col min="10542" max="10547" width="9.5" style="654" customWidth="1"/>
    <col min="10548" max="10548" width="10.5" style="654" customWidth="1"/>
    <col min="10549" max="10553" width="9.5" style="654" customWidth="1"/>
    <col min="10554" max="10752" width="8.5" style="654"/>
    <col min="10753" max="10755" width="2" style="654" customWidth="1"/>
    <col min="10756" max="10756" width="2.5" style="654" customWidth="1"/>
    <col min="10757" max="10757" width="45.5" style="654" customWidth="1"/>
    <col min="10758" max="10758" width="7.1640625" style="654" customWidth="1"/>
    <col min="10759" max="10759" width="0.5" style="654" customWidth="1"/>
    <col min="10760" max="10797" width="10.5" style="654" customWidth="1"/>
    <col min="10798" max="10803" width="9.5" style="654" customWidth="1"/>
    <col min="10804" max="10804" width="10.5" style="654" customWidth="1"/>
    <col min="10805" max="10809" width="9.5" style="654" customWidth="1"/>
    <col min="10810" max="11008" width="8.5" style="654"/>
    <col min="11009" max="11011" width="2" style="654" customWidth="1"/>
    <col min="11012" max="11012" width="2.5" style="654" customWidth="1"/>
    <col min="11013" max="11013" width="45.5" style="654" customWidth="1"/>
    <col min="11014" max="11014" width="7.1640625" style="654" customWidth="1"/>
    <col min="11015" max="11015" width="0.5" style="654" customWidth="1"/>
    <col min="11016" max="11053" width="10.5" style="654" customWidth="1"/>
    <col min="11054" max="11059" width="9.5" style="654" customWidth="1"/>
    <col min="11060" max="11060" width="10.5" style="654" customWidth="1"/>
    <col min="11061" max="11065" width="9.5" style="654" customWidth="1"/>
    <col min="11066" max="11264" width="8.5" style="654"/>
    <col min="11265" max="11267" width="2" style="654" customWidth="1"/>
    <col min="11268" max="11268" width="2.5" style="654" customWidth="1"/>
    <col min="11269" max="11269" width="45.5" style="654" customWidth="1"/>
    <col min="11270" max="11270" width="7.1640625" style="654" customWidth="1"/>
    <col min="11271" max="11271" width="0.5" style="654" customWidth="1"/>
    <col min="11272" max="11309" width="10.5" style="654" customWidth="1"/>
    <col min="11310" max="11315" width="9.5" style="654" customWidth="1"/>
    <col min="11316" max="11316" width="10.5" style="654" customWidth="1"/>
    <col min="11317" max="11321" width="9.5" style="654" customWidth="1"/>
    <col min="11322" max="11520" width="8.5" style="654"/>
    <col min="11521" max="11523" width="2" style="654" customWidth="1"/>
    <col min="11524" max="11524" width="2.5" style="654" customWidth="1"/>
    <col min="11525" max="11525" width="45.5" style="654" customWidth="1"/>
    <col min="11526" max="11526" width="7.1640625" style="654" customWidth="1"/>
    <col min="11527" max="11527" width="0.5" style="654" customWidth="1"/>
    <col min="11528" max="11565" width="10.5" style="654" customWidth="1"/>
    <col min="11566" max="11571" width="9.5" style="654" customWidth="1"/>
    <col min="11572" max="11572" width="10.5" style="654" customWidth="1"/>
    <col min="11573" max="11577" width="9.5" style="654" customWidth="1"/>
    <col min="11578" max="11776" width="8.5" style="654"/>
    <col min="11777" max="11779" width="2" style="654" customWidth="1"/>
    <col min="11780" max="11780" width="2.5" style="654" customWidth="1"/>
    <col min="11781" max="11781" width="45.5" style="654" customWidth="1"/>
    <col min="11782" max="11782" width="7.1640625" style="654" customWidth="1"/>
    <col min="11783" max="11783" width="0.5" style="654" customWidth="1"/>
    <col min="11784" max="11821" width="10.5" style="654" customWidth="1"/>
    <col min="11822" max="11827" width="9.5" style="654" customWidth="1"/>
    <col min="11828" max="11828" width="10.5" style="654" customWidth="1"/>
    <col min="11829" max="11833" width="9.5" style="654" customWidth="1"/>
    <col min="11834" max="12032" width="8.5" style="654"/>
    <col min="12033" max="12035" width="2" style="654" customWidth="1"/>
    <col min="12036" max="12036" width="2.5" style="654" customWidth="1"/>
    <col min="12037" max="12037" width="45.5" style="654" customWidth="1"/>
    <col min="12038" max="12038" width="7.1640625" style="654" customWidth="1"/>
    <col min="12039" max="12039" width="0.5" style="654" customWidth="1"/>
    <col min="12040" max="12077" width="10.5" style="654" customWidth="1"/>
    <col min="12078" max="12083" width="9.5" style="654" customWidth="1"/>
    <col min="12084" max="12084" width="10.5" style="654" customWidth="1"/>
    <col min="12085" max="12089" width="9.5" style="654" customWidth="1"/>
    <col min="12090" max="12288" width="8.5" style="654"/>
    <col min="12289" max="12291" width="2" style="654" customWidth="1"/>
    <col min="12292" max="12292" width="2.5" style="654" customWidth="1"/>
    <col min="12293" max="12293" width="45.5" style="654" customWidth="1"/>
    <col min="12294" max="12294" width="7.1640625" style="654" customWidth="1"/>
    <col min="12295" max="12295" width="0.5" style="654" customWidth="1"/>
    <col min="12296" max="12333" width="10.5" style="654" customWidth="1"/>
    <col min="12334" max="12339" width="9.5" style="654" customWidth="1"/>
    <col min="12340" max="12340" width="10.5" style="654" customWidth="1"/>
    <col min="12341" max="12345" width="9.5" style="654" customWidth="1"/>
    <col min="12346" max="12544" width="8.5" style="654"/>
    <col min="12545" max="12547" width="2" style="654" customWidth="1"/>
    <col min="12548" max="12548" width="2.5" style="654" customWidth="1"/>
    <col min="12549" max="12549" width="45.5" style="654" customWidth="1"/>
    <col min="12550" max="12550" width="7.1640625" style="654" customWidth="1"/>
    <col min="12551" max="12551" width="0.5" style="654" customWidth="1"/>
    <col min="12552" max="12589" width="10.5" style="654" customWidth="1"/>
    <col min="12590" max="12595" width="9.5" style="654" customWidth="1"/>
    <col min="12596" max="12596" width="10.5" style="654" customWidth="1"/>
    <col min="12597" max="12601" width="9.5" style="654" customWidth="1"/>
    <col min="12602" max="12800" width="8.5" style="654"/>
    <col min="12801" max="12803" width="2" style="654" customWidth="1"/>
    <col min="12804" max="12804" width="2.5" style="654" customWidth="1"/>
    <col min="12805" max="12805" width="45.5" style="654" customWidth="1"/>
    <col min="12806" max="12806" width="7.1640625" style="654" customWidth="1"/>
    <col min="12807" max="12807" width="0.5" style="654" customWidth="1"/>
    <col min="12808" max="12845" width="10.5" style="654" customWidth="1"/>
    <col min="12846" max="12851" width="9.5" style="654" customWidth="1"/>
    <col min="12852" max="12852" width="10.5" style="654" customWidth="1"/>
    <col min="12853" max="12857" width="9.5" style="654" customWidth="1"/>
    <col min="12858" max="13056" width="8.5" style="654"/>
    <col min="13057" max="13059" width="2" style="654" customWidth="1"/>
    <col min="13060" max="13060" width="2.5" style="654" customWidth="1"/>
    <col min="13061" max="13061" width="45.5" style="654" customWidth="1"/>
    <col min="13062" max="13062" width="7.1640625" style="654" customWidth="1"/>
    <col min="13063" max="13063" width="0.5" style="654" customWidth="1"/>
    <col min="13064" max="13101" width="10.5" style="654" customWidth="1"/>
    <col min="13102" max="13107" width="9.5" style="654" customWidth="1"/>
    <col min="13108" max="13108" width="10.5" style="654" customWidth="1"/>
    <col min="13109" max="13113" width="9.5" style="654" customWidth="1"/>
    <col min="13114" max="13312" width="8.5" style="654"/>
    <col min="13313" max="13315" width="2" style="654" customWidth="1"/>
    <col min="13316" max="13316" width="2.5" style="654" customWidth="1"/>
    <col min="13317" max="13317" width="45.5" style="654" customWidth="1"/>
    <col min="13318" max="13318" width="7.1640625" style="654" customWidth="1"/>
    <col min="13319" max="13319" width="0.5" style="654" customWidth="1"/>
    <col min="13320" max="13357" width="10.5" style="654" customWidth="1"/>
    <col min="13358" max="13363" width="9.5" style="654" customWidth="1"/>
    <col min="13364" max="13364" width="10.5" style="654" customWidth="1"/>
    <col min="13365" max="13369" width="9.5" style="654" customWidth="1"/>
    <col min="13370" max="13568" width="8.5" style="654"/>
    <col min="13569" max="13571" width="2" style="654" customWidth="1"/>
    <col min="13572" max="13572" width="2.5" style="654" customWidth="1"/>
    <col min="13573" max="13573" width="45.5" style="654" customWidth="1"/>
    <col min="13574" max="13574" width="7.1640625" style="654" customWidth="1"/>
    <col min="13575" max="13575" width="0.5" style="654" customWidth="1"/>
    <col min="13576" max="13613" width="10.5" style="654" customWidth="1"/>
    <col min="13614" max="13619" width="9.5" style="654" customWidth="1"/>
    <col min="13620" max="13620" width="10.5" style="654" customWidth="1"/>
    <col min="13621" max="13625" width="9.5" style="654" customWidth="1"/>
    <col min="13626" max="13824" width="8.5" style="654"/>
    <col min="13825" max="13827" width="2" style="654" customWidth="1"/>
    <col min="13828" max="13828" width="2.5" style="654" customWidth="1"/>
    <col min="13829" max="13829" width="45.5" style="654" customWidth="1"/>
    <col min="13830" max="13830" width="7.1640625" style="654" customWidth="1"/>
    <col min="13831" max="13831" width="0.5" style="654" customWidth="1"/>
    <col min="13832" max="13869" width="10.5" style="654" customWidth="1"/>
    <col min="13870" max="13875" width="9.5" style="654" customWidth="1"/>
    <col min="13876" max="13876" width="10.5" style="654" customWidth="1"/>
    <col min="13877" max="13881" width="9.5" style="654" customWidth="1"/>
    <col min="13882" max="14080" width="8.5" style="654"/>
    <col min="14081" max="14083" width="2" style="654" customWidth="1"/>
    <col min="14084" max="14084" width="2.5" style="654" customWidth="1"/>
    <col min="14085" max="14085" width="45.5" style="654" customWidth="1"/>
    <col min="14086" max="14086" width="7.1640625" style="654" customWidth="1"/>
    <col min="14087" max="14087" width="0.5" style="654" customWidth="1"/>
    <col min="14088" max="14125" width="10.5" style="654" customWidth="1"/>
    <col min="14126" max="14131" width="9.5" style="654" customWidth="1"/>
    <col min="14132" max="14132" width="10.5" style="654" customWidth="1"/>
    <col min="14133" max="14137" width="9.5" style="654" customWidth="1"/>
    <col min="14138" max="14336" width="8.5" style="654"/>
    <col min="14337" max="14339" width="2" style="654" customWidth="1"/>
    <col min="14340" max="14340" width="2.5" style="654" customWidth="1"/>
    <col min="14341" max="14341" width="45.5" style="654" customWidth="1"/>
    <col min="14342" max="14342" width="7.1640625" style="654" customWidth="1"/>
    <col min="14343" max="14343" width="0.5" style="654" customWidth="1"/>
    <col min="14344" max="14381" width="10.5" style="654" customWidth="1"/>
    <col min="14382" max="14387" width="9.5" style="654" customWidth="1"/>
    <col min="14388" max="14388" width="10.5" style="654" customWidth="1"/>
    <col min="14389" max="14393" width="9.5" style="654" customWidth="1"/>
    <col min="14394" max="14592" width="8.5" style="654"/>
    <col min="14593" max="14595" width="2" style="654" customWidth="1"/>
    <col min="14596" max="14596" width="2.5" style="654" customWidth="1"/>
    <col min="14597" max="14597" width="45.5" style="654" customWidth="1"/>
    <col min="14598" max="14598" width="7.1640625" style="654" customWidth="1"/>
    <col min="14599" max="14599" width="0.5" style="654" customWidth="1"/>
    <col min="14600" max="14637" width="10.5" style="654" customWidth="1"/>
    <col min="14638" max="14643" width="9.5" style="654" customWidth="1"/>
    <col min="14644" max="14644" width="10.5" style="654" customWidth="1"/>
    <col min="14645" max="14649" width="9.5" style="654" customWidth="1"/>
    <col min="14650" max="14848" width="8.5" style="654"/>
    <col min="14849" max="14851" width="2" style="654" customWidth="1"/>
    <col min="14852" max="14852" width="2.5" style="654" customWidth="1"/>
    <col min="14853" max="14853" width="45.5" style="654" customWidth="1"/>
    <col min="14854" max="14854" width="7.1640625" style="654" customWidth="1"/>
    <col min="14855" max="14855" width="0.5" style="654" customWidth="1"/>
    <col min="14856" max="14893" width="10.5" style="654" customWidth="1"/>
    <col min="14894" max="14899" width="9.5" style="654" customWidth="1"/>
    <col min="14900" max="14900" width="10.5" style="654" customWidth="1"/>
    <col min="14901" max="14905" width="9.5" style="654" customWidth="1"/>
    <col min="14906" max="15104" width="8.5" style="654"/>
    <col min="15105" max="15107" width="2" style="654" customWidth="1"/>
    <col min="15108" max="15108" width="2.5" style="654" customWidth="1"/>
    <col min="15109" max="15109" width="45.5" style="654" customWidth="1"/>
    <col min="15110" max="15110" width="7.1640625" style="654" customWidth="1"/>
    <col min="15111" max="15111" width="0.5" style="654" customWidth="1"/>
    <col min="15112" max="15149" width="10.5" style="654" customWidth="1"/>
    <col min="15150" max="15155" width="9.5" style="654" customWidth="1"/>
    <col min="15156" max="15156" width="10.5" style="654" customWidth="1"/>
    <col min="15157" max="15161" width="9.5" style="654" customWidth="1"/>
    <col min="15162" max="15360" width="8.5" style="654"/>
    <col min="15361" max="15363" width="2" style="654" customWidth="1"/>
    <col min="15364" max="15364" width="2.5" style="654" customWidth="1"/>
    <col min="15365" max="15365" width="45.5" style="654" customWidth="1"/>
    <col min="15366" max="15366" width="7.1640625" style="654" customWidth="1"/>
    <col min="15367" max="15367" width="0.5" style="654" customWidth="1"/>
    <col min="15368" max="15405" width="10.5" style="654" customWidth="1"/>
    <col min="15406" max="15411" width="9.5" style="654" customWidth="1"/>
    <col min="15412" max="15412" width="10.5" style="654" customWidth="1"/>
    <col min="15413" max="15417" width="9.5" style="654" customWidth="1"/>
    <col min="15418" max="15616" width="8.5" style="654"/>
    <col min="15617" max="15619" width="2" style="654" customWidth="1"/>
    <col min="15620" max="15620" width="2.5" style="654" customWidth="1"/>
    <col min="15621" max="15621" width="45.5" style="654" customWidth="1"/>
    <col min="15622" max="15622" width="7.1640625" style="654" customWidth="1"/>
    <col min="15623" max="15623" width="0.5" style="654" customWidth="1"/>
    <col min="15624" max="15661" width="10.5" style="654" customWidth="1"/>
    <col min="15662" max="15667" width="9.5" style="654" customWidth="1"/>
    <col min="15668" max="15668" width="10.5" style="654" customWidth="1"/>
    <col min="15669" max="15673" width="9.5" style="654" customWidth="1"/>
    <col min="15674" max="15872" width="8.5" style="654"/>
    <col min="15873" max="15875" width="2" style="654" customWidth="1"/>
    <col min="15876" max="15876" width="2.5" style="654" customWidth="1"/>
    <col min="15877" max="15877" width="45.5" style="654" customWidth="1"/>
    <col min="15878" max="15878" width="7.1640625" style="654" customWidth="1"/>
    <col min="15879" max="15879" width="0.5" style="654" customWidth="1"/>
    <col min="15880" max="15917" width="10.5" style="654" customWidth="1"/>
    <col min="15918" max="15923" width="9.5" style="654" customWidth="1"/>
    <col min="15924" max="15924" width="10.5" style="654" customWidth="1"/>
    <col min="15925" max="15929" width="9.5" style="654" customWidth="1"/>
    <col min="15930" max="16128" width="8.5" style="654"/>
    <col min="16129" max="16131" width="2" style="654" customWidth="1"/>
    <col min="16132" max="16132" width="2.5" style="654" customWidth="1"/>
    <col min="16133" max="16133" width="45.5" style="654" customWidth="1"/>
    <col min="16134" max="16134" width="7.1640625" style="654" customWidth="1"/>
    <col min="16135" max="16135" width="0.5" style="654" customWidth="1"/>
    <col min="16136" max="16173" width="10.5" style="654" customWidth="1"/>
    <col min="16174" max="16179" width="9.5" style="654" customWidth="1"/>
    <col min="16180" max="16180" width="10.5" style="654" customWidth="1"/>
    <col min="16181" max="16185" width="9.5" style="654" customWidth="1"/>
    <col min="16186" max="16384" width="8.5" style="654"/>
  </cols>
  <sheetData>
    <row r="1" spans="1:73">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957</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199626.03897965033</v>
      </c>
      <c r="I4" s="723">
        <v>930.23311359510842</v>
      </c>
      <c r="J4" s="725">
        <v>0</v>
      </c>
      <c r="K4" s="725">
        <v>0</v>
      </c>
      <c r="L4" s="725">
        <v>930.23311359510842</v>
      </c>
      <c r="M4" s="725">
        <v>0</v>
      </c>
      <c r="N4" s="725">
        <v>0</v>
      </c>
      <c r="O4" s="725"/>
      <c r="P4" s="725"/>
      <c r="Q4" s="725"/>
      <c r="R4" s="725"/>
      <c r="S4" s="725"/>
      <c r="T4" s="725">
        <v>0</v>
      </c>
      <c r="U4" s="725"/>
      <c r="V4" s="725">
        <v>0</v>
      </c>
      <c r="W4" s="723">
        <v>96873.172828890791</v>
      </c>
      <c r="X4" s="725">
        <v>87881.198051017476</v>
      </c>
      <c r="Y4" s="725">
        <v>8867.1539122957856</v>
      </c>
      <c r="Z4" s="725"/>
      <c r="AA4" s="725">
        <v>124.82086557752937</v>
      </c>
      <c r="AB4" s="725"/>
      <c r="AC4" s="725"/>
      <c r="AD4" s="725"/>
      <c r="AE4" s="725"/>
      <c r="AF4" s="725"/>
      <c r="AG4" s="725"/>
      <c r="AH4" s="725"/>
      <c r="AI4" s="725"/>
      <c r="AJ4" s="725"/>
      <c r="AK4" s="725"/>
      <c r="AL4" s="725"/>
      <c r="AM4" s="725"/>
      <c r="AN4" s="725"/>
      <c r="AO4" s="725"/>
      <c r="AP4" s="725"/>
      <c r="AQ4" s="725"/>
      <c r="AR4" s="725"/>
      <c r="AS4" s="725"/>
      <c r="AT4" s="723">
        <v>89734.498901308878</v>
      </c>
      <c r="AU4" s="725">
        <v>89734.498901308878</v>
      </c>
      <c r="AV4" s="725"/>
      <c r="AW4" s="725"/>
      <c r="AX4" s="725"/>
      <c r="AY4" s="725"/>
      <c r="AZ4" s="723">
        <v>11914.302092290054</v>
      </c>
      <c r="BA4" s="725">
        <v>10343.078245915734</v>
      </c>
      <c r="BB4" s="725">
        <v>110.32291965224037</v>
      </c>
      <c r="BC4" s="725">
        <v>0</v>
      </c>
      <c r="BD4" s="725">
        <v>0</v>
      </c>
      <c r="BE4" s="725">
        <v>0</v>
      </c>
      <c r="BF4" s="725">
        <v>1180.0898060571319</v>
      </c>
      <c r="BG4" s="725"/>
      <c r="BH4" s="725">
        <v>29.497468233495749</v>
      </c>
      <c r="BI4" s="725">
        <v>171.10920034393808</v>
      </c>
      <c r="BJ4" s="725">
        <v>0</v>
      </c>
      <c r="BK4" s="725">
        <v>80.204452087513133</v>
      </c>
      <c r="BL4" s="725">
        <v>0</v>
      </c>
      <c r="BM4" s="725">
        <v>0</v>
      </c>
      <c r="BN4" s="725">
        <v>0</v>
      </c>
      <c r="BO4" s="723">
        <v>173.85592815515429</v>
      </c>
      <c r="BP4" s="725">
        <v>2.746727811216203</v>
      </c>
      <c r="BQ4" s="725">
        <v>171.10920034393808</v>
      </c>
      <c r="BR4" s="724">
        <v>0</v>
      </c>
      <c r="BS4" s="724"/>
      <c r="BT4" s="723"/>
    </row>
    <row r="5" spans="1:73">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c r="A12" s="680" t="s">
        <v>968</v>
      </c>
      <c r="B12" s="679" t="s">
        <v>164</v>
      </c>
      <c r="C12" s="679"/>
      <c r="D12" s="679"/>
      <c r="E12" s="679"/>
      <c r="F12" s="678" t="s">
        <v>1276</v>
      </c>
      <c r="G12" s="678"/>
      <c r="H12" s="677">
        <v>7473.5119900640102</v>
      </c>
      <c r="I12" s="674">
        <v>785.56415400783408</v>
      </c>
      <c r="J12" s="676">
        <v>0</v>
      </c>
      <c r="K12" s="676">
        <v>0</v>
      </c>
      <c r="L12" s="676">
        <v>475.85267985096016</v>
      </c>
      <c r="M12" s="676">
        <v>0</v>
      </c>
      <c r="N12" s="676">
        <v>0</v>
      </c>
      <c r="O12" s="676">
        <v>0</v>
      </c>
      <c r="P12" s="676">
        <v>309.73535874653675</v>
      </c>
      <c r="Q12" s="676">
        <v>0</v>
      </c>
      <c r="R12" s="676">
        <v>0</v>
      </c>
      <c r="S12" s="676">
        <v>0</v>
      </c>
      <c r="T12" s="676">
        <v>0</v>
      </c>
      <c r="U12" s="676">
        <v>0</v>
      </c>
      <c r="V12" s="676">
        <v>0</v>
      </c>
      <c r="W12" s="674">
        <v>5545.8106429731533</v>
      </c>
      <c r="X12" s="676">
        <v>1270.7557084169293</v>
      </c>
      <c r="Y12" s="676"/>
      <c r="Z12" s="676"/>
      <c r="AA12" s="676"/>
      <c r="AB12" s="676"/>
      <c r="AC12" s="676"/>
      <c r="AD12" s="676">
        <v>72.680806343747008</v>
      </c>
      <c r="AE12" s="676">
        <v>190.47960256042799</v>
      </c>
      <c r="AF12" s="676">
        <v>175.88611827648799</v>
      </c>
      <c r="AG12" s="676">
        <v>37.737651667144355</v>
      </c>
      <c r="AH12" s="676"/>
      <c r="AI12" s="676">
        <v>273.19193656252986</v>
      </c>
      <c r="AJ12" s="676">
        <v>182.21553453711664</v>
      </c>
      <c r="AK12" s="676">
        <v>56.630362090379286</v>
      </c>
      <c r="AL12" s="676">
        <v>1235.7170153816758</v>
      </c>
      <c r="AM12" s="676">
        <v>1310.7862806916976</v>
      </c>
      <c r="AN12" s="676">
        <v>13.542562338779019</v>
      </c>
      <c r="AO12" s="676">
        <v>42.132416165090284</v>
      </c>
      <c r="AP12" s="676">
        <v>357.69561478933792</v>
      </c>
      <c r="AQ12" s="676">
        <v>310.14139677080345</v>
      </c>
      <c r="AR12" s="676"/>
      <c r="AS12" s="676">
        <v>16.241520970669722</v>
      </c>
      <c r="AT12" s="674">
        <v>0</v>
      </c>
      <c r="AU12" s="676">
        <v>0</v>
      </c>
      <c r="AV12" s="676"/>
      <c r="AW12" s="676"/>
      <c r="AX12" s="676"/>
      <c r="AY12" s="676"/>
      <c r="AZ12" s="674">
        <v>174.38138912773476</v>
      </c>
      <c r="BA12" s="676"/>
      <c r="BB12" s="676"/>
      <c r="BC12" s="676"/>
      <c r="BD12" s="676">
        <v>0</v>
      </c>
      <c r="BE12" s="676"/>
      <c r="BF12" s="676">
        <v>59.042705646316996</v>
      </c>
      <c r="BG12" s="676">
        <v>0</v>
      </c>
      <c r="BH12" s="676">
        <v>0</v>
      </c>
      <c r="BI12" s="676">
        <v>0</v>
      </c>
      <c r="BJ12" s="676">
        <v>8.0013375370211133</v>
      </c>
      <c r="BK12" s="676">
        <v>105.35492500238846</v>
      </c>
      <c r="BL12" s="676">
        <v>0</v>
      </c>
      <c r="BM12" s="676">
        <v>1.9824209420082162</v>
      </c>
      <c r="BN12" s="676">
        <v>0</v>
      </c>
      <c r="BO12" s="674">
        <v>0</v>
      </c>
      <c r="BP12" s="676">
        <v>0</v>
      </c>
      <c r="BQ12" s="676">
        <v>0</v>
      </c>
      <c r="BR12" s="675"/>
      <c r="BS12" s="675">
        <v>0</v>
      </c>
      <c r="BT12" s="674">
        <v>967.755803955288</v>
      </c>
    </row>
    <row r="13" spans="1:73">
      <c r="A13" s="680" t="s">
        <v>968</v>
      </c>
      <c r="B13" s="679" t="s">
        <v>1275</v>
      </c>
      <c r="C13" s="679"/>
      <c r="D13" s="679"/>
      <c r="E13" s="679"/>
      <c r="F13" s="678" t="s">
        <v>1274</v>
      </c>
      <c r="G13" s="678"/>
      <c r="H13" s="677">
        <v>-617.05837393713568</v>
      </c>
      <c r="I13" s="674">
        <v>138.43508168529664</v>
      </c>
      <c r="J13" s="676">
        <v>0</v>
      </c>
      <c r="K13" s="676">
        <v>0</v>
      </c>
      <c r="L13" s="676">
        <v>125.5135186777491</v>
      </c>
      <c r="M13" s="676">
        <v>0</v>
      </c>
      <c r="N13" s="676">
        <v>0</v>
      </c>
      <c r="O13" s="676">
        <v>0</v>
      </c>
      <c r="P13" s="676">
        <v>12.945447597210279</v>
      </c>
      <c r="Q13" s="676">
        <v>0</v>
      </c>
      <c r="R13" s="676">
        <v>0</v>
      </c>
      <c r="S13" s="676">
        <v>0</v>
      </c>
      <c r="T13" s="676">
        <v>0</v>
      </c>
      <c r="U13" s="676">
        <v>0</v>
      </c>
      <c r="V13" s="676">
        <v>0</v>
      </c>
      <c r="W13" s="674">
        <v>-728.62329225183908</v>
      </c>
      <c r="X13" s="676">
        <v>-470.12037833190021</v>
      </c>
      <c r="Y13" s="676"/>
      <c r="Z13" s="676"/>
      <c r="AA13" s="676"/>
      <c r="AB13" s="676"/>
      <c r="AC13" s="676"/>
      <c r="AD13" s="676"/>
      <c r="AE13" s="676">
        <v>15.405560332473488</v>
      </c>
      <c r="AF13" s="676">
        <v>-56.845323397344032</v>
      </c>
      <c r="AG13" s="676"/>
      <c r="AH13" s="676"/>
      <c r="AI13" s="676">
        <v>-47.243718352918691</v>
      </c>
      <c r="AJ13" s="676">
        <v>44.258144645074992</v>
      </c>
      <c r="AK13" s="676">
        <v>13.638100697430017</v>
      </c>
      <c r="AL13" s="676">
        <v>-243.86166045667335</v>
      </c>
      <c r="AM13" s="676">
        <v>59.233782363618992</v>
      </c>
      <c r="AN13" s="676"/>
      <c r="AO13" s="676">
        <v>5.0157638291774145</v>
      </c>
      <c r="AP13" s="676">
        <v>-4.6574949842361706</v>
      </c>
      <c r="AQ13" s="676">
        <v>-43.469953186204258</v>
      </c>
      <c r="AR13" s="676"/>
      <c r="AS13" s="676"/>
      <c r="AT13" s="674">
        <v>-26.870163370593293</v>
      </c>
      <c r="AU13" s="676">
        <v>-26.870163370593293</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c r="A14" s="680" t="s">
        <v>1081</v>
      </c>
      <c r="B14" s="679" t="s">
        <v>170</v>
      </c>
      <c r="C14" s="679"/>
      <c r="D14" s="679"/>
      <c r="E14" s="679"/>
      <c r="F14" s="678" t="s">
        <v>1273</v>
      </c>
      <c r="G14" s="678"/>
      <c r="H14" s="677">
        <v>177678.03573134611</v>
      </c>
      <c r="I14" s="674">
        <v>1009.4105283271233</v>
      </c>
      <c r="J14" s="676">
        <v>0</v>
      </c>
      <c r="K14" s="676">
        <v>0</v>
      </c>
      <c r="L14" s="676">
        <v>1009.4105283271233</v>
      </c>
      <c r="M14" s="676">
        <v>0</v>
      </c>
      <c r="N14" s="676">
        <v>0</v>
      </c>
      <c r="O14" s="676">
        <v>0</v>
      </c>
      <c r="P14" s="676">
        <v>0</v>
      </c>
      <c r="Q14" s="676">
        <v>0</v>
      </c>
      <c r="R14" s="676">
        <v>0</v>
      </c>
      <c r="S14" s="676">
        <v>0</v>
      </c>
      <c r="T14" s="676">
        <v>0</v>
      </c>
      <c r="U14" s="676">
        <v>0</v>
      </c>
      <c r="V14" s="676">
        <v>0</v>
      </c>
      <c r="W14" s="674">
        <v>90476.927486385786</v>
      </c>
      <c r="X14" s="676">
        <v>73951.132129550009</v>
      </c>
      <c r="Y14" s="676"/>
      <c r="Z14" s="676"/>
      <c r="AA14" s="676"/>
      <c r="AB14" s="676"/>
      <c r="AC14" s="676"/>
      <c r="AD14" s="676">
        <v>386.47654533295116</v>
      </c>
      <c r="AE14" s="676">
        <v>5565.9692366485142</v>
      </c>
      <c r="AF14" s="676">
        <v>3007.0698385401738</v>
      </c>
      <c r="AG14" s="676"/>
      <c r="AH14" s="676"/>
      <c r="AI14" s="676">
        <v>131.46078150377375</v>
      </c>
      <c r="AJ14" s="676">
        <v>107.05073086844368</v>
      </c>
      <c r="AK14" s="676">
        <v>2427.3430782459154</v>
      </c>
      <c r="AL14" s="676">
        <v>3062.6731632750548</v>
      </c>
      <c r="AM14" s="676">
        <v>1790.3888411197095</v>
      </c>
      <c r="AN14" s="676"/>
      <c r="AO14" s="676">
        <v>1.0031527658354829</v>
      </c>
      <c r="AP14" s="676"/>
      <c r="AQ14" s="676">
        <v>23.4068978694946</v>
      </c>
      <c r="AR14" s="676"/>
      <c r="AS14" s="676">
        <v>22.929206076239609</v>
      </c>
      <c r="AT14" s="674">
        <v>84869.255756186103</v>
      </c>
      <c r="AU14" s="676">
        <v>84869.255756186103</v>
      </c>
      <c r="AV14" s="676"/>
      <c r="AW14" s="676"/>
      <c r="AX14" s="676"/>
      <c r="AY14" s="676"/>
      <c r="AZ14" s="674">
        <v>90.355402694181706</v>
      </c>
      <c r="BA14" s="676"/>
      <c r="BB14" s="676"/>
      <c r="BC14" s="676"/>
      <c r="BD14" s="676">
        <v>0</v>
      </c>
      <c r="BE14" s="676"/>
      <c r="BF14" s="676">
        <v>10.150950606668577</v>
      </c>
      <c r="BG14" s="676">
        <v>0</v>
      </c>
      <c r="BH14" s="676">
        <v>0</v>
      </c>
      <c r="BI14" s="676">
        <v>0</v>
      </c>
      <c r="BJ14" s="676">
        <v>0</v>
      </c>
      <c r="BK14" s="676">
        <v>80.204452087513133</v>
      </c>
      <c r="BL14" s="676">
        <v>0</v>
      </c>
      <c r="BM14" s="676">
        <v>0</v>
      </c>
      <c r="BN14" s="676">
        <v>0</v>
      </c>
      <c r="BO14" s="674">
        <v>0</v>
      </c>
      <c r="BP14" s="676">
        <v>0</v>
      </c>
      <c r="BQ14" s="676">
        <v>0</v>
      </c>
      <c r="BR14" s="675"/>
      <c r="BS14" s="675">
        <v>0</v>
      </c>
      <c r="BT14" s="674">
        <v>1232.0626731632749</v>
      </c>
    </row>
    <row r="15" spans="1:73">
      <c r="A15" s="680" t="s">
        <v>1081</v>
      </c>
      <c r="B15" s="679" t="s">
        <v>1272</v>
      </c>
      <c r="C15" s="679"/>
      <c r="D15" s="679"/>
      <c r="E15" s="679"/>
      <c r="F15" s="678" t="s">
        <v>1271</v>
      </c>
      <c r="G15" s="678"/>
      <c r="H15" s="677">
        <v>376.94659405751406</v>
      </c>
      <c r="I15" s="674">
        <v>0</v>
      </c>
      <c r="J15" s="676">
        <v>0</v>
      </c>
      <c r="K15" s="676">
        <v>0</v>
      </c>
      <c r="L15" s="676">
        <v>0</v>
      </c>
      <c r="M15" s="676">
        <v>0</v>
      </c>
      <c r="N15" s="676">
        <v>0</v>
      </c>
      <c r="O15" s="676">
        <v>0</v>
      </c>
      <c r="P15" s="676">
        <v>0</v>
      </c>
      <c r="Q15" s="676">
        <v>0</v>
      </c>
      <c r="R15" s="676">
        <v>0</v>
      </c>
      <c r="S15" s="676">
        <v>0</v>
      </c>
      <c r="T15" s="676">
        <v>0</v>
      </c>
      <c r="U15" s="676">
        <v>0</v>
      </c>
      <c r="V15" s="676">
        <v>0</v>
      </c>
      <c r="W15" s="674">
        <v>376.94659405751406</v>
      </c>
      <c r="X15" s="676"/>
      <c r="Y15" s="676"/>
      <c r="Z15" s="676"/>
      <c r="AA15" s="676"/>
      <c r="AB15" s="676"/>
      <c r="AC15" s="676"/>
      <c r="AD15" s="676"/>
      <c r="AE15" s="676"/>
      <c r="AF15" s="676"/>
      <c r="AG15" s="676"/>
      <c r="AH15" s="676"/>
      <c r="AI15" s="676"/>
      <c r="AJ15" s="676"/>
      <c r="AK15" s="676"/>
      <c r="AL15" s="676">
        <v>191.60217827457723</v>
      </c>
      <c r="AM15" s="676">
        <v>185.34441578293684</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c r="A17" s="709" t="s">
        <v>1268</v>
      </c>
      <c r="B17" s="709"/>
      <c r="C17" s="709"/>
      <c r="D17" s="709"/>
      <c r="E17" s="709"/>
      <c r="F17" s="708" t="s">
        <v>1267</v>
      </c>
      <c r="G17" s="708"/>
      <c r="H17" s="707">
        <v>28427.534154963218</v>
      </c>
      <c r="I17" s="704">
        <v>844.8218209611158</v>
      </c>
      <c r="J17" s="706">
        <v>0</v>
      </c>
      <c r="K17" s="706">
        <v>0</v>
      </c>
      <c r="L17" s="706">
        <v>522.16489920703157</v>
      </c>
      <c r="M17" s="706">
        <v>0</v>
      </c>
      <c r="N17" s="706">
        <v>0</v>
      </c>
      <c r="O17" s="706">
        <v>0</v>
      </c>
      <c r="P17" s="706">
        <v>322.65692175408424</v>
      </c>
      <c r="Q17" s="706">
        <v>0</v>
      </c>
      <c r="R17" s="706">
        <v>0</v>
      </c>
      <c r="S17" s="706">
        <v>0</v>
      </c>
      <c r="T17" s="706">
        <v>0</v>
      </c>
      <c r="U17" s="706">
        <v>0</v>
      </c>
      <c r="V17" s="706">
        <v>0</v>
      </c>
      <c r="W17" s="704">
        <v>10836.486099168817</v>
      </c>
      <c r="X17" s="706">
        <v>14730.701251552498</v>
      </c>
      <c r="Y17" s="706">
        <v>8867.1539122957856</v>
      </c>
      <c r="Z17" s="706"/>
      <c r="AA17" s="706">
        <v>124.82086557752937</v>
      </c>
      <c r="AB17" s="706"/>
      <c r="AC17" s="706"/>
      <c r="AD17" s="706">
        <v>-313.79573898920415</v>
      </c>
      <c r="AE17" s="706">
        <v>-5360.0601891659499</v>
      </c>
      <c r="AF17" s="706">
        <v>-2888.0290436610298</v>
      </c>
      <c r="AG17" s="706">
        <v>37.737651667144355</v>
      </c>
      <c r="AH17" s="706"/>
      <c r="AI17" s="706">
        <v>94.487436705837382</v>
      </c>
      <c r="AJ17" s="706">
        <v>119.42294831374797</v>
      </c>
      <c r="AK17" s="706">
        <v>-2357.098500047769</v>
      </c>
      <c r="AL17" s="706">
        <v>-2262.4199866246295</v>
      </c>
      <c r="AM17" s="706">
        <v>-605.71319384732965</v>
      </c>
      <c r="AN17" s="706">
        <v>13.542562338779019</v>
      </c>
      <c r="AO17" s="706">
        <v>46.145027228432212</v>
      </c>
      <c r="AP17" s="706">
        <v>353.03811980510176</v>
      </c>
      <c r="AQ17" s="706">
        <v>243.26454571510459</v>
      </c>
      <c r="AR17" s="706"/>
      <c r="AS17" s="706">
        <v>-6.6876851055698863</v>
      </c>
      <c r="AT17" s="704">
        <v>4838.3729817521735</v>
      </c>
      <c r="AU17" s="706">
        <v>4838.3729817521735</v>
      </c>
      <c r="AV17" s="706">
        <v>0</v>
      </c>
      <c r="AW17" s="706">
        <v>0</v>
      </c>
      <c r="AX17" s="706">
        <v>0</v>
      </c>
      <c r="AY17" s="706">
        <v>0</v>
      </c>
      <c r="AZ17" s="704">
        <v>11998.304194133943</v>
      </c>
      <c r="BA17" s="706">
        <v>10343.078245915734</v>
      </c>
      <c r="BB17" s="706">
        <v>110.32291965224037</v>
      </c>
      <c r="BC17" s="706">
        <v>0</v>
      </c>
      <c r="BD17" s="706">
        <v>0</v>
      </c>
      <c r="BE17" s="706">
        <v>0</v>
      </c>
      <c r="BF17" s="706">
        <v>1228.9815610967803</v>
      </c>
      <c r="BG17" s="706">
        <v>0</v>
      </c>
      <c r="BH17" s="706">
        <v>29.497468233495749</v>
      </c>
      <c r="BI17" s="706">
        <v>171.10920034393808</v>
      </c>
      <c r="BJ17" s="706">
        <v>8.0013375370211133</v>
      </c>
      <c r="BK17" s="706">
        <v>105.35492500238846</v>
      </c>
      <c r="BL17" s="706">
        <v>0</v>
      </c>
      <c r="BM17" s="706">
        <v>1.9824209420082162</v>
      </c>
      <c r="BN17" s="706">
        <v>0</v>
      </c>
      <c r="BO17" s="704">
        <v>173.85592815515429</v>
      </c>
      <c r="BP17" s="706">
        <v>2.746727811216203</v>
      </c>
      <c r="BQ17" s="706">
        <v>171.10920034393808</v>
      </c>
      <c r="BR17" s="705">
        <v>0</v>
      </c>
      <c r="BS17" s="705">
        <v>0</v>
      </c>
      <c r="BT17" s="704">
        <v>-264.30686920798701</v>
      </c>
    </row>
    <row r="18" spans="1:72">
      <c r="A18" s="709" t="s">
        <v>1266</v>
      </c>
      <c r="B18" s="709"/>
      <c r="C18" s="709"/>
      <c r="D18" s="709"/>
      <c r="E18" s="709"/>
      <c r="F18" s="708" t="s">
        <v>1265</v>
      </c>
      <c r="G18" s="708"/>
      <c r="H18" s="707">
        <v>17501.409190790102</v>
      </c>
      <c r="I18" s="704">
        <v>77.887646890226421</v>
      </c>
      <c r="J18" s="706">
        <v>0</v>
      </c>
      <c r="K18" s="706">
        <v>0</v>
      </c>
      <c r="L18" s="706">
        <v>16.766981943250215</v>
      </c>
      <c r="M18" s="706">
        <v>0</v>
      </c>
      <c r="N18" s="706">
        <v>0</v>
      </c>
      <c r="O18" s="706">
        <v>0</v>
      </c>
      <c r="P18" s="706">
        <v>61.120664946976206</v>
      </c>
      <c r="Q18" s="706">
        <v>0</v>
      </c>
      <c r="R18" s="706">
        <v>0</v>
      </c>
      <c r="S18" s="706">
        <v>0</v>
      </c>
      <c r="T18" s="706">
        <v>0</v>
      </c>
      <c r="U18" s="706">
        <v>0</v>
      </c>
      <c r="V18" s="706">
        <v>0</v>
      </c>
      <c r="W18" s="704">
        <v>16283.36677175886</v>
      </c>
      <c r="X18" s="706">
        <v>14754.299226139294</v>
      </c>
      <c r="Y18" s="706"/>
      <c r="Z18" s="706">
        <v>1292.2040699340785</v>
      </c>
      <c r="AA18" s="706">
        <v>124.82086557752937</v>
      </c>
      <c r="AB18" s="706"/>
      <c r="AC18" s="706">
        <v>68.477118563103076</v>
      </c>
      <c r="AD18" s="706"/>
      <c r="AE18" s="706">
        <v>7.7147224610681189</v>
      </c>
      <c r="AF18" s="706"/>
      <c r="AG18" s="706"/>
      <c r="AH18" s="706"/>
      <c r="AI18" s="706"/>
      <c r="AJ18" s="706"/>
      <c r="AK18" s="706"/>
      <c r="AL18" s="706">
        <v>35.874653673449892</v>
      </c>
      <c r="AM18" s="706">
        <v>0</v>
      </c>
      <c r="AN18" s="706"/>
      <c r="AO18" s="706"/>
      <c r="AP18" s="706"/>
      <c r="AQ18" s="706"/>
      <c r="AR18" s="706"/>
      <c r="AS18" s="706"/>
      <c r="AT18" s="704">
        <v>616.84341263017097</v>
      </c>
      <c r="AU18" s="706">
        <v>603.70688831565872</v>
      </c>
      <c r="AV18" s="706">
        <v>0</v>
      </c>
      <c r="AW18" s="706">
        <v>13.136524314512275</v>
      </c>
      <c r="AX18" s="706">
        <v>0</v>
      </c>
      <c r="AY18" s="706">
        <v>0</v>
      </c>
      <c r="AZ18" s="704">
        <v>290.55603324734881</v>
      </c>
      <c r="BA18" s="706"/>
      <c r="BB18" s="706"/>
      <c r="BC18" s="706"/>
      <c r="BD18" s="706">
        <v>0</v>
      </c>
      <c r="BE18" s="706"/>
      <c r="BF18" s="706">
        <v>137.24085220215915</v>
      </c>
      <c r="BG18" s="706">
        <v>0</v>
      </c>
      <c r="BH18" s="706">
        <v>3.9170727046909333</v>
      </c>
      <c r="BI18" s="706">
        <v>149.39810834049871</v>
      </c>
      <c r="BJ18" s="706">
        <v>0</v>
      </c>
      <c r="BK18" s="706">
        <v>0</v>
      </c>
      <c r="BL18" s="706">
        <v>0</v>
      </c>
      <c r="BM18" s="706">
        <v>0</v>
      </c>
      <c r="BN18" s="706">
        <v>0</v>
      </c>
      <c r="BO18" s="704">
        <v>152.14483615171491</v>
      </c>
      <c r="BP18" s="706">
        <v>2.746727811216203</v>
      </c>
      <c r="BQ18" s="706">
        <v>149.39810834049871</v>
      </c>
      <c r="BR18" s="705">
        <v>0</v>
      </c>
      <c r="BS18" s="705">
        <v>20.397439571988151</v>
      </c>
      <c r="BT18" s="704">
        <v>60.189165950128974</v>
      </c>
    </row>
    <row r="19" spans="1:72">
      <c r="A19" s="688" t="s">
        <v>968</v>
      </c>
      <c r="B19" s="687" t="s">
        <v>1222</v>
      </c>
      <c r="C19" s="687"/>
      <c r="D19" s="687"/>
      <c r="E19" s="687"/>
      <c r="F19" s="686" t="s">
        <v>1264</v>
      </c>
      <c r="G19" s="686"/>
      <c r="H19" s="685">
        <v>888.8888888888888</v>
      </c>
      <c r="I19" s="682">
        <v>16.766981943250215</v>
      </c>
      <c r="J19" s="684">
        <v>0</v>
      </c>
      <c r="K19" s="684">
        <v>0</v>
      </c>
      <c r="L19" s="684">
        <v>16.766981943250215</v>
      </c>
      <c r="M19" s="684">
        <v>0</v>
      </c>
      <c r="N19" s="684">
        <v>0</v>
      </c>
      <c r="O19" s="684">
        <v>0</v>
      </c>
      <c r="P19" s="684">
        <v>0</v>
      </c>
      <c r="Q19" s="684">
        <v>0</v>
      </c>
      <c r="R19" s="684">
        <v>0</v>
      </c>
      <c r="S19" s="684">
        <v>0</v>
      </c>
      <c r="T19" s="684">
        <v>0</v>
      </c>
      <c r="U19" s="684">
        <v>0</v>
      </c>
      <c r="V19" s="684">
        <v>0</v>
      </c>
      <c r="W19" s="682">
        <v>3.0811120664946974</v>
      </c>
      <c r="X19" s="684"/>
      <c r="Y19" s="684"/>
      <c r="Z19" s="684"/>
      <c r="AA19" s="684"/>
      <c r="AB19" s="684"/>
      <c r="AC19" s="684"/>
      <c r="AD19" s="684"/>
      <c r="AE19" s="684"/>
      <c r="AF19" s="684"/>
      <c r="AG19" s="684"/>
      <c r="AH19" s="684"/>
      <c r="AI19" s="684"/>
      <c r="AJ19" s="684"/>
      <c r="AK19" s="684"/>
      <c r="AL19" s="684">
        <v>3.0811120664946974</v>
      </c>
      <c r="AM19" s="684">
        <v>0</v>
      </c>
      <c r="AN19" s="684"/>
      <c r="AO19" s="684"/>
      <c r="AP19" s="684"/>
      <c r="AQ19" s="684"/>
      <c r="AR19" s="684"/>
      <c r="AS19" s="684"/>
      <c r="AT19" s="682">
        <v>600.41081494219929</v>
      </c>
      <c r="AU19" s="684">
        <v>587.91917454858128</v>
      </c>
      <c r="AV19" s="684">
        <v>0</v>
      </c>
      <c r="AW19" s="684">
        <v>12.491640393618036</v>
      </c>
      <c r="AX19" s="684">
        <v>0</v>
      </c>
      <c r="AY19" s="684">
        <v>0</v>
      </c>
      <c r="AZ19" s="682">
        <v>139.07996560619088</v>
      </c>
      <c r="BA19" s="684"/>
      <c r="BB19" s="684"/>
      <c r="BC19" s="684"/>
      <c r="BD19" s="684">
        <v>0</v>
      </c>
      <c r="BE19" s="684"/>
      <c r="BF19" s="684">
        <v>30.715582306295975</v>
      </c>
      <c r="BG19" s="684"/>
      <c r="BH19" s="684">
        <v>1.9585363523454666</v>
      </c>
      <c r="BI19" s="684">
        <v>106.40584694754943</v>
      </c>
      <c r="BJ19" s="684">
        <v>0</v>
      </c>
      <c r="BK19" s="684">
        <v>0</v>
      </c>
      <c r="BL19" s="684">
        <v>0</v>
      </c>
      <c r="BM19" s="684">
        <v>0</v>
      </c>
      <c r="BN19" s="684">
        <v>0</v>
      </c>
      <c r="BO19" s="682">
        <v>109.15257475876564</v>
      </c>
      <c r="BP19" s="684">
        <v>2.746727811216203</v>
      </c>
      <c r="BQ19" s="684">
        <v>106.40584694754943</v>
      </c>
      <c r="BR19" s="683"/>
      <c r="BS19" s="683">
        <v>20.397439571988151</v>
      </c>
      <c r="BT19" s="682"/>
    </row>
    <row r="20" spans="1:72">
      <c r="A20" s="681"/>
      <c r="B20" s="680" t="s">
        <v>968</v>
      </c>
      <c r="C20" s="679" t="s">
        <v>1220</v>
      </c>
      <c r="D20" s="679"/>
      <c r="E20" s="679"/>
      <c r="F20" s="678" t="s">
        <v>1263</v>
      </c>
      <c r="G20" s="678"/>
      <c r="H20" s="677">
        <v>244.05273717397534</v>
      </c>
      <c r="I20" s="674">
        <v>16.766981943250215</v>
      </c>
      <c r="J20" s="676">
        <v>0</v>
      </c>
      <c r="K20" s="676">
        <v>0</v>
      </c>
      <c r="L20" s="676">
        <v>16.766981943250215</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12.491640393618036</v>
      </c>
      <c r="AU20" s="676">
        <v>0</v>
      </c>
      <c r="AV20" s="676">
        <v>0</v>
      </c>
      <c r="AW20" s="676">
        <v>12.491640393618036</v>
      </c>
      <c r="AX20" s="676">
        <v>0</v>
      </c>
      <c r="AY20" s="676">
        <v>0</v>
      </c>
      <c r="AZ20" s="674">
        <v>108.3643832998949</v>
      </c>
      <c r="BA20" s="676"/>
      <c r="BB20" s="676"/>
      <c r="BC20" s="676"/>
      <c r="BD20" s="676">
        <v>0</v>
      </c>
      <c r="BE20" s="676"/>
      <c r="BF20" s="676">
        <v>0</v>
      </c>
      <c r="BG20" s="676"/>
      <c r="BH20" s="676">
        <v>1.9585363523454666</v>
      </c>
      <c r="BI20" s="676">
        <v>106.40584694754943</v>
      </c>
      <c r="BJ20" s="676">
        <v>0</v>
      </c>
      <c r="BK20" s="676">
        <v>0</v>
      </c>
      <c r="BL20" s="676">
        <v>0</v>
      </c>
      <c r="BM20" s="676">
        <v>0</v>
      </c>
      <c r="BN20" s="676">
        <v>0</v>
      </c>
      <c r="BO20" s="674">
        <v>106.40584694754943</v>
      </c>
      <c r="BP20" s="676">
        <v>0</v>
      </c>
      <c r="BQ20" s="676">
        <v>106.40584694754943</v>
      </c>
      <c r="BR20" s="675"/>
      <c r="BS20" s="675"/>
      <c r="BT20" s="674"/>
    </row>
    <row r="21" spans="1:72">
      <c r="A21" s="681"/>
      <c r="B21" s="680"/>
      <c r="C21" s="680" t="s">
        <v>968</v>
      </c>
      <c r="D21" s="679" t="s">
        <v>1262</v>
      </c>
      <c r="E21" s="679"/>
      <c r="F21" s="678" t="s">
        <v>1261</v>
      </c>
      <c r="G21" s="678"/>
      <c r="H21" s="677">
        <v>14.139677080347759</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12.491640393618036</v>
      </c>
      <c r="AU21" s="676">
        <v>0</v>
      </c>
      <c r="AV21" s="676">
        <v>0</v>
      </c>
      <c r="AW21" s="676">
        <v>12.491640393618036</v>
      </c>
      <c r="AX21" s="676">
        <v>0</v>
      </c>
      <c r="AY21" s="676">
        <v>0</v>
      </c>
      <c r="AZ21" s="674">
        <v>1.6480366867297218</v>
      </c>
      <c r="BA21" s="676"/>
      <c r="BB21" s="676"/>
      <c r="BC21" s="676"/>
      <c r="BD21" s="676">
        <v>0</v>
      </c>
      <c r="BE21" s="676"/>
      <c r="BF21" s="676">
        <v>0</v>
      </c>
      <c r="BG21" s="676"/>
      <c r="BH21" s="676">
        <v>1.6480366867297218</v>
      </c>
      <c r="BI21" s="676">
        <v>0</v>
      </c>
      <c r="BJ21" s="676">
        <v>0</v>
      </c>
      <c r="BK21" s="676">
        <v>0</v>
      </c>
      <c r="BL21" s="676">
        <v>0</v>
      </c>
      <c r="BM21" s="676">
        <v>0</v>
      </c>
      <c r="BN21" s="676">
        <v>0</v>
      </c>
      <c r="BO21" s="674">
        <v>0</v>
      </c>
      <c r="BP21" s="676">
        <v>0</v>
      </c>
      <c r="BQ21" s="676">
        <v>0</v>
      </c>
      <c r="BR21" s="675"/>
      <c r="BS21" s="675"/>
      <c r="BT21" s="674"/>
    </row>
    <row r="22" spans="1:72">
      <c r="A22" s="681"/>
      <c r="B22" s="680"/>
      <c r="C22" s="680" t="s">
        <v>968</v>
      </c>
      <c r="D22" s="679" t="s">
        <v>1260</v>
      </c>
      <c r="E22" s="679"/>
      <c r="F22" s="678" t="s">
        <v>1259</v>
      </c>
      <c r="G22" s="678"/>
      <c r="H22" s="677">
        <v>229.91306009362759</v>
      </c>
      <c r="I22" s="674">
        <v>16.766981943250215</v>
      </c>
      <c r="J22" s="676">
        <v>0</v>
      </c>
      <c r="K22" s="676">
        <v>0</v>
      </c>
      <c r="L22" s="676">
        <v>16.766981943250215</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106.71634661316519</v>
      </c>
      <c r="BA22" s="676"/>
      <c r="BB22" s="676"/>
      <c r="BC22" s="676"/>
      <c r="BD22" s="676">
        <v>0</v>
      </c>
      <c r="BE22" s="676"/>
      <c r="BF22" s="676">
        <v>0</v>
      </c>
      <c r="BG22" s="676"/>
      <c r="BH22" s="676">
        <v>0.31049966561574471</v>
      </c>
      <c r="BI22" s="676">
        <v>106.40584694754943</v>
      </c>
      <c r="BJ22" s="676">
        <v>0</v>
      </c>
      <c r="BK22" s="676">
        <v>0</v>
      </c>
      <c r="BL22" s="676">
        <v>0</v>
      </c>
      <c r="BM22" s="676">
        <v>0</v>
      </c>
      <c r="BN22" s="676">
        <v>0</v>
      </c>
      <c r="BO22" s="674">
        <v>106.40584694754943</v>
      </c>
      <c r="BP22" s="676">
        <v>0</v>
      </c>
      <c r="BQ22" s="676">
        <v>106.40584694754943</v>
      </c>
      <c r="BR22" s="675"/>
      <c r="BS22" s="675"/>
      <c r="BT22" s="674"/>
    </row>
    <row r="23" spans="1:72">
      <c r="A23" s="681"/>
      <c r="B23" s="680" t="s">
        <v>968</v>
      </c>
      <c r="C23" s="679" t="s">
        <v>1190</v>
      </c>
      <c r="D23" s="679"/>
      <c r="E23" s="679"/>
      <c r="F23" s="678" t="s">
        <v>1258</v>
      </c>
      <c r="G23" s="678"/>
      <c r="H23" s="677">
        <v>624.46259673258805</v>
      </c>
      <c r="I23" s="674">
        <v>0</v>
      </c>
      <c r="J23" s="676">
        <v>0</v>
      </c>
      <c r="K23" s="676">
        <v>0</v>
      </c>
      <c r="L23" s="676">
        <v>0</v>
      </c>
      <c r="M23" s="676">
        <v>0</v>
      </c>
      <c r="N23" s="676">
        <v>0</v>
      </c>
      <c r="O23" s="676">
        <v>0</v>
      </c>
      <c r="P23" s="676">
        <v>0</v>
      </c>
      <c r="Q23" s="676">
        <v>0</v>
      </c>
      <c r="R23" s="676">
        <v>0</v>
      </c>
      <c r="S23" s="676">
        <v>0</v>
      </c>
      <c r="T23" s="676">
        <v>0</v>
      </c>
      <c r="U23" s="676">
        <v>0</v>
      </c>
      <c r="V23" s="676">
        <v>0</v>
      </c>
      <c r="W23" s="674">
        <v>3.0811120664946974</v>
      </c>
      <c r="X23" s="676"/>
      <c r="Y23" s="676"/>
      <c r="Z23" s="676"/>
      <c r="AA23" s="676"/>
      <c r="AB23" s="676"/>
      <c r="AC23" s="676"/>
      <c r="AD23" s="676"/>
      <c r="AE23" s="676"/>
      <c r="AF23" s="676"/>
      <c r="AG23" s="676"/>
      <c r="AH23" s="676"/>
      <c r="AI23" s="676"/>
      <c r="AJ23" s="676"/>
      <c r="AK23" s="676"/>
      <c r="AL23" s="676">
        <v>3.0811120664946974</v>
      </c>
      <c r="AM23" s="676">
        <v>0</v>
      </c>
      <c r="AN23" s="676"/>
      <c r="AO23" s="676"/>
      <c r="AP23" s="676"/>
      <c r="AQ23" s="676"/>
      <c r="AR23" s="676"/>
      <c r="AS23" s="676"/>
      <c r="AT23" s="674">
        <v>587.91917454858128</v>
      </c>
      <c r="AU23" s="676">
        <v>587.91917454858128</v>
      </c>
      <c r="AV23" s="676">
        <v>0</v>
      </c>
      <c r="AW23" s="676">
        <v>0</v>
      </c>
      <c r="AX23" s="676">
        <v>0</v>
      </c>
      <c r="AY23" s="676">
        <v>0</v>
      </c>
      <c r="AZ23" s="674">
        <v>30.715582306295975</v>
      </c>
      <c r="BA23" s="676"/>
      <c r="BB23" s="676"/>
      <c r="BC23" s="676"/>
      <c r="BD23" s="676">
        <v>0</v>
      </c>
      <c r="BE23" s="676"/>
      <c r="BF23" s="676">
        <v>30.715582306295975</v>
      </c>
      <c r="BG23" s="676"/>
      <c r="BH23" s="676">
        <v>0</v>
      </c>
      <c r="BI23" s="676">
        <v>0</v>
      </c>
      <c r="BJ23" s="676">
        <v>0</v>
      </c>
      <c r="BK23" s="676">
        <v>0</v>
      </c>
      <c r="BL23" s="676">
        <v>0</v>
      </c>
      <c r="BM23" s="676">
        <v>0</v>
      </c>
      <c r="BN23" s="676">
        <v>0</v>
      </c>
      <c r="BO23" s="674">
        <v>2.746727811216203</v>
      </c>
      <c r="BP23" s="676">
        <v>2.746727811216203</v>
      </c>
      <c r="BQ23" s="676">
        <v>0</v>
      </c>
      <c r="BR23" s="675"/>
      <c r="BS23" s="675"/>
      <c r="BT23" s="674"/>
    </row>
    <row r="24" spans="1:72">
      <c r="A24" s="681"/>
      <c r="B24" s="680"/>
      <c r="C24" s="680" t="s">
        <v>968</v>
      </c>
      <c r="D24" s="679" t="s">
        <v>1257</v>
      </c>
      <c r="E24" s="679"/>
      <c r="F24" s="678" t="s">
        <v>1256</v>
      </c>
      <c r="G24" s="678"/>
      <c r="H24" s="677">
        <v>624.46259673258805</v>
      </c>
      <c r="I24" s="674">
        <v>0</v>
      </c>
      <c r="J24" s="676">
        <v>0</v>
      </c>
      <c r="K24" s="676">
        <v>0</v>
      </c>
      <c r="L24" s="676">
        <v>0</v>
      </c>
      <c r="M24" s="676">
        <v>0</v>
      </c>
      <c r="N24" s="676">
        <v>0</v>
      </c>
      <c r="O24" s="676">
        <v>0</v>
      </c>
      <c r="P24" s="676">
        <v>0</v>
      </c>
      <c r="Q24" s="676">
        <v>0</v>
      </c>
      <c r="R24" s="676">
        <v>0</v>
      </c>
      <c r="S24" s="676">
        <v>0</v>
      </c>
      <c r="T24" s="676">
        <v>0</v>
      </c>
      <c r="U24" s="676">
        <v>0</v>
      </c>
      <c r="V24" s="676">
        <v>0</v>
      </c>
      <c r="W24" s="674">
        <v>3.0811120664946974</v>
      </c>
      <c r="X24" s="676"/>
      <c r="Y24" s="676"/>
      <c r="Z24" s="676"/>
      <c r="AA24" s="676"/>
      <c r="AB24" s="676"/>
      <c r="AC24" s="676"/>
      <c r="AD24" s="676"/>
      <c r="AE24" s="676"/>
      <c r="AF24" s="676"/>
      <c r="AG24" s="676"/>
      <c r="AH24" s="676"/>
      <c r="AI24" s="676"/>
      <c r="AJ24" s="676"/>
      <c r="AK24" s="676"/>
      <c r="AL24" s="676">
        <v>3.0811120664946974</v>
      </c>
      <c r="AM24" s="676">
        <v>0</v>
      </c>
      <c r="AN24" s="676"/>
      <c r="AO24" s="676"/>
      <c r="AP24" s="676"/>
      <c r="AQ24" s="676"/>
      <c r="AR24" s="676"/>
      <c r="AS24" s="676"/>
      <c r="AT24" s="674">
        <v>587.91917454858128</v>
      </c>
      <c r="AU24" s="676">
        <v>587.91917454858128</v>
      </c>
      <c r="AV24" s="676">
        <v>0</v>
      </c>
      <c r="AW24" s="676">
        <v>0</v>
      </c>
      <c r="AX24" s="676">
        <v>0</v>
      </c>
      <c r="AY24" s="676">
        <v>0</v>
      </c>
      <c r="AZ24" s="674">
        <v>30.715582306295975</v>
      </c>
      <c r="BA24" s="676"/>
      <c r="BB24" s="676"/>
      <c r="BC24" s="676"/>
      <c r="BD24" s="676">
        <v>0</v>
      </c>
      <c r="BE24" s="676"/>
      <c r="BF24" s="676">
        <v>30.715582306295975</v>
      </c>
      <c r="BG24" s="676"/>
      <c r="BH24" s="676">
        <v>0</v>
      </c>
      <c r="BI24" s="676">
        <v>0</v>
      </c>
      <c r="BJ24" s="676">
        <v>0</v>
      </c>
      <c r="BK24" s="676">
        <v>0</v>
      </c>
      <c r="BL24" s="676">
        <v>0</v>
      </c>
      <c r="BM24" s="676">
        <v>0</v>
      </c>
      <c r="BN24" s="676">
        <v>0</v>
      </c>
      <c r="BO24" s="674">
        <v>2.746727811216203</v>
      </c>
      <c r="BP24" s="676">
        <v>2.746727811216203</v>
      </c>
      <c r="BQ24" s="676">
        <v>0</v>
      </c>
      <c r="BR24" s="675"/>
      <c r="BS24" s="675"/>
      <c r="BT24" s="674"/>
    </row>
    <row r="25" spans="1:72">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c r="A26" s="681"/>
      <c r="B26" s="680" t="s">
        <v>968</v>
      </c>
      <c r="C26" s="679" t="s">
        <v>1253</v>
      </c>
      <c r="D26" s="679"/>
      <c r="E26" s="679"/>
      <c r="F26" s="678" t="s">
        <v>1252</v>
      </c>
      <c r="G26" s="678"/>
      <c r="H26" s="677">
        <v>20.397439571988151</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20.397439571988151</v>
      </c>
      <c r="BT26" s="674"/>
    </row>
    <row r="27" spans="1:72">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c r="A29" s="680" t="s">
        <v>968</v>
      </c>
      <c r="B29" s="679" t="s">
        <v>1138</v>
      </c>
      <c r="C29" s="679"/>
      <c r="D29" s="679"/>
      <c r="E29" s="679"/>
      <c r="F29" s="678" t="s">
        <v>1248</v>
      </c>
      <c r="G29" s="678"/>
      <c r="H29" s="677">
        <v>61.120664946976206</v>
      </c>
      <c r="I29" s="674">
        <v>61.120664946976206</v>
      </c>
      <c r="J29" s="676"/>
      <c r="K29" s="676"/>
      <c r="L29" s="676"/>
      <c r="M29" s="676"/>
      <c r="N29" s="676"/>
      <c r="O29" s="676"/>
      <c r="P29" s="676">
        <v>61.120664946976206</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c r="A31" s="680" t="s">
        <v>968</v>
      </c>
      <c r="B31" s="679" t="s">
        <v>287</v>
      </c>
      <c r="C31" s="679"/>
      <c r="D31" s="679"/>
      <c r="E31" s="679"/>
      <c r="F31" s="678" t="s">
        <v>1246</v>
      </c>
      <c r="G31" s="678"/>
      <c r="H31" s="677">
        <v>16171.300277061238</v>
      </c>
      <c r="I31" s="674"/>
      <c r="J31" s="676"/>
      <c r="K31" s="676"/>
      <c r="L31" s="676"/>
      <c r="M31" s="676"/>
      <c r="N31" s="676"/>
      <c r="O31" s="676"/>
      <c r="P31" s="676"/>
      <c r="Q31" s="676"/>
      <c r="R31" s="676"/>
      <c r="S31" s="676"/>
      <c r="T31" s="676"/>
      <c r="U31" s="676"/>
      <c r="V31" s="676"/>
      <c r="W31" s="674">
        <v>16171.300277061238</v>
      </c>
      <c r="X31" s="676">
        <v>14754.299226139294</v>
      </c>
      <c r="Y31" s="676"/>
      <c r="Z31" s="676">
        <v>1292.2040699340785</v>
      </c>
      <c r="AA31" s="676">
        <v>124.82086557752937</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c r="A32" s="680" t="s">
        <v>968</v>
      </c>
      <c r="B32" s="679" t="s">
        <v>1245</v>
      </c>
      <c r="C32" s="679"/>
      <c r="D32" s="679"/>
      <c r="E32" s="679"/>
      <c r="F32" s="678" t="s">
        <v>1244</v>
      </c>
      <c r="G32" s="678"/>
      <c r="H32" s="677">
        <v>380.07547530333426</v>
      </c>
      <c r="I32" s="674">
        <v>0</v>
      </c>
      <c r="J32" s="676">
        <v>0</v>
      </c>
      <c r="K32" s="676">
        <v>0</v>
      </c>
      <c r="L32" s="676">
        <v>0</v>
      </c>
      <c r="M32" s="676">
        <v>0</v>
      </c>
      <c r="N32" s="676">
        <v>0</v>
      </c>
      <c r="O32" s="676">
        <v>0</v>
      </c>
      <c r="P32" s="676">
        <v>0</v>
      </c>
      <c r="Q32" s="676">
        <v>0</v>
      </c>
      <c r="R32" s="676">
        <v>0</v>
      </c>
      <c r="S32" s="676">
        <v>0</v>
      </c>
      <c r="T32" s="676">
        <v>0</v>
      </c>
      <c r="U32" s="676">
        <v>0</v>
      </c>
      <c r="V32" s="676">
        <v>0</v>
      </c>
      <c r="W32" s="674">
        <v>108.9853826311264</v>
      </c>
      <c r="X32" s="676"/>
      <c r="Y32" s="676"/>
      <c r="Z32" s="676"/>
      <c r="AA32" s="676"/>
      <c r="AB32" s="676"/>
      <c r="AC32" s="676">
        <v>68.477118563103076</v>
      </c>
      <c r="AD32" s="676"/>
      <c r="AE32" s="676">
        <v>7.7147224610681189</v>
      </c>
      <c r="AF32" s="676"/>
      <c r="AG32" s="676"/>
      <c r="AH32" s="676"/>
      <c r="AI32" s="676"/>
      <c r="AJ32" s="676"/>
      <c r="AK32" s="676"/>
      <c r="AL32" s="676">
        <v>32.793541606955188</v>
      </c>
      <c r="AM32" s="676">
        <v>0</v>
      </c>
      <c r="AN32" s="676"/>
      <c r="AO32" s="676"/>
      <c r="AP32" s="676"/>
      <c r="AQ32" s="676"/>
      <c r="AR32" s="676"/>
      <c r="AS32" s="676"/>
      <c r="AT32" s="674">
        <v>16.432597687971718</v>
      </c>
      <c r="AU32" s="676">
        <v>15.81159835674023</v>
      </c>
      <c r="AV32" s="676">
        <v>0</v>
      </c>
      <c r="AW32" s="676">
        <v>0.64488392089423896</v>
      </c>
      <c r="AX32" s="676">
        <v>0</v>
      </c>
      <c r="AY32" s="676">
        <v>0</v>
      </c>
      <c r="AZ32" s="674">
        <v>151.47606764115793</v>
      </c>
      <c r="BA32" s="676"/>
      <c r="BB32" s="676"/>
      <c r="BC32" s="676"/>
      <c r="BD32" s="676">
        <v>0</v>
      </c>
      <c r="BE32" s="676"/>
      <c r="BF32" s="676">
        <v>106.52526989586319</v>
      </c>
      <c r="BG32" s="676"/>
      <c r="BH32" s="676">
        <v>1.9585363523454666</v>
      </c>
      <c r="BI32" s="676">
        <v>42.992261392949267</v>
      </c>
      <c r="BJ32" s="676">
        <v>0</v>
      </c>
      <c r="BK32" s="676">
        <v>0</v>
      </c>
      <c r="BL32" s="676">
        <v>0</v>
      </c>
      <c r="BM32" s="676">
        <v>0</v>
      </c>
      <c r="BN32" s="676">
        <v>0</v>
      </c>
      <c r="BO32" s="674">
        <v>42.992261392949267</v>
      </c>
      <c r="BP32" s="676">
        <v>0</v>
      </c>
      <c r="BQ32" s="676">
        <v>42.992261392949267</v>
      </c>
      <c r="BR32" s="675"/>
      <c r="BS32" s="675"/>
      <c r="BT32" s="674">
        <v>60.189165950128974</v>
      </c>
    </row>
    <row r="33" spans="1:72">
      <c r="A33" s="681"/>
      <c r="B33" s="680" t="s">
        <v>968</v>
      </c>
      <c r="C33" s="679" t="s">
        <v>1243</v>
      </c>
      <c r="D33" s="679"/>
      <c r="E33" s="679"/>
      <c r="F33" s="678" t="s">
        <v>1242</v>
      </c>
      <c r="G33" s="678"/>
      <c r="H33" s="677">
        <v>319.88630935320532</v>
      </c>
      <c r="I33" s="674">
        <v>0</v>
      </c>
      <c r="J33" s="676">
        <v>0</v>
      </c>
      <c r="K33" s="676">
        <v>0</v>
      </c>
      <c r="L33" s="676">
        <v>0</v>
      </c>
      <c r="M33" s="676">
        <v>0</v>
      </c>
      <c r="N33" s="676">
        <v>0</v>
      </c>
      <c r="O33" s="676">
        <v>0</v>
      </c>
      <c r="P33" s="676">
        <v>0</v>
      </c>
      <c r="Q33" s="676">
        <v>0</v>
      </c>
      <c r="R33" s="676">
        <v>0</v>
      </c>
      <c r="S33" s="676">
        <v>0</v>
      </c>
      <c r="T33" s="676">
        <v>0</v>
      </c>
      <c r="U33" s="676">
        <v>0</v>
      </c>
      <c r="V33" s="676">
        <v>0</v>
      </c>
      <c r="W33" s="674">
        <v>108.9853826311264</v>
      </c>
      <c r="X33" s="676"/>
      <c r="Y33" s="676"/>
      <c r="Z33" s="676"/>
      <c r="AA33" s="676"/>
      <c r="AB33" s="676"/>
      <c r="AC33" s="676">
        <v>68.477118563103076</v>
      </c>
      <c r="AD33" s="676"/>
      <c r="AE33" s="676">
        <v>7.7147224610681189</v>
      </c>
      <c r="AF33" s="676"/>
      <c r="AG33" s="676"/>
      <c r="AH33" s="676"/>
      <c r="AI33" s="676"/>
      <c r="AJ33" s="676"/>
      <c r="AK33" s="676"/>
      <c r="AL33" s="676">
        <v>32.793541606955188</v>
      </c>
      <c r="AM33" s="676">
        <v>0</v>
      </c>
      <c r="AN33" s="676"/>
      <c r="AO33" s="676"/>
      <c r="AP33" s="676"/>
      <c r="AQ33" s="676"/>
      <c r="AR33" s="676"/>
      <c r="AS33" s="676"/>
      <c r="AT33" s="674">
        <v>16.432597687971718</v>
      </c>
      <c r="AU33" s="676">
        <v>15.81159835674023</v>
      </c>
      <c r="AV33" s="676">
        <v>0</v>
      </c>
      <c r="AW33" s="676">
        <v>0.64488392089423896</v>
      </c>
      <c r="AX33" s="676">
        <v>0</v>
      </c>
      <c r="AY33" s="676">
        <v>0</v>
      </c>
      <c r="AZ33" s="674">
        <v>151.47606764115793</v>
      </c>
      <c r="BA33" s="676"/>
      <c r="BB33" s="676"/>
      <c r="BC33" s="676"/>
      <c r="BD33" s="676">
        <v>0</v>
      </c>
      <c r="BE33" s="676"/>
      <c r="BF33" s="676">
        <v>106.52526989586319</v>
      </c>
      <c r="BG33" s="676"/>
      <c r="BH33" s="676">
        <v>1.9585363523454666</v>
      </c>
      <c r="BI33" s="676">
        <v>42.992261392949267</v>
      </c>
      <c r="BJ33" s="676">
        <v>0</v>
      </c>
      <c r="BK33" s="676">
        <v>0</v>
      </c>
      <c r="BL33" s="676">
        <v>0</v>
      </c>
      <c r="BM33" s="676">
        <v>0</v>
      </c>
      <c r="BN33" s="676">
        <v>0</v>
      </c>
      <c r="BO33" s="674">
        <v>42.992261392949267</v>
      </c>
      <c r="BP33" s="676">
        <v>0</v>
      </c>
      <c r="BQ33" s="676">
        <v>42.992261392949267</v>
      </c>
      <c r="BR33" s="675"/>
      <c r="BS33" s="675"/>
      <c r="BT33" s="674"/>
    </row>
    <row r="34" spans="1:72">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c r="A35" s="681"/>
      <c r="B35" s="680" t="s">
        <v>968</v>
      </c>
      <c r="C35" s="679" t="s">
        <v>1239</v>
      </c>
      <c r="D35" s="679"/>
      <c r="E35" s="679"/>
      <c r="F35" s="678" t="s">
        <v>1238</v>
      </c>
      <c r="G35" s="678"/>
      <c r="H35" s="677">
        <v>12.89767841788478</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12.89767841788478</v>
      </c>
    </row>
    <row r="36" spans="1:72">
      <c r="A36" s="681"/>
      <c r="B36" s="680" t="s">
        <v>968</v>
      </c>
      <c r="C36" s="679" t="s">
        <v>1237</v>
      </c>
      <c r="D36" s="679"/>
      <c r="E36" s="679"/>
      <c r="F36" s="678" t="s">
        <v>1236</v>
      </c>
      <c r="G36" s="678"/>
      <c r="H36" s="677">
        <v>47.291487532244197</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47.291487532244197</v>
      </c>
    </row>
    <row r="37" spans="1:72">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c r="A44" s="722" t="s">
        <v>1224</v>
      </c>
      <c r="B44" s="722"/>
      <c r="C44" s="722"/>
      <c r="D44" s="722"/>
      <c r="E44" s="722"/>
      <c r="F44" s="721" t="s">
        <v>1223</v>
      </c>
      <c r="G44" s="721"/>
      <c r="H44" s="720">
        <v>17161.029903506256</v>
      </c>
      <c r="I44" s="717">
        <v>0</v>
      </c>
      <c r="J44" s="719"/>
      <c r="K44" s="719"/>
      <c r="L44" s="719"/>
      <c r="M44" s="719"/>
      <c r="N44" s="719"/>
      <c r="O44" s="719">
        <v>0</v>
      </c>
      <c r="P44" s="719">
        <v>0</v>
      </c>
      <c r="Q44" s="719">
        <v>0</v>
      </c>
      <c r="R44" s="719">
        <v>0</v>
      </c>
      <c r="S44" s="719">
        <v>0</v>
      </c>
      <c r="T44" s="719"/>
      <c r="U44" s="719">
        <v>0</v>
      </c>
      <c r="V44" s="719"/>
      <c r="W44" s="717">
        <v>16162.391325117034</v>
      </c>
      <c r="X44" s="719"/>
      <c r="Y44" s="719"/>
      <c r="Z44" s="719"/>
      <c r="AA44" s="719"/>
      <c r="AB44" s="719"/>
      <c r="AC44" s="719">
        <v>423.68873602751501</v>
      </c>
      <c r="AD44" s="719"/>
      <c r="AE44" s="719">
        <v>452.54132034011656</v>
      </c>
      <c r="AF44" s="719">
        <v>4083.7632559472627</v>
      </c>
      <c r="AG44" s="719"/>
      <c r="AH44" s="719"/>
      <c r="AI44" s="719">
        <v>426.2205025317665</v>
      </c>
      <c r="AJ44" s="719">
        <v>446.76124964173113</v>
      </c>
      <c r="AK44" s="719">
        <v>1572.8002292920607</v>
      </c>
      <c r="AL44" s="719">
        <v>6683.7919174548579</v>
      </c>
      <c r="AM44" s="719">
        <v>1669.0551256329416</v>
      </c>
      <c r="AN44" s="719"/>
      <c r="AO44" s="719"/>
      <c r="AP44" s="719"/>
      <c r="AQ44" s="719">
        <v>403.76898824878185</v>
      </c>
      <c r="AR44" s="719"/>
      <c r="AS44" s="719"/>
      <c r="AT44" s="717">
        <v>61.120664946976206</v>
      </c>
      <c r="AU44" s="719"/>
      <c r="AV44" s="719">
        <v>0</v>
      </c>
      <c r="AW44" s="719">
        <v>61.120664946976206</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525.03104996656157</v>
      </c>
      <c r="BT44" s="717">
        <v>412.46297888602271</v>
      </c>
    </row>
    <row r="45" spans="1:72">
      <c r="A45" s="688" t="s">
        <v>968</v>
      </c>
      <c r="B45" s="687" t="s">
        <v>1222</v>
      </c>
      <c r="C45" s="687"/>
      <c r="D45" s="687"/>
      <c r="E45" s="687"/>
      <c r="F45" s="686" t="s">
        <v>1221</v>
      </c>
      <c r="G45" s="686"/>
      <c r="H45" s="685">
        <v>592.69609248113113</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180.23311359510842</v>
      </c>
      <c r="BT45" s="682">
        <v>412.46297888602271</v>
      </c>
    </row>
    <row r="46" spans="1:72">
      <c r="A46" s="681"/>
      <c r="B46" s="680" t="s">
        <v>968</v>
      </c>
      <c r="C46" s="679" t="s">
        <v>1220</v>
      </c>
      <c r="D46" s="679"/>
      <c r="E46" s="679"/>
      <c r="F46" s="678" t="s">
        <v>1219</v>
      </c>
      <c r="G46" s="678"/>
      <c r="H46" s="677">
        <v>211.1875417980319</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180.23311359510842</v>
      </c>
      <c r="BT46" s="674">
        <v>30.954428202923474</v>
      </c>
    </row>
    <row r="47" spans="1:72">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c r="A48" s="681"/>
      <c r="B48" s="679"/>
      <c r="C48" s="680" t="s">
        <v>968</v>
      </c>
      <c r="D48" s="679" t="s">
        <v>1216</v>
      </c>
      <c r="E48" s="679"/>
      <c r="F48" s="678" t="s">
        <v>1215</v>
      </c>
      <c r="G48" s="678"/>
      <c r="H48" s="677">
        <v>8.7656444062291001</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8.7656444062291001</v>
      </c>
    </row>
    <row r="49" spans="1:72">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c r="A52" s="681"/>
      <c r="B52" s="679"/>
      <c r="C52" s="680" t="s">
        <v>968</v>
      </c>
      <c r="D52" s="679" t="s">
        <v>1208</v>
      </c>
      <c r="E52" s="679"/>
      <c r="F52" s="678" t="s">
        <v>1207</v>
      </c>
      <c r="G52" s="678"/>
      <c r="H52" s="677">
        <v>22.18878379669437</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22.18878379669437</v>
      </c>
    </row>
    <row r="53" spans="1:72">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c r="A56" s="681"/>
      <c r="B56" s="679"/>
      <c r="C56" s="680" t="s">
        <v>968</v>
      </c>
      <c r="D56" s="679" t="s">
        <v>1200</v>
      </c>
      <c r="E56" s="679"/>
      <c r="F56" s="678" t="s">
        <v>1199</v>
      </c>
      <c r="G56" s="678"/>
      <c r="H56" s="677">
        <v>178.9672303429827</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178.9672303429827</v>
      </c>
      <c r="BT56" s="674"/>
    </row>
    <row r="57" spans="1:72">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c r="A61" s="681"/>
      <c r="B61" s="680" t="s">
        <v>968</v>
      </c>
      <c r="C61" s="679" t="s">
        <v>1190</v>
      </c>
      <c r="D61" s="679"/>
      <c r="E61" s="679"/>
      <c r="F61" s="678" t="s">
        <v>1189</v>
      </c>
      <c r="G61" s="678"/>
      <c r="H61" s="677">
        <v>381.50855068309926</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381.50855068309926</v>
      </c>
    </row>
    <row r="62" spans="1:72">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c r="A63" s="681"/>
      <c r="B63" s="679"/>
      <c r="C63" s="680" t="s">
        <v>968</v>
      </c>
      <c r="D63" s="679" t="s">
        <v>1186</v>
      </c>
      <c r="E63" s="679"/>
      <c r="F63" s="678" t="s">
        <v>1185</v>
      </c>
      <c r="G63" s="678"/>
      <c r="H63" s="677">
        <v>376.51667144358458</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376.51667144358458</v>
      </c>
    </row>
    <row r="64" spans="1:72">
      <c r="A64" s="681"/>
      <c r="B64" s="679"/>
      <c r="C64" s="680" t="s">
        <v>968</v>
      </c>
      <c r="D64" s="679" t="s">
        <v>1184</v>
      </c>
      <c r="E64" s="679"/>
      <c r="F64" s="678" t="s">
        <v>1183</v>
      </c>
      <c r="G64" s="678"/>
      <c r="H64" s="677">
        <v>4.9918792395146649</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4.9918792395146649</v>
      </c>
    </row>
    <row r="65" spans="1:72">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c r="A87" s="680" t="s">
        <v>968</v>
      </c>
      <c r="B87" s="679" t="s">
        <v>1138</v>
      </c>
      <c r="C87" s="679"/>
      <c r="D87" s="679"/>
      <c r="E87" s="679"/>
      <c r="F87" s="678" t="s">
        <v>1137</v>
      </c>
      <c r="G87" s="678"/>
      <c r="H87" s="677">
        <v>61.120664946976206</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61.120664946976206</v>
      </c>
      <c r="AU87" s="676"/>
      <c r="AV87" s="676"/>
      <c r="AW87" s="676">
        <v>61.120664946976206</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c r="A89" s="680" t="s">
        <v>968</v>
      </c>
      <c r="B89" s="679" t="s">
        <v>287</v>
      </c>
      <c r="C89" s="679"/>
      <c r="D89" s="679"/>
      <c r="E89" s="679"/>
      <c r="F89" s="678" t="s">
        <v>1135</v>
      </c>
      <c r="G89" s="678"/>
      <c r="H89" s="677">
        <v>16162.391325117034</v>
      </c>
      <c r="I89" s="674"/>
      <c r="J89" s="676"/>
      <c r="K89" s="676"/>
      <c r="L89" s="676"/>
      <c r="M89" s="676"/>
      <c r="N89" s="676"/>
      <c r="O89" s="676"/>
      <c r="P89" s="676"/>
      <c r="Q89" s="676"/>
      <c r="R89" s="676"/>
      <c r="S89" s="676"/>
      <c r="T89" s="676"/>
      <c r="U89" s="676"/>
      <c r="V89" s="676"/>
      <c r="W89" s="674">
        <v>16162.391325117034</v>
      </c>
      <c r="X89" s="676"/>
      <c r="Y89" s="676"/>
      <c r="Z89" s="676"/>
      <c r="AA89" s="676"/>
      <c r="AB89" s="676"/>
      <c r="AC89" s="676">
        <v>423.68873602751501</v>
      </c>
      <c r="AD89" s="676"/>
      <c r="AE89" s="676">
        <v>452.54132034011656</v>
      </c>
      <c r="AF89" s="676">
        <v>4083.7632559472627</v>
      </c>
      <c r="AG89" s="676"/>
      <c r="AH89" s="676"/>
      <c r="AI89" s="676">
        <v>426.2205025317665</v>
      </c>
      <c r="AJ89" s="676">
        <v>446.76124964173113</v>
      </c>
      <c r="AK89" s="676">
        <v>1572.8002292920607</v>
      </c>
      <c r="AL89" s="676">
        <v>6683.7919174548579</v>
      </c>
      <c r="AM89" s="676">
        <v>1669.0551256329416</v>
      </c>
      <c r="AN89" s="676"/>
      <c r="AO89" s="676"/>
      <c r="AP89" s="676"/>
      <c r="AQ89" s="676">
        <v>403.76898824878185</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c r="A93" s="680" t="s">
        <v>968</v>
      </c>
      <c r="B93" s="679" t="s">
        <v>1129</v>
      </c>
      <c r="C93" s="679"/>
      <c r="D93" s="679"/>
      <c r="E93" s="679"/>
      <c r="F93" s="678" t="s">
        <v>1128</v>
      </c>
      <c r="G93" s="678"/>
      <c r="H93" s="677">
        <v>344.79793637145315</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344.79793637145315</v>
      </c>
      <c r="BT93" s="674"/>
    </row>
    <row r="94" spans="1:72">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c r="A96" s="681"/>
      <c r="B96" s="680" t="s">
        <v>968</v>
      </c>
      <c r="C96" s="679" t="s">
        <v>1123</v>
      </c>
      <c r="D96" s="679"/>
      <c r="E96" s="679"/>
      <c r="F96" s="678" t="s">
        <v>1122</v>
      </c>
      <c r="G96" s="678"/>
      <c r="H96" s="677">
        <v>232.70755708416928</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232.70755708416928</v>
      </c>
      <c r="BT96" s="674"/>
    </row>
    <row r="97" spans="1:72">
      <c r="A97" s="681"/>
      <c r="B97" s="680" t="s">
        <v>968</v>
      </c>
      <c r="C97" s="679" t="s">
        <v>1121</v>
      </c>
      <c r="D97" s="679"/>
      <c r="E97" s="679"/>
      <c r="F97" s="678" t="s">
        <v>1120</v>
      </c>
      <c r="G97" s="678"/>
      <c r="H97" s="677">
        <v>31.312697047864717</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31.312697047864717</v>
      </c>
      <c r="BT97" s="674"/>
    </row>
    <row r="98" spans="1:72">
      <c r="A98" s="681"/>
      <c r="B98" s="680" t="s">
        <v>968</v>
      </c>
      <c r="C98" s="679" t="s">
        <v>1119</v>
      </c>
      <c r="D98" s="679"/>
      <c r="E98" s="679"/>
      <c r="F98" s="678" t="s">
        <v>1118</v>
      </c>
      <c r="G98" s="678"/>
      <c r="H98" s="677">
        <v>46.861564918314699</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46.861564918314699</v>
      </c>
      <c r="BT98" s="674"/>
    </row>
    <row r="99" spans="1:72">
      <c r="A99" s="681"/>
      <c r="B99" s="680" t="s">
        <v>968</v>
      </c>
      <c r="C99" s="679" t="s">
        <v>1117</v>
      </c>
      <c r="D99" s="679"/>
      <c r="E99" s="679"/>
      <c r="F99" s="678" t="s">
        <v>1116</v>
      </c>
      <c r="G99" s="678"/>
      <c r="H99" s="677">
        <v>13.51867774911627</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13.51867774911627</v>
      </c>
      <c r="BT99" s="674"/>
    </row>
    <row r="100" spans="1:72">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c r="A106" s="681"/>
      <c r="B106" s="680" t="s">
        <v>968</v>
      </c>
      <c r="C106" s="679" t="s">
        <v>1103</v>
      </c>
      <c r="D106" s="679"/>
      <c r="E106" s="679"/>
      <c r="F106" s="678" t="s">
        <v>1102</v>
      </c>
      <c r="G106" s="678"/>
      <c r="H106" s="677">
        <v>14.689022642591</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14.689022642591</v>
      </c>
      <c r="BT106" s="674"/>
    </row>
    <row r="107" spans="1:72">
      <c r="A107" s="681"/>
      <c r="B107" s="680" t="s">
        <v>968</v>
      </c>
      <c r="C107" s="679" t="s">
        <v>1101</v>
      </c>
      <c r="D107" s="679"/>
      <c r="E107" s="679"/>
      <c r="F107" s="678" t="s">
        <v>1100</v>
      </c>
      <c r="G107" s="678"/>
      <c r="H107" s="677">
        <v>5.7084169293971527</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5.7084169293971527</v>
      </c>
      <c r="BT107" s="674"/>
    </row>
    <row r="108" spans="1:72">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c r="A109" s="709" t="s">
        <v>1097</v>
      </c>
      <c r="B109" s="709"/>
      <c r="C109" s="709"/>
      <c r="D109" s="709"/>
      <c r="E109" s="709"/>
      <c r="F109" s="708" t="s">
        <v>1096</v>
      </c>
      <c r="G109" s="708"/>
      <c r="H109" s="707">
        <v>423.25881341358553</v>
      </c>
      <c r="I109" s="704"/>
      <c r="J109" s="706"/>
      <c r="K109" s="706"/>
      <c r="L109" s="706"/>
      <c r="M109" s="706"/>
      <c r="N109" s="706"/>
      <c r="O109" s="706"/>
      <c r="P109" s="706"/>
      <c r="Q109" s="706"/>
      <c r="R109" s="706"/>
      <c r="S109" s="706"/>
      <c r="T109" s="706"/>
      <c r="U109" s="706"/>
      <c r="V109" s="706"/>
      <c r="W109" s="704">
        <v>423.25881341358553</v>
      </c>
      <c r="X109" s="706">
        <v>0</v>
      </c>
      <c r="Y109" s="706">
        <v>-8867.1539122957856</v>
      </c>
      <c r="Z109" s="706">
        <v>1340.6897869494601</v>
      </c>
      <c r="AA109" s="706"/>
      <c r="AB109" s="706"/>
      <c r="AC109" s="706">
        <v>0</v>
      </c>
      <c r="AD109" s="706">
        <v>1211.1875417980318</v>
      </c>
      <c r="AE109" s="706">
        <v>5776.2730486290238</v>
      </c>
      <c r="AF109" s="706">
        <v>0</v>
      </c>
      <c r="AG109" s="706">
        <v>0</v>
      </c>
      <c r="AH109" s="706">
        <v>0</v>
      </c>
      <c r="AI109" s="706">
        <v>0</v>
      </c>
      <c r="AJ109" s="706">
        <v>0</v>
      </c>
      <c r="AK109" s="706">
        <v>2186.2042610107956</v>
      </c>
      <c r="AL109" s="706">
        <v>-1.0270373554982324</v>
      </c>
      <c r="AM109" s="706">
        <v>-1222.8909907327791</v>
      </c>
      <c r="AN109" s="706">
        <v>0</v>
      </c>
      <c r="AO109" s="706">
        <v>0</v>
      </c>
      <c r="AP109" s="706">
        <v>0</v>
      </c>
      <c r="AQ109" s="706">
        <v>0</v>
      </c>
      <c r="AR109" s="706">
        <v>0</v>
      </c>
      <c r="AS109" s="706">
        <v>0</v>
      </c>
      <c r="AT109" s="704"/>
      <c r="AU109" s="706"/>
      <c r="AV109" s="706"/>
      <c r="AW109" s="706"/>
      <c r="AX109" s="706"/>
      <c r="AY109" s="706"/>
      <c r="AZ109" s="704">
        <v>-10453.401165567975</v>
      </c>
      <c r="BA109" s="706">
        <v>-10343.078245915734</v>
      </c>
      <c r="BB109" s="706">
        <v>-110.32291965224037</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10453.401165567975</v>
      </c>
    </row>
    <row r="110" spans="1:72">
      <c r="A110" s="688" t="s">
        <v>968</v>
      </c>
      <c r="B110" s="687" t="s">
        <v>1095</v>
      </c>
      <c r="C110" s="687"/>
      <c r="D110" s="687"/>
      <c r="E110" s="687"/>
      <c r="F110" s="686" t="s">
        <v>1094</v>
      </c>
      <c r="G110" s="686"/>
      <c r="H110" s="685">
        <v>357.12238463743194</v>
      </c>
      <c r="I110" s="682"/>
      <c r="J110" s="684"/>
      <c r="K110" s="684"/>
      <c r="L110" s="684"/>
      <c r="M110" s="684"/>
      <c r="N110" s="684"/>
      <c r="O110" s="684"/>
      <c r="P110" s="684"/>
      <c r="Q110" s="684"/>
      <c r="R110" s="684"/>
      <c r="S110" s="684"/>
      <c r="T110" s="684"/>
      <c r="U110" s="684"/>
      <c r="V110" s="684"/>
      <c r="W110" s="682">
        <v>357.12238463743194</v>
      </c>
      <c r="X110" s="684"/>
      <c r="Y110" s="684">
        <v>-8867.1539122957856</v>
      </c>
      <c r="Z110" s="684"/>
      <c r="AA110" s="684"/>
      <c r="AB110" s="684"/>
      <c r="AC110" s="684"/>
      <c r="AD110" s="684">
        <v>1231.0117512181141</v>
      </c>
      <c r="AE110" s="684">
        <v>5807.0841692939712</v>
      </c>
      <c r="AF110" s="684"/>
      <c r="AG110" s="684"/>
      <c r="AH110" s="684"/>
      <c r="AI110" s="684"/>
      <c r="AJ110" s="684"/>
      <c r="AK110" s="684">
        <v>2186.2042610107956</v>
      </c>
      <c r="AL110" s="684"/>
      <c r="AM110" s="684">
        <v>0</v>
      </c>
      <c r="AN110" s="684"/>
      <c r="AO110" s="684"/>
      <c r="AP110" s="684"/>
      <c r="AQ110" s="684"/>
      <c r="AR110" s="684"/>
      <c r="AS110" s="684"/>
      <c r="AT110" s="682"/>
      <c r="AU110" s="684"/>
      <c r="AV110" s="684"/>
      <c r="AW110" s="684"/>
      <c r="AX110" s="684"/>
      <c r="AY110" s="684"/>
      <c r="AZ110" s="682">
        <v>-10453.401165567975</v>
      </c>
      <c r="BA110" s="684">
        <v>-10343.078245915734</v>
      </c>
      <c r="BB110" s="684">
        <v>-110.32291965224037</v>
      </c>
      <c r="BC110" s="684">
        <v>0</v>
      </c>
      <c r="BD110" s="684"/>
      <c r="BE110" s="684">
        <v>0</v>
      </c>
      <c r="BF110" s="684"/>
      <c r="BG110" s="684"/>
      <c r="BH110" s="684"/>
      <c r="BI110" s="684"/>
      <c r="BJ110" s="684"/>
      <c r="BK110" s="684"/>
      <c r="BL110" s="684"/>
      <c r="BM110" s="684"/>
      <c r="BN110" s="684"/>
      <c r="BO110" s="682"/>
      <c r="BP110" s="684"/>
      <c r="BQ110" s="684"/>
      <c r="BR110" s="683"/>
      <c r="BS110" s="683"/>
      <c r="BT110" s="682">
        <v>10453.401165567975</v>
      </c>
    </row>
    <row r="111" spans="1:72">
      <c r="A111" s="680" t="s">
        <v>968</v>
      </c>
      <c r="B111" s="679" t="s">
        <v>1093</v>
      </c>
      <c r="C111" s="679"/>
      <c r="D111" s="679"/>
      <c r="E111" s="679"/>
      <c r="F111" s="678" t="s">
        <v>1092</v>
      </c>
      <c r="G111" s="678"/>
      <c r="H111" s="677">
        <v>70.268462787809298</v>
      </c>
      <c r="I111" s="674"/>
      <c r="J111" s="676"/>
      <c r="K111" s="676"/>
      <c r="L111" s="676"/>
      <c r="M111" s="676"/>
      <c r="N111" s="676"/>
      <c r="O111" s="676"/>
      <c r="P111" s="676"/>
      <c r="Q111" s="676"/>
      <c r="R111" s="676"/>
      <c r="S111" s="676"/>
      <c r="T111" s="676"/>
      <c r="U111" s="676"/>
      <c r="V111" s="676"/>
      <c r="W111" s="674">
        <v>70.268462787809298</v>
      </c>
      <c r="X111" s="676"/>
      <c r="Y111" s="676"/>
      <c r="Z111" s="676">
        <v>1292.2040699340785</v>
      </c>
      <c r="AA111" s="676"/>
      <c r="AB111" s="676"/>
      <c r="AC111" s="676"/>
      <c r="AD111" s="676"/>
      <c r="AE111" s="676"/>
      <c r="AF111" s="676"/>
      <c r="AG111" s="676"/>
      <c r="AH111" s="676"/>
      <c r="AI111" s="676"/>
      <c r="AJ111" s="676"/>
      <c r="AK111" s="676"/>
      <c r="AL111" s="676"/>
      <c r="AM111" s="676">
        <v>-1221.9356071462691</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c r="A112" s="672" t="s">
        <v>968</v>
      </c>
      <c r="B112" s="671" t="s">
        <v>1091</v>
      </c>
      <c r="C112" s="671"/>
      <c r="D112" s="671"/>
      <c r="E112" s="671"/>
      <c r="F112" s="670" t="s">
        <v>1090</v>
      </c>
      <c r="G112" s="670"/>
      <c r="H112" s="669">
        <v>-4.13203401165568</v>
      </c>
      <c r="I112" s="666"/>
      <c r="J112" s="668"/>
      <c r="K112" s="668"/>
      <c r="L112" s="668"/>
      <c r="M112" s="668"/>
      <c r="N112" s="668"/>
      <c r="O112" s="668"/>
      <c r="P112" s="668"/>
      <c r="Q112" s="668"/>
      <c r="R112" s="668"/>
      <c r="S112" s="668"/>
      <c r="T112" s="668"/>
      <c r="U112" s="668"/>
      <c r="V112" s="668"/>
      <c r="W112" s="666">
        <v>-4.13203401165568</v>
      </c>
      <c r="X112" s="668">
        <v>0</v>
      </c>
      <c r="Y112" s="668">
        <v>0</v>
      </c>
      <c r="Z112" s="668">
        <v>48.485717015381674</v>
      </c>
      <c r="AA112" s="668"/>
      <c r="AB112" s="668"/>
      <c r="AC112" s="668">
        <v>0</v>
      </c>
      <c r="AD112" s="668">
        <v>-19.824209420082163</v>
      </c>
      <c r="AE112" s="668">
        <v>-30.835005254609726</v>
      </c>
      <c r="AF112" s="668">
        <v>0</v>
      </c>
      <c r="AG112" s="668">
        <v>0</v>
      </c>
      <c r="AH112" s="668">
        <v>0</v>
      </c>
      <c r="AI112" s="668">
        <v>0</v>
      </c>
      <c r="AJ112" s="668">
        <v>0</v>
      </c>
      <c r="AK112" s="668">
        <v>0</v>
      </c>
      <c r="AL112" s="668">
        <v>-1.0270373554982324</v>
      </c>
      <c r="AM112" s="668">
        <v>-0.95538358650998367</v>
      </c>
      <c r="AN112" s="668">
        <v>0</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c r="A113" s="709" t="s">
        <v>1089</v>
      </c>
      <c r="B113" s="709"/>
      <c r="C113" s="709"/>
      <c r="D113" s="709"/>
      <c r="E113" s="709"/>
      <c r="F113" s="708" t="s">
        <v>1088</v>
      </c>
      <c r="G113" s="708"/>
      <c r="H113" s="707">
        <v>5082.8556415400781</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862.18591764593475</v>
      </c>
      <c r="X113" s="706"/>
      <c r="Y113" s="706"/>
      <c r="Z113" s="706"/>
      <c r="AA113" s="706"/>
      <c r="AB113" s="706"/>
      <c r="AC113" s="706">
        <v>401.64325976879718</v>
      </c>
      <c r="AD113" s="706"/>
      <c r="AE113" s="706"/>
      <c r="AF113" s="706"/>
      <c r="AG113" s="706"/>
      <c r="AH113" s="706"/>
      <c r="AI113" s="706"/>
      <c r="AJ113" s="706"/>
      <c r="AK113" s="706"/>
      <c r="AL113" s="706">
        <v>235.66924620235022</v>
      </c>
      <c r="AM113" s="706">
        <v>0</v>
      </c>
      <c r="AN113" s="706"/>
      <c r="AO113" s="706"/>
      <c r="AP113" s="706"/>
      <c r="AQ113" s="706">
        <v>224.87341167478741</v>
      </c>
      <c r="AR113" s="706"/>
      <c r="AS113" s="706"/>
      <c r="AT113" s="704">
        <v>3532.1486576860607</v>
      </c>
      <c r="AU113" s="706">
        <v>3532.1486576860607</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75.117034489347475</v>
      </c>
      <c r="BT113" s="704">
        <v>613.40403171873504</v>
      </c>
    </row>
    <row r="114" spans="1:72">
      <c r="A114" s="688" t="s">
        <v>968</v>
      </c>
      <c r="B114" s="687" t="s">
        <v>1087</v>
      </c>
      <c r="C114" s="687"/>
      <c r="D114" s="687"/>
      <c r="E114" s="687"/>
      <c r="F114" s="686" t="s">
        <v>1086</v>
      </c>
      <c r="G114" s="686"/>
      <c r="H114" s="685">
        <v>57.203592242285275</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8.1924142543231095</v>
      </c>
      <c r="X114" s="684"/>
      <c r="Y114" s="684"/>
      <c r="Z114" s="684"/>
      <c r="AA114" s="684"/>
      <c r="AB114" s="684"/>
      <c r="AC114" s="684"/>
      <c r="AD114" s="684"/>
      <c r="AE114" s="684"/>
      <c r="AF114" s="684"/>
      <c r="AG114" s="684"/>
      <c r="AH114" s="684"/>
      <c r="AI114" s="684"/>
      <c r="AJ114" s="684"/>
      <c r="AK114" s="684"/>
      <c r="AL114" s="684">
        <v>8.1924142543231095</v>
      </c>
      <c r="AM114" s="684">
        <v>0</v>
      </c>
      <c r="AN114" s="684"/>
      <c r="AO114" s="684"/>
      <c r="AP114" s="684"/>
      <c r="AQ114" s="684"/>
      <c r="AR114" s="684"/>
      <c r="AS114" s="684"/>
      <c r="AT114" s="682">
        <v>0</v>
      </c>
      <c r="AU114" s="684">
        <v>0</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49.011177987962164</v>
      </c>
    </row>
    <row r="115" spans="1:72">
      <c r="A115" s="680" t="s">
        <v>968</v>
      </c>
      <c r="B115" s="679" t="s">
        <v>1085</v>
      </c>
      <c r="C115" s="679"/>
      <c r="D115" s="679"/>
      <c r="E115" s="679"/>
      <c r="F115" s="678" t="s">
        <v>1084</v>
      </c>
      <c r="G115" s="678"/>
      <c r="H115" s="677">
        <v>46.431642304385207</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46.431642304385207</v>
      </c>
    </row>
    <row r="116" spans="1:72">
      <c r="A116" s="680"/>
      <c r="B116" s="680" t="s">
        <v>968</v>
      </c>
      <c r="C116" s="679" t="s">
        <v>1083</v>
      </c>
      <c r="D116" s="679"/>
      <c r="E116" s="679"/>
      <c r="F116" s="678" t="s">
        <v>1082</v>
      </c>
      <c r="G116" s="678"/>
      <c r="H116" s="677">
        <v>154.9393331422566</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154.9393331422566</v>
      </c>
    </row>
    <row r="117" spans="1:72">
      <c r="A117" s="680"/>
      <c r="B117" s="680" t="s">
        <v>1081</v>
      </c>
      <c r="C117" s="679" t="s">
        <v>1080</v>
      </c>
      <c r="D117" s="679"/>
      <c r="E117" s="679"/>
      <c r="F117" s="678" t="s">
        <v>1079</v>
      </c>
      <c r="G117" s="678"/>
      <c r="H117" s="677">
        <v>108.50769083787139</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108.50769083787139</v>
      </c>
    </row>
    <row r="118" spans="1:72">
      <c r="A118" s="680"/>
      <c r="B118" s="680"/>
      <c r="C118" s="680" t="s">
        <v>968</v>
      </c>
      <c r="D118" s="679" t="s">
        <v>1078</v>
      </c>
      <c r="E118" s="679"/>
      <c r="F118" s="678" t="s">
        <v>1077</v>
      </c>
      <c r="G118" s="678"/>
      <c r="H118" s="677">
        <v>106.62080825451419</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106.62080825451419</v>
      </c>
    </row>
    <row r="119" spans="1:72">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c r="A120" s="680" t="s">
        <v>968</v>
      </c>
      <c r="B120" s="679" t="s">
        <v>1074</v>
      </c>
      <c r="C120" s="679"/>
      <c r="D120" s="679"/>
      <c r="E120" s="679"/>
      <c r="F120" s="678" t="s">
        <v>1073</v>
      </c>
      <c r="G120" s="678"/>
      <c r="H120" s="677">
        <v>4223.5119900640102</v>
      </c>
      <c r="I120" s="674"/>
      <c r="J120" s="676"/>
      <c r="K120" s="676"/>
      <c r="L120" s="676"/>
      <c r="M120" s="676"/>
      <c r="N120" s="676"/>
      <c r="O120" s="676"/>
      <c r="P120" s="676"/>
      <c r="Q120" s="676"/>
      <c r="R120" s="676"/>
      <c r="S120" s="676"/>
      <c r="T120" s="676"/>
      <c r="U120" s="676"/>
      <c r="V120" s="676"/>
      <c r="W120" s="674">
        <v>226.44979459252889</v>
      </c>
      <c r="X120" s="676"/>
      <c r="Y120" s="676"/>
      <c r="Z120" s="676"/>
      <c r="AA120" s="676"/>
      <c r="AB120" s="676"/>
      <c r="AC120" s="676"/>
      <c r="AD120" s="676"/>
      <c r="AE120" s="676"/>
      <c r="AF120" s="676"/>
      <c r="AG120" s="676"/>
      <c r="AH120" s="676"/>
      <c r="AI120" s="676"/>
      <c r="AJ120" s="676"/>
      <c r="AK120" s="676"/>
      <c r="AL120" s="676">
        <v>226.44979459252889</v>
      </c>
      <c r="AM120" s="676">
        <v>0</v>
      </c>
      <c r="AN120" s="676"/>
      <c r="AO120" s="676"/>
      <c r="AP120" s="676"/>
      <c r="AQ120" s="676"/>
      <c r="AR120" s="676"/>
      <c r="AS120" s="676"/>
      <c r="AT120" s="674">
        <v>3532.1486576860607</v>
      </c>
      <c r="AU120" s="676">
        <v>3532.1486576860607</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464.91353778542083</v>
      </c>
    </row>
    <row r="121" spans="1:72">
      <c r="A121" s="680" t="s">
        <v>968</v>
      </c>
      <c r="B121" s="679" t="s">
        <v>1072</v>
      </c>
      <c r="C121" s="679"/>
      <c r="D121" s="679"/>
      <c r="E121" s="679"/>
      <c r="F121" s="678" t="s">
        <v>1071</v>
      </c>
      <c r="G121" s="678"/>
      <c r="H121" s="677">
        <v>748.99684723416453</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626.51667144358453</v>
      </c>
      <c r="X121" s="676"/>
      <c r="Y121" s="676"/>
      <c r="Z121" s="676"/>
      <c r="AA121" s="676"/>
      <c r="AB121" s="676"/>
      <c r="AC121" s="676">
        <v>401.64325976879718</v>
      </c>
      <c r="AD121" s="676"/>
      <c r="AE121" s="676"/>
      <c r="AF121" s="676"/>
      <c r="AG121" s="676"/>
      <c r="AH121" s="676"/>
      <c r="AI121" s="676"/>
      <c r="AJ121" s="676"/>
      <c r="AK121" s="676"/>
      <c r="AL121" s="676"/>
      <c r="AM121" s="676">
        <v>0</v>
      </c>
      <c r="AN121" s="676"/>
      <c r="AO121" s="676"/>
      <c r="AP121" s="676"/>
      <c r="AQ121" s="676">
        <v>224.87341167478741</v>
      </c>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75.117034489347475</v>
      </c>
      <c r="BT121" s="674">
        <v>47.387025890895195</v>
      </c>
    </row>
    <row r="122" spans="1:72">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c r="A123" s="680" t="s">
        <v>968</v>
      </c>
      <c r="B123" s="679" t="s">
        <v>1068</v>
      </c>
      <c r="C123" s="679"/>
      <c r="D123" s="679"/>
      <c r="E123" s="679"/>
      <c r="F123" s="678" t="s">
        <v>1067</v>
      </c>
      <c r="G123" s="678"/>
      <c r="H123" s="677">
        <v>4.1081494219929295</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1.0270373554982324</v>
      </c>
      <c r="X123" s="676"/>
      <c r="Y123" s="676"/>
      <c r="Z123" s="676"/>
      <c r="AA123" s="676"/>
      <c r="AB123" s="676"/>
      <c r="AC123" s="676"/>
      <c r="AD123" s="676"/>
      <c r="AE123" s="676"/>
      <c r="AF123" s="676"/>
      <c r="AG123" s="676"/>
      <c r="AH123" s="676"/>
      <c r="AI123" s="676"/>
      <c r="AJ123" s="676"/>
      <c r="AK123" s="676"/>
      <c r="AL123" s="676">
        <v>1.0270373554982324</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3.1049966561574469</v>
      </c>
    </row>
    <row r="124" spans="1:72">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c r="A133" s="680" t="s">
        <v>968</v>
      </c>
      <c r="B133" s="679" t="s">
        <v>1048</v>
      </c>
      <c r="C133" s="679"/>
      <c r="D133" s="679"/>
      <c r="E133" s="679"/>
      <c r="F133" s="678" t="s">
        <v>1047</v>
      </c>
      <c r="G133" s="678"/>
      <c r="H133" s="677">
        <v>2.5795356835769558</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2.5795356835769558</v>
      </c>
    </row>
    <row r="134" spans="1:72">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c r="A135" s="709" t="s">
        <v>1044</v>
      </c>
      <c r="B135" s="709"/>
      <c r="C135" s="709"/>
      <c r="D135" s="709"/>
      <c r="E135" s="709"/>
      <c r="F135" s="708" t="s">
        <v>1043</v>
      </c>
      <c r="G135" s="708"/>
      <c r="H135" s="707">
        <v>815.46766026559658</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10.60475781026082</v>
      </c>
      <c r="AU135" s="706">
        <v>0</v>
      </c>
      <c r="AV135" s="706">
        <v>0</v>
      </c>
      <c r="AW135" s="706">
        <v>10.60475781026082</v>
      </c>
      <c r="AX135" s="706">
        <v>0</v>
      </c>
      <c r="AY135" s="706">
        <v>0</v>
      </c>
      <c r="AZ135" s="704">
        <v>13.661985287092767</v>
      </c>
      <c r="BA135" s="706"/>
      <c r="BB135" s="706"/>
      <c r="BC135" s="706"/>
      <c r="BD135" s="706">
        <v>0</v>
      </c>
      <c r="BE135" s="706"/>
      <c r="BF135" s="706">
        <v>0</v>
      </c>
      <c r="BG135" s="706">
        <v>0</v>
      </c>
      <c r="BH135" s="706">
        <v>13.661985287092767</v>
      </c>
      <c r="BI135" s="706">
        <v>0</v>
      </c>
      <c r="BJ135" s="706">
        <v>0</v>
      </c>
      <c r="BK135" s="706">
        <v>0</v>
      </c>
      <c r="BL135" s="706">
        <v>0</v>
      </c>
      <c r="BM135" s="706">
        <v>0</v>
      </c>
      <c r="BN135" s="706">
        <v>0</v>
      </c>
      <c r="BO135" s="704">
        <v>0</v>
      </c>
      <c r="BP135" s="706">
        <v>0</v>
      </c>
      <c r="BQ135" s="706">
        <v>0</v>
      </c>
      <c r="BR135" s="705"/>
      <c r="BS135" s="705">
        <v>93.961975733256892</v>
      </c>
      <c r="BT135" s="704">
        <v>697.23894143498615</v>
      </c>
    </row>
    <row r="136" spans="1:72">
      <c r="A136" s="709" t="s">
        <v>1042</v>
      </c>
      <c r="B136" s="709"/>
      <c r="C136" s="709"/>
      <c r="D136" s="709"/>
      <c r="E136" s="709"/>
      <c r="F136" s="708" t="s">
        <v>1041</v>
      </c>
      <c r="G136" s="708"/>
      <c r="H136" s="707">
        <v>22612.042610107957</v>
      </c>
      <c r="I136" s="704">
        <v>766.91028948122664</v>
      </c>
      <c r="J136" s="706">
        <v>0</v>
      </c>
      <c r="K136" s="706">
        <v>0</v>
      </c>
      <c r="L136" s="706">
        <v>505.37403267411861</v>
      </c>
      <c r="M136" s="706">
        <v>0</v>
      </c>
      <c r="N136" s="706">
        <v>0</v>
      </c>
      <c r="O136" s="706">
        <v>0</v>
      </c>
      <c r="P136" s="706">
        <v>261.53625680710803</v>
      </c>
      <c r="Q136" s="706">
        <v>0</v>
      </c>
      <c r="R136" s="706">
        <v>0</v>
      </c>
      <c r="S136" s="706">
        <v>0</v>
      </c>
      <c r="T136" s="706">
        <v>0</v>
      </c>
      <c r="U136" s="706">
        <v>0</v>
      </c>
      <c r="V136" s="706">
        <v>0</v>
      </c>
      <c r="W136" s="704">
        <v>10276.607432884302</v>
      </c>
      <c r="X136" s="706">
        <v>-23.597974586796596</v>
      </c>
      <c r="Y136" s="706">
        <v>0</v>
      </c>
      <c r="Z136" s="706">
        <v>48.485717015381674</v>
      </c>
      <c r="AA136" s="706">
        <v>0</v>
      </c>
      <c r="AB136" s="706"/>
      <c r="AC136" s="706">
        <v>-46.431642304385207</v>
      </c>
      <c r="AD136" s="706">
        <v>897.39180280882772</v>
      </c>
      <c r="AE136" s="706">
        <v>861.03945734212277</v>
      </c>
      <c r="AF136" s="706">
        <v>1195.7580968758957</v>
      </c>
      <c r="AG136" s="706">
        <v>37.737651667144355</v>
      </c>
      <c r="AH136" s="706">
        <v>0</v>
      </c>
      <c r="AI136" s="706">
        <v>520.70793923760391</v>
      </c>
      <c r="AJ136" s="706">
        <v>566.18419795547914</v>
      </c>
      <c r="AK136" s="706">
        <v>1401.8821056654247</v>
      </c>
      <c r="AL136" s="706">
        <v>4148.8009935989294</v>
      </c>
      <c r="AM136" s="706">
        <v>-159.54905894716728</v>
      </c>
      <c r="AN136" s="706">
        <v>13.542562338779019</v>
      </c>
      <c r="AO136" s="706">
        <v>46.145027228432212</v>
      </c>
      <c r="AP136" s="706">
        <v>353.03811980510176</v>
      </c>
      <c r="AQ136" s="706">
        <v>422.16012228909904</v>
      </c>
      <c r="AR136" s="706">
        <v>0</v>
      </c>
      <c r="AS136" s="706">
        <v>-6.6876851055698863</v>
      </c>
      <c r="AT136" s="704">
        <v>739.87293398299414</v>
      </c>
      <c r="AU136" s="706">
        <v>702.49355116079107</v>
      </c>
      <c r="AV136" s="706">
        <v>0</v>
      </c>
      <c r="AW136" s="706">
        <v>37.379382822203112</v>
      </c>
      <c r="AX136" s="706">
        <v>0</v>
      </c>
      <c r="AY136" s="706">
        <v>0</v>
      </c>
      <c r="AZ136" s="704">
        <v>1240.7088946211904</v>
      </c>
      <c r="BA136" s="706">
        <v>0</v>
      </c>
      <c r="BB136" s="706">
        <v>0</v>
      </c>
      <c r="BC136" s="706">
        <v>0</v>
      </c>
      <c r="BD136" s="706">
        <v>0</v>
      </c>
      <c r="BE136" s="706">
        <v>0</v>
      </c>
      <c r="BF136" s="706">
        <v>1091.7407088946211</v>
      </c>
      <c r="BG136" s="706">
        <v>0</v>
      </c>
      <c r="BH136" s="706">
        <v>11.918410241712047</v>
      </c>
      <c r="BI136" s="706">
        <v>21.711092003439379</v>
      </c>
      <c r="BJ136" s="706">
        <v>8.0013375370211133</v>
      </c>
      <c r="BK136" s="706">
        <v>105.35492500238846</v>
      </c>
      <c r="BL136" s="706">
        <v>0</v>
      </c>
      <c r="BM136" s="706">
        <v>1.9824209420082162</v>
      </c>
      <c r="BN136" s="706">
        <v>0</v>
      </c>
      <c r="BO136" s="704">
        <v>21.711092003439379</v>
      </c>
      <c r="BP136" s="706">
        <v>0</v>
      </c>
      <c r="BQ136" s="706">
        <v>21.711092003439379</v>
      </c>
      <c r="BR136" s="705">
        <v>0</v>
      </c>
      <c r="BS136" s="705">
        <v>335.55460017196901</v>
      </c>
      <c r="BT136" s="704">
        <v>9230.7012515524984</v>
      </c>
    </row>
    <row r="137" spans="1:72">
      <c r="A137" s="665" t="s">
        <v>1040</v>
      </c>
      <c r="B137" s="665"/>
      <c r="C137" s="665"/>
      <c r="D137" s="665"/>
      <c r="E137" s="665"/>
      <c r="F137" s="664" t="s">
        <v>1039</v>
      </c>
      <c r="G137" s="664"/>
      <c r="H137" s="663">
        <v>2301.7579057991784</v>
      </c>
      <c r="I137" s="660">
        <v>52.355020540747105</v>
      </c>
      <c r="J137" s="662">
        <v>0</v>
      </c>
      <c r="K137" s="662">
        <v>0</v>
      </c>
      <c r="L137" s="662">
        <v>52.355020540747105</v>
      </c>
      <c r="M137" s="662">
        <v>0</v>
      </c>
      <c r="N137" s="662">
        <v>0</v>
      </c>
      <c r="O137" s="662">
        <v>0</v>
      </c>
      <c r="P137" s="662">
        <v>0</v>
      </c>
      <c r="Q137" s="662">
        <v>0</v>
      </c>
      <c r="R137" s="662">
        <v>0</v>
      </c>
      <c r="S137" s="662">
        <v>0</v>
      </c>
      <c r="T137" s="662">
        <v>0</v>
      </c>
      <c r="U137" s="662">
        <v>0</v>
      </c>
      <c r="V137" s="662">
        <v>0</v>
      </c>
      <c r="W137" s="660">
        <v>1746.2023502436227</v>
      </c>
      <c r="X137" s="662">
        <v>0</v>
      </c>
      <c r="Y137" s="662">
        <v>0</v>
      </c>
      <c r="Z137" s="662"/>
      <c r="AA137" s="662"/>
      <c r="AB137" s="662"/>
      <c r="AC137" s="662">
        <v>0</v>
      </c>
      <c r="AD137" s="662">
        <v>223.51199006401069</v>
      </c>
      <c r="AE137" s="662">
        <v>702.49355116079107</v>
      </c>
      <c r="AF137" s="662">
        <v>0</v>
      </c>
      <c r="AG137" s="662">
        <v>0</v>
      </c>
      <c r="AH137" s="662">
        <v>0</v>
      </c>
      <c r="AI137" s="662">
        <v>0</v>
      </c>
      <c r="AJ137" s="662">
        <v>0</v>
      </c>
      <c r="AK137" s="662">
        <v>0</v>
      </c>
      <c r="AL137" s="662">
        <v>0</v>
      </c>
      <c r="AM137" s="662">
        <v>0</v>
      </c>
      <c r="AN137" s="662">
        <v>13.542562338779019</v>
      </c>
      <c r="AO137" s="662">
        <v>41.129263399254796</v>
      </c>
      <c r="AP137" s="662">
        <v>357.69561478933792</v>
      </c>
      <c r="AQ137" s="662">
        <v>395.4093818668195</v>
      </c>
      <c r="AR137" s="662">
        <v>0</v>
      </c>
      <c r="AS137" s="662">
        <v>12.419986624629788</v>
      </c>
      <c r="AT137" s="660">
        <v>503.20053501480839</v>
      </c>
      <c r="AU137" s="662">
        <v>503.20053501480839</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c r="A140" s="680" t="s">
        <v>968</v>
      </c>
      <c r="B140" s="679" t="s">
        <v>1034</v>
      </c>
      <c r="C140" s="679"/>
      <c r="D140" s="679"/>
      <c r="E140" s="679"/>
      <c r="F140" s="678" t="s">
        <v>1033</v>
      </c>
      <c r="G140" s="678"/>
      <c r="H140" s="677">
        <v>2249.4028852584311</v>
      </c>
      <c r="I140" s="674"/>
      <c r="J140" s="676"/>
      <c r="K140" s="676"/>
      <c r="L140" s="676"/>
      <c r="M140" s="676"/>
      <c r="N140" s="676"/>
      <c r="O140" s="676"/>
      <c r="P140" s="676"/>
      <c r="Q140" s="676"/>
      <c r="R140" s="676"/>
      <c r="S140" s="676"/>
      <c r="T140" s="676"/>
      <c r="U140" s="676"/>
      <c r="V140" s="676"/>
      <c r="W140" s="674">
        <v>1746.2023502436227</v>
      </c>
      <c r="X140" s="676">
        <v>0</v>
      </c>
      <c r="Y140" s="676">
        <v>0</v>
      </c>
      <c r="Z140" s="676"/>
      <c r="AA140" s="676"/>
      <c r="AB140" s="676"/>
      <c r="AC140" s="676">
        <v>0</v>
      </c>
      <c r="AD140" s="676">
        <v>223.51199006401069</v>
      </c>
      <c r="AE140" s="676">
        <v>702.49355116079107</v>
      </c>
      <c r="AF140" s="676">
        <v>0</v>
      </c>
      <c r="AG140" s="676">
        <v>0</v>
      </c>
      <c r="AH140" s="676">
        <v>0</v>
      </c>
      <c r="AI140" s="676">
        <v>0</v>
      </c>
      <c r="AJ140" s="676">
        <v>0</v>
      </c>
      <c r="AK140" s="676">
        <v>0</v>
      </c>
      <c r="AL140" s="676">
        <v>0</v>
      </c>
      <c r="AM140" s="676">
        <v>0</v>
      </c>
      <c r="AN140" s="676">
        <v>13.542562338779019</v>
      </c>
      <c r="AO140" s="676">
        <v>41.129263399254796</v>
      </c>
      <c r="AP140" s="676">
        <v>357.69561478933792</v>
      </c>
      <c r="AQ140" s="676">
        <v>395.4093818668195</v>
      </c>
      <c r="AR140" s="676">
        <v>0</v>
      </c>
      <c r="AS140" s="676">
        <v>12.419986624629788</v>
      </c>
      <c r="AT140" s="674">
        <v>503.20053501480839</v>
      </c>
      <c r="AU140" s="676">
        <v>503.20053501480839</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1468.1379573898919</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964.93742237508354</v>
      </c>
      <c r="X141" s="699"/>
      <c r="Y141" s="699"/>
      <c r="Z141" s="699"/>
      <c r="AA141" s="699"/>
      <c r="AB141" s="699"/>
      <c r="AC141" s="699"/>
      <c r="AD141" s="699">
        <v>223.51199006401069</v>
      </c>
      <c r="AE141" s="699">
        <v>700.29616891181809</v>
      </c>
      <c r="AF141" s="699"/>
      <c r="AG141" s="699"/>
      <c r="AH141" s="699"/>
      <c r="AI141" s="699"/>
      <c r="AJ141" s="699"/>
      <c r="AK141" s="699"/>
      <c r="AL141" s="699"/>
      <c r="AM141" s="699">
        <v>0</v>
      </c>
      <c r="AN141" s="699">
        <v>13.542562338779019</v>
      </c>
      <c r="AO141" s="699"/>
      <c r="AP141" s="699"/>
      <c r="AQ141" s="699">
        <v>27.586701060475779</v>
      </c>
      <c r="AR141" s="699"/>
      <c r="AS141" s="699"/>
      <c r="AT141" s="697">
        <v>503.20053501480839</v>
      </c>
      <c r="AU141" s="699">
        <v>503.20053501480839</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c r="A144" s="695" t="s">
        <v>968</v>
      </c>
      <c r="B144" s="694" t="s">
        <v>1026</v>
      </c>
      <c r="C144" s="694"/>
      <c r="D144" s="694"/>
      <c r="E144" s="694"/>
      <c r="F144" s="693" t="s">
        <v>1025</v>
      </c>
      <c r="G144" s="693"/>
      <c r="H144" s="692">
        <v>52.355020540747105</v>
      </c>
      <c r="I144" s="689">
        <v>52.355020540747105</v>
      </c>
      <c r="J144" s="691">
        <v>0</v>
      </c>
      <c r="K144" s="691">
        <v>0</v>
      </c>
      <c r="L144" s="691">
        <v>52.355020540747105</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c r="A145" s="665" t="s">
        <v>1024</v>
      </c>
      <c r="B145" s="665"/>
      <c r="C145" s="665"/>
      <c r="D145" s="665"/>
      <c r="E145" s="665"/>
      <c r="F145" s="664" t="s">
        <v>1023</v>
      </c>
      <c r="G145" s="664"/>
      <c r="H145" s="663">
        <v>18690.885640584693</v>
      </c>
      <c r="I145" s="660">
        <v>613.09353205311925</v>
      </c>
      <c r="J145" s="662">
        <v>0</v>
      </c>
      <c r="K145" s="662">
        <v>0</v>
      </c>
      <c r="L145" s="662">
        <v>409.40575140919077</v>
      </c>
      <c r="M145" s="662">
        <v>0</v>
      </c>
      <c r="N145" s="662">
        <v>0</v>
      </c>
      <c r="O145" s="662">
        <v>0</v>
      </c>
      <c r="P145" s="662">
        <v>203.68778064392853</v>
      </c>
      <c r="Q145" s="662">
        <v>0</v>
      </c>
      <c r="R145" s="662">
        <v>0</v>
      </c>
      <c r="S145" s="662">
        <v>0</v>
      </c>
      <c r="T145" s="662">
        <v>0</v>
      </c>
      <c r="U145" s="662">
        <v>0</v>
      </c>
      <c r="V145" s="662">
        <v>0</v>
      </c>
      <c r="W145" s="660">
        <v>6905.6797554218019</v>
      </c>
      <c r="X145" s="662"/>
      <c r="Y145" s="662"/>
      <c r="Z145" s="662"/>
      <c r="AA145" s="662"/>
      <c r="AB145" s="662"/>
      <c r="AC145" s="662"/>
      <c r="AD145" s="662">
        <v>265.35779115314796</v>
      </c>
      <c r="AE145" s="662">
        <v>222.4132989395242</v>
      </c>
      <c r="AF145" s="662">
        <v>1156.0619088564058</v>
      </c>
      <c r="AG145" s="662">
        <v>2.1018438903219643</v>
      </c>
      <c r="AH145" s="662"/>
      <c r="AI145" s="662">
        <v>803.14321199961785</v>
      </c>
      <c r="AJ145" s="662">
        <v>49.417216012228906</v>
      </c>
      <c r="AK145" s="662"/>
      <c r="AL145" s="662">
        <v>4265.6682908187631</v>
      </c>
      <c r="AM145" s="662">
        <v>128.97678417884779</v>
      </c>
      <c r="AN145" s="662"/>
      <c r="AO145" s="662"/>
      <c r="AP145" s="662"/>
      <c r="AQ145" s="662">
        <v>12.539409572943537</v>
      </c>
      <c r="AR145" s="662"/>
      <c r="AS145" s="662"/>
      <c r="AT145" s="660">
        <v>340.59424859080917</v>
      </c>
      <c r="AU145" s="662">
        <v>303.19098117894333</v>
      </c>
      <c r="AV145" s="662">
        <v>0</v>
      </c>
      <c r="AW145" s="662">
        <v>37.379382822203112</v>
      </c>
      <c r="AX145" s="662">
        <v>0</v>
      </c>
      <c r="AY145" s="662">
        <v>0</v>
      </c>
      <c r="AZ145" s="660">
        <v>1240.4939333142256</v>
      </c>
      <c r="BA145" s="662"/>
      <c r="BB145" s="662"/>
      <c r="BC145" s="662"/>
      <c r="BD145" s="662">
        <v>0</v>
      </c>
      <c r="BE145" s="662"/>
      <c r="BF145" s="662">
        <v>1091.7407088946211</v>
      </c>
      <c r="BG145" s="662">
        <v>0</v>
      </c>
      <c r="BH145" s="662">
        <v>11.918410241712047</v>
      </c>
      <c r="BI145" s="662">
        <v>21.711092003439379</v>
      </c>
      <c r="BJ145" s="662">
        <v>7.6908378714053685</v>
      </c>
      <c r="BK145" s="662">
        <v>105.4743479507022</v>
      </c>
      <c r="BL145" s="662">
        <v>0</v>
      </c>
      <c r="BM145" s="662">
        <v>1.9824209420082162</v>
      </c>
      <c r="BN145" s="662">
        <v>0</v>
      </c>
      <c r="BO145" s="660">
        <v>21.711092003439379</v>
      </c>
      <c r="BP145" s="662">
        <v>0</v>
      </c>
      <c r="BQ145" s="662">
        <v>21.711092003439379</v>
      </c>
      <c r="BR145" s="661"/>
      <c r="BS145" s="661">
        <v>335.55460017196901</v>
      </c>
      <c r="BT145" s="660">
        <v>9233.7823636189933</v>
      </c>
    </row>
    <row r="146" spans="1:72">
      <c r="A146" s="688" t="s">
        <v>968</v>
      </c>
      <c r="B146" s="687" t="s">
        <v>1022</v>
      </c>
      <c r="C146" s="687"/>
      <c r="D146" s="687"/>
      <c r="E146" s="687"/>
      <c r="F146" s="686" t="s">
        <v>1021</v>
      </c>
      <c r="G146" s="686"/>
      <c r="H146" s="685">
        <v>6097.9029330276098</v>
      </c>
      <c r="I146" s="682">
        <v>613.09353205311925</v>
      </c>
      <c r="J146" s="684">
        <v>0</v>
      </c>
      <c r="K146" s="684">
        <v>0</v>
      </c>
      <c r="L146" s="684">
        <v>409.40575140919077</v>
      </c>
      <c r="M146" s="684">
        <v>0</v>
      </c>
      <c r="N146" s="684">
        <v>0</v>
      </c>
      <c r="O146" s="684">
        <v>0</v>
      </c>
      <c r="P146" s="684">
        <v>203.68778064392853</v>
      </c>
      <c r="Q146" s="684">
        <v>0</v>
      </c>
      <c r="R146" s="684">
        <v>0</v>
      </c>
      <c r="S146" s="684">
        <v>0</v>
      </c>
      <c r="T146" s="684">
        <v>0</v>
      </c>
      <c r="U146" s="684">
        <v>0</v>
      </c>
      <c r="V146" s="684">
        <v>0</v>
      </c>
      <c r="W146" s="682">
        <v>936.56252985573701</v>
      </c>
      <c r="X146" s="684"/>
      <c r="Y146" s="684"/>
      <c r="Z146" s="684"/>
      <c r="AA146" s="684"/>
      <c r="AB146" s="684"/>
      <c r="AC146" s="684"/>
      <c r="AD146" s="684">
        <v>265.35779115314796</v>
      </c>
      <c r="AE146" s="684">
        <v>192.70086939906372</v>
      </c>
      <c r="AF146" s="684">
        <v>0</v>
      </c>
      <c r="AG146" s="684"/>
      <c r="AH146" s="684"/>
      <c r="AI146" s="684">
        <v>0</v>
      </c>
      <c r="AJ146" s="684"/>
      <c r="AK146" s="684"/>
      <c r="AL146" s="684">
        <v>391.46842457246584</v>
      </c>
      <c r="AM146" s="684">
        <v>74.519919747778729</v>
      </c>
      <c r="AN146" s="684"/>
      <c r="AO146" s="684"/>
      <c r="AP146" s="684"/>
      <c r="AQ146" s="684">
        <v>12.539409572943537</v>
      </c>
      <c r="AR146" s="684"/>
      <c r="AS146" s="684"/>
      <c r="AT146" s="682">
        <v>247.0621954714818</v>
      </c>
      <c r="AU146" s="684">
        <v>209.68281264927867</v>
      </c>
      <c r="AV146" s="684">
        <v>0</v>
      </c>
      <c r="AW146" s="684">
        <v>37.379382822203112</v>
      </c>
      <c r="AX146" s="684">
        <v>0</v>
      </c>
      <c r="AY146" s="684">
        <v>0</v>
      </c>
      <c r="AZ146" s="682">
        <v>458.77519824209418</v>
      </c>
      <c r="BA146" s="684"/>
      <c r="BB146" s="684"/>
      <c r="BC146" s="684"/>
      <c r="BD146" s="684">
        <v>0</v>
      </c>
      <c r="BE146" s="684"/>
      <c r="BF146" s="684">
        <v>437.0641062386548</v>
      </c>
      <c r="BG146" s="684">
        <v>0</v>
      </c>
      <c r="BH146" s="684">
        <v>0</v>
      </c>
      <c r="BI146" s="684">
        <v>21.711092003439379</v>
      </c>
      <c r="BJ146" s="684">
        <v>0</v>
      </c>
      <c r="BK146" s="684">
        <v>0</v>
      </c>
      <c r="BL146" s="684">
        <v>0</v>
      </c>
      <c r="BM146" s="684">
        <v>0</v>
      </c>
      <c r="BN146" s="684">
        <v>0</v>
      </c>
      <c r="BO146" s="682">
        <v>21.711092003439379</v>
      </c>
      <c r="BP146" s="684">
        <v>0</v>
      </c>
      <c r="BQ146" s="684">
        <v>21.711092003439379</v>
      </c>
      <c r="BR146" s="683"/>
      <c r="BS146" s="683">
        <v>33.701156014139677</v>
      </c>
      <c r="BT146" s="682">
        <v>3787.0211139772618</v>
      </c>
    </row>
    <row r="147" spans="1:72">
      <c r="A147" s="681"/>
      <c r="B147" s="680" t="s">
        <v>968</v>
      </c>
      <c r="C147" s="679" t="s">
        <v>1020</v>
      </c>
      <c r="D147" s="679"/>
      <c r="E147" s="679"/>
      <c r="F147" s="678" t="s">
        <v>1019</v>
      </c>
      <c r="G147" s="678"/>
      <c r="H147" s="677">
        <v>805.91382440049676</v>
      </c>
      <c r="I147" s="674">
        <v>327.6965701729244</v>
      </c>
      <c r="J147" s="676">
        <v>0</v>
      </c>
      <c r="K147" s="676">
        <v>0</v>
      </c>
      <c r="L147" s="676">
        <v>182.54991879239515</v>
      </c>
      <c r="M147" s="676">
        <v>0</v>
      </c>
      <c r="N147" s="676">
        <v>0</v>
      </c>
      <c r="O147" s="676">
        <v>0</v>
      </c>
      <c r="P147" s="676">
        <v>145.14665138052928</v>
      </c>
      <c r="Q147" s="676">
        <v>0</v>
      </c>
      <c r="R147" s="676">
        <v>0</v>
      </c>
      <c r="S147" s="676">
        <v>0</v>
      </c>
      <c r="T147" s="676">
        <v>0</v>
      </c>
      <c r="U147" s="676">
        <v>0</v>
      </c>
      <c r="V147" s="676">
        <v>0</v>
      </c>
      <c r="W147" s="674">
        <v>15.071176077194993</v>
      </c>
      <c r="X147" s="676"/>
      <c r="Y147" s="676"/>
      <c r="Z147" s="676"/>
      <c r="AA147" s="676"/>
      <c r="AB147" s="676"/>
      <c r="AC147" s="676"/>
      <c r="AD147" s="676"/>
      <c r="AE147" s="676">
        <v>3.2960733734594436</v>
      </c>
      <c r="AF147" s="676">
        <v>0</v>
      </c>
      <c r="AG147" s="676"/>
      <c r="AH147" s="676"/>
      <c r="AI147" s="676">
        <v>0</v>
      </c>
      <c r="AJ147" s="676"/>
      <c r="AK147" s="676"/>
      <c r="AL147" s="676">
        <v>9.2672207891468421</v>
      </c>
      <c r="AM147" s="676">
        <v>0</v>
      </c>
      <c r="AN147" s="676"/>
      <c r="AO147" s="676"/>
      <c r="AP147" s="676"/>
      <c r="AQ147" s="676">
        <v>2.5078819145887072</v>
      </c>
      <c r="AR147" s="676"/>
      <c r="AS147" s="676"/>
      <c r="AT147" s="674">
        <v>16.647558994936468</v>
      </c>
      <c r="AU147" s="676">
        <v>0.97926817617273332</v>
      </c>
      <c r="AV147" s="676">
        <v>0</v>
      </c>
      <c r="AW147" s="676">
        <v>15.668290818763733</v>
      </c>
      <c r="AX147" s="676">
        <v>0</v>
      </c>
      <c r="AY147" s="676">
        <v>0</v>
      </c>
      <c r="AZ147" s="674">
        <v>2.7228432215534535</v>
      </c>
      <c r="BA147" s="676"/>
      <c r="BB147" s="676"/>
      <c r="BC147" s="676"/>
      <c r="BD147" s="676">
        <v>0</v>
      </c>
      <c r="BE147" s="676"/>
      <c r="BF147" s="676">
        <v>2.7228432215534535</v>
      </c>
      <c r="BG147" s="676">
        <v>0</v>
      </c>
      <c r="BH147" s="676">
        <v>0</v>
      </c>
      <c r="BI147" s="676">
        <v>0</v>
      </c>
      <c r="BJ147" s="676">
        <v>0</v>
      </c>
      <c r="BK147" s="676">
        <v>0</v>
      </c>
      <c r="BL147" s="676">
        <v>0</v>
      </c>
      <c r="BM147" s="676">
        <v>0</v>
      </c>
      <c r="BN147" s="676">
        <v>0</v>
      </c>
      <c r="BO147" s="674">
        <v>0</v>
      </c>
      <c r="BP147" s="676">
        <v>0</v>
      </c>
      <c r="BQ147" s="676">
        <v>0</v>
      </c>
      <c r="BR147" s="675"/>
      <c r="BS147" s="675">
        <v>0.16719212763924715</v>
      </c>
      <c r="BT147" s="674">
        <v>443.58459921658545</v>
      </c>
    </row>
    <row r="148" spans="1:72">
      <c r="A148" s="681"/>
      <c r="B148" s="680" t="s">
        <v>968</v>
      </c>
      <c r="C148" s="679" t="s">
        <v>1018</v>
      </c>
      <c r="D148" s="679"/>
      <c r="E148" s="679"/>
      <c r="F148" s="678" t="s">
        <v>1017</v>
      </c>
      <c r="G148" s="678"/>
      <c r="H148" s="677">
        <v>1391.15792490685</v>
      </c>
      <c r="I148" s="674">
        <v>198.67201681475112</v>
      </c>
      <c r="J148" s="676">
        <v>0</v>
      </c>
      <c r="K148" s="676">
        <v>0</v>
      </c>
      <c r="L148" s="676">
        <v>150.32960733734595</v>
      </c>
      <c r="M148" s="676">
        <v>0</v>
      </c>
      <c r="N148" s="676">
        <v>0</v>
      </c>
      <c r="O148" s="676">
        <v>0</v>
      </c>
      <c r="P148" s="676">
        <v>48.342409477405177</v>
      </c>
      <c r="Q148" s="676">
        <v>0</v>
      </c>
      <c r="R148" s="676">
        <v>0</v>
      </c>
      <c r="S148" s="676">
        <v>0</v>
      </c>
      <c r="T148" s="676">
        <v>0</v>
      </c>
      <c r="U148" s="676">
        <v>0</v>
      </c>
      <c r="V148" s="676">
        <v>0</v>
      </c>
      <c r="W148" s="674">
        <v>402.95691220024838</v>
      </c>
      <c r="X148" s="676"/>
      <c r="Y148" s="676"/>
      <c r="Z148" s="676"/>
      <c r="AA148" s="676"/>
      <c r="AB148" s="676"/>
      <c r="AC148" s="676"/>
      <c r="AD148" s="676">
        <v>265.35779115314796</v>
      </c>
      <c r="AE148" s="676">
        <v>69.360848380624816</v>
      </c>
      <c r="AF148" s="676"/>
      <c r="AG148" s="676"/>
      <c r="AH148" s="676"/>
      <c r="AI148" s="676"/>
      <c r="AJ148" s="676"/>
      <c r="AK148" s="676"/>
      <c r="AL148" s="676">
        <v>48.15133276010318</v>
      </c>
      <c r="AM148" s="676">
        <v>20.063055316709658</v>
      </c>
      <c r="AN148" s="676"/>
      <c r="AO148" s="676"/>
      <c r="AP148" s="676"/>
      <c r="AQ148" s="676"/>
      <c r="AR148" s="676"/>
      <c r="AS148" s="676"/>
      <c r="AT148" s="674">
        <v>95.610012419986617</v>
      </c>
      <c r="AU148" s="676">
        <v>78.723607528422662</v>
      </c>
      <c r="AV148" s="676">
        <v>0</v>
      </c>
      <c r="AW148" s="676">
        <v>16.886404891563963</v>
      </c>
      <c r="AX148" s="676">
        <v>0</v>
      </c>
      <c r="AY148" s="676">
        <v>0</v>
      </c>
      <c r="AZ148" s="674">
        <v>21.281169389509888</v>
      </c>
      <c r="BA148" s="676"/>
      <c r="BB148" s="676"/>
      <c r="BC148" s="676"/>
      <c r="BD148" s="676">
        <v>0</v>
      </c>
      <c r="BE148" s="676"/>
      <c r="BF148" s="676">
        <v>18.510556988630935</v>
      </c>
      <c r="BG148" s="676">
        <v>0</v>
      </c>
      <c r="BH148" s="676">
        <v>0</v>
      </c>
      <c r="BI148" s="676">
        <v>2.7706124008789526</v>
      </c>
      <c r="BJ148" s="676">
        <v>0</v>
      </c>
      <c r="BK148" s="676">
        <v>0</v>
      </c>
      <c r="BL148" s="676">
        <v>0</v>
      </c>
      <c r="BM148" s="676">
        <v>0</v>
      </c>
      <c r="BN148" s="676">
        <v>0</v>
      </c>
      <c r="BO148" s="674">
        <v>2.7706124008789526</v>
      </c>
      <c r="BP148" s="676">
        <v>0</v>
      </c>
      <c r="BQ148" s="676">
        <v>2.7706124008789526</v>
      </c>
      <c r="BR148" s="675"/>
      <c r="BS148" s="675">
        <v>11.416833858794305</v>
      </c>
      <c r="BT148" s="674">
        <v>658.4742524123435</v>
      </c>
    </row>
    <row r="149" spans="1:72">
      <c r="A149" s="681"/>
      <c r="B149" s="680" t="s">
        <v>968</v>
      </c>
      <c r="C149" s="679" t="s">
        <v>1016</v>
      </c>
      <c r="D149" s="679"/>
      <c r="E149" s="679"/>
      <c r="F149" s="678" t="s">
        <v>1015</v>
      </c>
      <c r="G149" s="678"/>
      <c r="H149" s="677">
        <v>1688.8076812840354</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31.885927199770705</v>
      </c>
      <c r="X149" s="676"/>
      <c r="Y149" s="676"/>
      <c r="Z149" s="676"/>
      <c r="AA149" s="676"/>
      <c r="AB149" s="676"/>
      <c r="AC149" s="676"/>
      <c r="AD149" s="676"/>
      <c r="AE149" s="676">
        <v>22.021591669055123</v>
      </c>
      <c r="AF149" s="676"/>
      <c r="AG149" s="676"/>
      <c r="AH149" s="676"/>
      <c r="AI149" s="676"/>
      <c r="AJ149" s="676"/>
      <c r="AK149" s="676"/>
      <c r="AL149" s="676">
        <v>8.1924142543231095</v>
      </c>
      <c r="AM149" s="676">
        <v>0</v>
      </c>
      <c r="AN149" s="676"/>
      <c r="AO149" s="676"/>
      <c r="AP149" s="676"/>
      <c r="AQ149" s="676">
        <v>1.6719212763924716</v>
      </c>
      <c r="AR149" s="676"/>
      <c r="AS149" s="676"/>
      <c r="AT149" s="674">
        <v>41.320340116556793</v>
      </c>
      <c r="AU149" s="676">
        <v>41.320340116556793</v>
      </c>
      <c r="AV149" s="676">
        <v>0</v>
      </c>
      <c r="AW149" s="676">
        <v>0</v>
      </c>
      <c r="AX149" s="676">
        <v>0</v>
      </c>
      <c r="AY149" s="676">
        <v>0</v>
      </c>
      <c r="AZ149" s="674">
        <v>0.31049966561574471</v>
      </c>
      <c r="BA149" s="676"/>
      <c r="BB149" s="676"/>
      <c r="BC149" s="676"/>
      <c r="BD149" s="676">
        <v>0</v>
      </c>
      <c r="BE149" s="676"/>
      <c r="BF149" s="676">
        <v>0.31049966561574471</v>
      </c>
      <c r="BG149" s="676">
        <v>0</v>
      </c>
      <c r="BH149" s="676">
        <v>0</v>
      </c>
      <c r="BI149" s="676">
        <v>0</v>
      </c>
      <c r="BJ149" s="676">
        <v>0</v>
      </c>
      <c r="BK149" s="676">
        <v>0</v>
      </c>
      <c r="BL149" s="676">
        <v>0</v>
      </c>
      <c r="BM149" s="676">
        <v>0</v>
      </c>
      <c r="BN149" s="676">
        <v>0</v>
      </c>
      <c r="BO149" s="674">
        <v>0</v>
      </c>
      <c r="BP149" s="676">
        <v>0</v>
      </c>
      <c r="BQ149" s="676">
        <v>0</v>
      </c>
      <c r="BR149" s="675"/>
      <c r="BS149" s="675">
        <v>0.76430686920798696</v>
      </c>
      <c r="BT149" s="674">
        <v>1614.5266074328842</v>
      </c>
    </row>
    <row r="150" spans="1:72">
      <c r="A150" s="681"/>
      <c r="B150" s="680" t="s">
        <v>968</v>
      </c>
      <c r="C150" s="679" t="s">
        <v>1014</v>
      </c>
      <c r="D150" s="679"/>
      <c r="E150" s="679"/>
      <c r="F150" s="678" t="s">
        <v>1013</v>
      </c>
      <c r="G150" s="678"/>
      <c r="H150" s="677">
        <v>302.97601987197856</v>
      </c>
      <c r="I150" s="674">
        <v>86.724945065443777</v>
      </c>
      <c r="J150" s="676">
        <v>0</v>
      </c>
      <c r="K150" s="676">
        <v>0</v>
      </c>
      <c r="L150" s="676">
        <v>76.502340689786948</v>
      </c>
      <c r="M150" s="676">
        <v>0</v>
      </c>
      <c r="N150" s="676">
        <v>0</v>
      </c>
      <c r="O150" s="676">
        <v>0</v>
      </c>
      <c r="P150" s="676">
        <v>10.222604375656825</v>
      </c>
      <c r="Q150" s="676">
        <v>0</v>
      </c>
      <c r="R150" s="676">
        <v>0</v>
      </c>
      <c r="S150" s="676">
        <v>0</v>
      </c>
      <c r="T150" s="676">
        <v>0</v>
      </c>
      <c r="U150" s="676">
        <v>0</v>
      </c>
      <c r="V150" s="676">
        <v>0</v>
      </c>
      <c r="W150" s="674">
        <v>73.851151237221742</v>
      </c>
      <c r="X150" s="676"/>
      <c r="Y150" s="676"/>
      <c r="Z150" s="676"/>
      <c r="AA150" s="676"/>
      <c r="AB150" s="676"/>
      <c r="AC150" s="676"/>
      <c r="AD150" s="676"/>
      <c r="AE150" s="676">
        <v>42.944492213623768</v>
      </c>
      <c r="AF150" s="676"/>
      <c r="AG150" s="676"/>
      <c r="AH150" s="676"/>
      <c r="AI150" s="676"/>
      <c r="AJ150" s="676"/>
      <c r="AK150" s="676"/>
      <c r="AL150" s="676">
        <v>22.547052641635617</v>
      </c>
      <c r="AM150" s="676">
        <v>0</v>
      </c>
      <c r="AN150" s="676"/>
      <c r="AO150" s="676"/>
      <c r="AP150" s="676"/>
      <c r="AQ150" s="676">
        <v>8.3596063819623581</v>
      </c>
      <c r="AR150" s="676"/>
      <c r="AS150" s="676"/>
      <c r="AT150" s="674">
        <v>32.411388172351195</v>
      </c>
      <c r="AU150" s="676">
        <v>27.586701060475779</v>
      </c>
      <c r="AV150" s="676">
        <v>0</v>
      </c>
      <c r="AW150" s="676">
        <v>4.8246871118754173</v>
      </c>
      <c r="AX150" s="676">
        <v>0</v>
      </c>
      <c r="AY150" s="676">
        <v>0</v>
      </c>
      <c r="AZ150" s="674">
        <v>21.973822489729624</v>
      </c>
      <c r="BA150" s="676"/>
      <c r="BB150" s="676"/>
      <c r="BC150" s="676"/>
      <c r="BD150" s="676">
        <v>0</v>
      </c>
      <c r="BE150" s="676"/>
      <c r="BF150" s="676">
        <v>5.0635330085029135</v>
      </c>
      <c r="BG150" s="676">
        <v>0</v>
      </c>
      <c r="BH150" s="676">
        <v>0</v>
      </c>
      <c r="BI150" s="676">
        <v>16.910289481226712</v>
      </c>
      <c r="BJ150" s="676">
        <v>0</v>
      </c>
      <c r="BK150" s="676">
        <v>0</v>
      </c>
      <c r="BL150" s="676">
        <v>0</v>
      </c>
      <c r="BM150" s="676">
        <v>0</v>
      </c>
      <c r="BN150" s="676">
        <v>0</v>
      </c>
      <c r="BO150" s="674">
        <v>16.910289481226712</v>
      </c>
      <c r="BP150" s="676">
        <v>0</v>
      </c>
      <c r="BQ150" s="676">
        <v>16.910289481226712</v>
      </c>
      <c r="BR150" s="675"/>
      <c r="BS150" s="675">
        <v>0.69265310021973814</v>
      </c>
      <c r="BT150" s="674">
        <v>70.411770325785795</v>
      </c>
    </row>
    <row r="151" spans="1:72">
      <c r="A151" s="681"/>
      <c r="B151" s="680" t="s">
        <v>968</v>
      </c>
      <c r="C151" s="679" t="s">
        <v>1012</v>
      </c>
      <c r="D151" s="679"/>
      <c r="E151" s="679"/>
      <c r="F151" s="678" t="s">
        <v>1011</v>
      </c>
      <c r="G151" s="678"/>
      <c r="H151" s="677">
        <v>54.289672303429825</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8.5029139199388553</v>
      </c>
      <c r="X151" s="676"/>
      <c r="Y151" s="676"/>
      <c r="Z151" s="676"/>
      <c r="AA151" s="676"/>
      <c r="AB151" s="676"/>
      <c r="AC151" s="676"/>
      <c r="AD151" s="676"/>
      <c r="AE151" s="676">
        <v>4.3947644979459248</v>
      </c>
      <c r="AF151" s="676"/>
      <c r="AG151" s="676"/>
      <c r="AH151" s="676"/>
      <c r="AI151" s="676"/>
      <c r="AJ151" s="676"/>
      <c r="AK151" s="676"/>
      <c r="AL151" s="676">
        <v>4.1081494219929295</v>
      </c>
      <c r="AM151" s="676">
        <v>0</v>
      </c>
      <c r="AN151" s="676"/>
      <c r="AO151" s="676"/>
      <c r="AP151" s="676"/>
      <c r="AQ151" s="676"/>
      <c r="AR151" s="676"/>
      <c r="AS151" s="676"/>
      <c r="AT151" s="674">
        <v>0.78819145887073661</v>
      </c>
      <c r="AU151" s="676">
        <v>0.78819145887073661</v>
      </c>
      <c r="AV151" s="676">
        <v>0</v>
      </c>
      <c r="AW151" s="676">
        <v>0</v>
      </c>
      <c r="AX151" s="676">
        <v>0</v>
      </c>
      <c r="AY151" s="676">
        <v>0</v>
      </c>
      <c r="AZ151" s="674">
        <v>7.1653768988248781E-2</v>
      </c>
      <c r="BA151" s="676"/>
      <c r="BB151" s="676"/>
      <c r="BC151" s="676"/>
      <c r="BD151" s="676">
        <v>0</v>
      </c>
      <c r="BE151" s="676"/>
      <c r="BF151" s="676">
        <v>7.1653768988248781E-2</v>
      </c>
      <c r="BG151" s="676">
        <v>0</v>
      </c>
      <c r="BH151" s="676">
        <v>0</v>
      </c>
      <c r="BI151" s="676">
        <v>0</v>
      </c>
      <c r="BJ151" s="676">
        <v>0</v>
      </c>
      <c r="BK151" s="676">
        <v>0</v>
      </c>
      <c r="BL151" s="676">
        <v>0</v>
      </c>
      <c r="BM151" s="676">
        <v>0</v>
      </c>
      <c r="BN151" s="676">
        <v>0</v>
      </c>
      <c r="BO151" s="674">
        <v>0</v>
      </c>
      <c r="BP151" s="676">
        <v>0</v>
      </c>
      <c r="BQ151" s="676">
        <v>0</v>
      </c>
      <c r="BR151" s="675"/>
      <c r="BS151" s="675">
        <v>3.224419604471195</v>
      </c>
      <c r="BT151" s="674">
        <v>41.702493551160792</v>
      </c>
    </row>
    <row r="152" spans="1:72">
      <c r="A152" s="681"/>
      <c r="B152" s="680" t="s">
        <v>968</v>
      </c>
      <c r="C152" s="679" t="s">
        <v>1010</v>
      </c>
      <c r="D152" s="679"/>
      <c r="E152" s="679"/>
      <c r="F152" s="678" t="s">
        <v>1009</v>
      </c>
      <c r="G152" s="678"/>
      <c r="H152" s="677">
        <v>109.82134326932263</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14.497945925289002</v>
      </c>
      <c r="X152" s="676"/>
      <c r="Y152" s="676"/>
      <c r="Z152" s="676"/>
      <c r="AA152" s="676"/>
      <c r="AB152" s="676"/>
      <c r="AC152" s="676"/>
      <c r="AD152" s="676"/>
      <c r="AE152" s="676">
        <v>2.1973822489729624</v>
      </c>
      <c r="AF152" s="676"/>
      <c r="AG152" s="676"/>
      <c r="AH152" s="676"/>
      <c r="AI152" s="676"/>
      <c r="AJ152" s="676"/>
      <c r="AK152" s="676"/>
      <c r="AL152" s="676">
        <v>12.30056367631604</v>
      </c>
      <c r="AM152" s="676">
        <v>0</v>
      </c>
      <c r="AN152" s="676"/>
      <c r="AO152" s="676"/>
      <c r="AP152" s="676"/>
      <c r="AQ152" s="676"/>
      <c r="AR152" s="676"/>
      <c r="AS152" s="676"/>
      <c r="AT152" s="674">
        <v>4.0364956530046809</v>
      </c>
      <c r="AU152" s="676">
        <v>4.0364956530046809</v>
      </c>
      <c r="AV152" s="676">
        <v>0</v>
      </c>
      <c r="AW152" s="676">
        <v>0</v>
      </c>
      <c r="AX152" s="676">
        <v>0</v>
      </c>
      <c r="AY152" s="676">
        <v>0</v>
      </c>
      <c r="AZ152" s="674">
        <v>7.1653768988248781E-2</v>
      </c>
      <c r="BA152" s="676"/>
      <c r="BB152" s="676"/>
      <c r="BC152" s="676"/>
      <c r="BD152" s="676">
        <v>0</v>
      </c>
      <c r="BE152" s="676"/>
      <c r="BF152" s="676">
        <v>7.1653768988248781E-2</v>
      </c>
      <c r="BG152" s="676">
        <v>0</v>
      </c>
      <c r="BH152" s="676">
        <v>0</v>
      </c>
      <c r="BI152" s="676">
        <v>0</v>
      </c>
      <c r="BJ152" s="676">
        <v>0</v>
      </c>
      <c r="BK152" s="676">
        <v>0</v>
      </c>
      <c r="BL152" s="676">
        <v>0</v>
      </c>
      <c r="BM152" s="676">
        <v>0</v>
      </c>
      <c r="BN152" s="676">
        <v>0</v>
      </c>
      <c r="BO152" s="674">
        <v>0</v>
      </c>
      <c r="BP152" s="676">
        <v>0</v>
      </c>
      <c r="BQ152" s="676">
        <v>0</v>
      </c>
      <c r="BR152" s="675"/>
      <c r="BS152" s="675">
        <v>3.9409572943536828</v>
      </c>
      <c r="BT152" s="674">
        <v>87.274290627687009</v>
      </c>
    </row>
    <row r="153" spans="1:72">
      <c r="A153" s="681"/>
      <c r="B153" s="680" t="s">
        <v>968</v>
      </c>
      <c r="C153" s="679" t="s">
        <v>1008</v>
      </c>
      <c r="D153" s="679"/>
      <c r="E153" s="679"/>
      <c r="F153" s="678" t="s">
        <v>1007</v>
      </c>
      <c r="G153" s="678"/>
      <c r="H153" s="677">
        <v>126.87494028852583</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70.841692939715287</v>
      </c>
      <c r="X153" s="676"/>
      <c r="Y153" s="676"/>
      <c r="Z153" s="676"/>
      <c r="AA153" s="676"/>
      <c r="AB153" s="676"/>
      <c r="AC153" s="676"/>
      <c r="AD153" s="676"/>
      <c r="AE153" s="676">
        <v>2.1973822489729624</v>
      </c>
      <c r="AF153" s="676"/>
      <c r="AG153" s="676"/>
      <c r="AH153" s="676"/>
      <c r="AI153" s="676"/>
      <c r="AJ153" s="676"/>
      <c r="AK153" s="676"/>
      <c r="AL153" s="676">
        <v>68.64431069074233</v>
      </c>
      <c r="AM153" s="676">
        <v>0</v>
      </c>
      <c r="AN153" s="676"/>
      <c r="AO153" s="676"/>
      <c r="AP153" s="676"/>
      <c r="AQ153" s="676"/>
      <c r="AR153" s="676"/>
      <c r="AS153" s="676"/>
      <c r="AT153" s="674">
        <v>3.8454189357026842</v>
      </c>
      <c r="AU153" s="676">
        <v>3.8454189357026842</v>
      </c>
      <c r="AV153" s="676">
        <v>0</v>
      </c>
      <c r="AW153" s="676">
        <v>0</v>
      </c>
      <c r="AX153" s="676">
        <v>0</v>
      </c>
      <c r="AY153" s="676">
        <v>0</v>
      </c>
      <c r="AZ153" s="674">
        <v>0.57323015190599025</v>
      </c>
      <c r="BA153" s="676"/>
      <c r="BB153" s="676"/>
      <c r="BC153" s="676"/>
      <c r="BD153" s="676">
        <v>0</v>
      </c>
      <c r="BE153" s="676"/>
      <c r="BF153" s="676">
        <v>0.57323015190599025</v>
      </c>
      <c r="BG153" s="676">
        <v>0</v>
      </c>
      <c r="BH153" s="676">
        <v>0</v>
      </c>
      <c r="BI153" s="676">
        <v>0</v>
      </c>
      <c r="BJ153" s="676">
        <v>0</v>
      </c>
      <c r="BK153" s="676">
        <v>0</v>
      </c>
      <c r="BL153" s="676">
        <v>0</v>
      </c>
      <c r="BM153" s="676">
        <v>0</v>
      </c>
      <c r="BN153" s="676">
        <v>0</v>
      </c>
      <c r="BO153" s="674">
        <v>0</v>
      </c>
      <c r="BP153" s="676">
        <v>0</v>
      </c>
      <c r="BQ153" s="676">
        <v>0</v>
      </c>
      <c r="BR153" s="675"/>
      <c r="BS153" s="675">
        <v>9.553835865099837E-2</v>
      </c>
      <c r="BT153" s="674">
        <v>51.495175312888122</v>
      </c>
    </row>
    <row r="154" spans="1:72">
      <c r="A154" s="681"/>
      <c r="B154" s="680" t="s">
        <v>968</v>
      </c>
      <c r="C154" s="679" t="s">
        <v>1006</v>
      </c>
      <c r="D154" s="679"/>
      <c r="E154" s="679"/>
      <c r="F154" s="678" t="s">
        <v>1005</v>
      </c>
      <c r="G154" s="678"/>
      <c r="H154" s="677">
        <v>353.5635807776822</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78.222031145504914</v>
      </c>
      <c r="X154" s="676"/>
      <c r="Y154" s="676"/>
      <c r="Z154" s="676"/>
      <c r="AA154" s="676"/>
      <c r="AB154" s="676"/>
      <c r="AC154" s="676"/>
      <c r="AD154" s="676"/>
      <c r="AE154" s="676">
        <v>19.824209420082163</v>
      </c>
      <c r="AF154" s="676"/>
      <c r="AG154" s="676"/>
      <c r="AH154" s="676"/>
      <c r="AI154" s="676"/>
      <c r="AJ154" s="676"/>
      <c r="AK154" s="676"/>
      <c r="AL154" s="676">
        <v>58.397821725422752</v>
      </c>
      <c r="AM154" s="676">
        <v>0</v>
      </c>
      <c r="AN154" s="676"/>
      <c r="AO154" s="676"/>
      <c r="AP154" s="676"/>
      <c r="AQ154" s="676"/>
      <c r="AR154" s="676"/>
      <c r="AS154" s="676"/>
      <c r="AT154" s="674">
        <v>37.761536256807105</v>
      </c>
      <c r="AU154" s="676">
        <v>37.761536256807105</v>
      </c>
      <c r="AV154" s="676">
        <v>0</v>
      </c>
      <c r="AW154" s="676">
        <v>0</v>
      </c>
      <c r="AX154" s="676">
        <v>0</v>
      </c>
      <c r="AY154" s="676">
        <v>0</v>
      </c>
      <c r="AZ154" s="674">
        <v>5.5651093914206555</v>
      </c>
      <c r="BA154" s="676"/>
      <c r="BB154" s="676"/>
      <c r="BC154" s="676"/>
      <c r="BD154" s="676">
        <v>0</v>
      </c>
      <c r="BE154" s="676"/>
      <c r="BF154" s="676">
        <v>3.5349192700869398</v>
      </c>
      <c r="BG154" s="676">
        <v>0</v>
      </c>
      <c r="BH154" s="676">
        <v>0</v>
      </c>
      <c r="BI154" s="676">
        <v>2.0301901213337152</v>
      </c>
      <c r="BJ154" s="676">
        <v>0</v>
      </c>
      <c r="BK154" s="676">
        <v>0</v>
      </c>
      <c r="BL154" s="676">
        <v>0</v>
      </c>
      <c r="BM154" s="676">
        <v>0</v>
      </c>
      <c r="BN154" s="676">
        <v>0</v>
      </c>
      <c r="BO154" s="674">
        <v>2.0301901213337152</v>
      </c>
      <c r="BP154" s="676">
        <v>0</v>
      </c>
      <c r="BQ154" s="676">
        <v>2.0301901213337152</v>
      </c>
      <c r="BR154" s="675"/>
      <c r="BS154" s="675">
        <v>5.4695710327696565</v>
      </c>
      <c r="BT154" s="674">
        <v>224.51514282984618</v>
      </c>
    </row>
    <row r="155" spans="1:72">
      <c r="A155" s="681"/>
      <c r="B155" s="680" t="s">
        <v>968</v>
      </c>
      <c r="C155" s="679" t="s">
        <v>1004</v>
      </c>
      <c r="D155" s="679"/>
      <c r="E155" s="679"/>
      <c r="F155" s="678" t="s">
        <v>1003</v>
      </c>
      <c r="G155" s="678"/>
      <c r="H155" s="677">
        <v>773.93235884207502</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61.932740995509697</v>
      </c>
      <c r="X155" s="676"/>
      <c r="Y155" s="676"/>
      <c r="Z155" s="676"/>
      <c r="AA155" s="676"/>
      <c r="AB155" s="676"/>
      <c r="AC155" s="676"/>
      <c r="AD155" s="676"/>
      <c r="AE155" s="676">
        <v>4.3947644979459248</v>
      </c>
      <c r="AF155" s="676"/>
      <c r="AG155" s="676"/>
      <c r="AH155" s="676"/>
      <c r="AI155" s="676"/>
      <c r="AJ155" s="676"/>
      <c r="AK155" s="676"/>
      <c r="AL155" s="676">
        <v>3.0811120664946974</v>
      </c>
      <c r="AM155" s="676">
        <v>54.456864431069071</v>
      </c>
      <c r="AN155" s="676"/>
      <c r="AO155" s="676"/>
      <c r="AP155" s="676"/>
      <c r="AQ155" s="676"/>
      <c r="AR155" s="676"/>
      <c r="AS155" s="676"/>
      <c r="AT155" s="674">
        <v>2.4839973249259577</v>
      </c>
      <c r="AU155" s="676">
        <v>2.4839973249259577</v>
      </c>
      <c r="AV155" s="676">
        <v>0</v>
      </c>
      <c r="AW155" s="676">
        <v>0</v>
      </c>
      <c r="AX155" s="676">
        <v>0</v>
      </c>
      <c r="AY155" s="676">
        <v>0</v>
      </c>
      <c r="AZ155" s="674">
        <v>319.45638673927579</v>
      </c>
      <c r="BA155" s="676"/>
      <c r="BB155" s="676"/>
      <c r="BC155" s="676"/>
      <c r="BD155" s="676">
        <v>0</v>
      </c>
      <c r="BE155" s="676"/>
      <c r="BF155" s="676">
        <v>319.45638673927579</v>
      </c>
      <c r="BG155" s="676">
        <v>0</v>
      </c>
      <c r="BH155" s="676">
        <v>0</v>
      </c>
      <c r="BI155" s="676">
        <v>0</v>
      </c>
      <c r="BJ155" s="676">
        <v>0</v>
      </c>
      <c r="BK155" s="676">
        <v>0</v>
      </c>
      <c r="BL155" s="676">
        <v>0</v>
      </c>
      <c r="BM155" s="676">
        <v>0</v>
      </c>
      <c r="BN155" s="676">
        <v>0</v>
      </c>
      <c r="BO155" s="674">
        <v>0</v>
      </c>
      <c r="BP155" s="676">
        <v>0</v>
      </c>
      <c r="BQ155" s="676">
        <v>0</v>
      </c>
      <c r="BR155" s="675"/>
      <c r="BS155" s="675">
        <v>0.21496130696474633</v>
      </c>
      <c r="BT155" s="674">
        <v>389.84427247539884</v>
      </c>
    </row>
    <row r="156" spans="1:72">
      <c r="A156" s="681"/>
      <c r="B156" s="680" t="s">
        <v>968</v>
      </c>
      <c r="C156" s="679" t="s">
        <v>1002</v>
      </c>
      <c r="D156" s="679"/>
      <c r="E156" s="679"/>
      <c r="F156" s="678" t="s">
        <v>1001</v>
      </c>
      <c r="G156" s="678"/>
      <c r="H156" s="677">
        <v>159.66848189548102</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9.2911053788095916</v>
      </c>
      <c r="X156" s="676"/>
      <c r="Y156" s="676"/>
      <c r="Z156" s="676"/>
      <c r="AA156" s="676"/>
      <c r="AB156" s="676"/>
      <c r="AC156" s="676"/>
      <c r="AD156" s="676"/>
      <c r="AE156" s="676">
        <v>1.0986911244864812</v>
      </c>
      <c r="AF156" s="676"/>
      <c r="AG156" s="676"/>
      <c r="AH156" s="676"/>
      <c r="AI156" s="676"/>
      <c r="AJ156" s="676"/>
      <c r="AK156" s="676"/>
      <c r="AL156" s="676">
        <v>8.1924142543231095</v>
      </c>
      <c r="AM156" s="676">
        <v>0</v>
      </c>
      <c r="AN156" s="676"/>
      <c r="AO156" s="676"/>
      <c r="AP156" s="676"/>
      <c r="AQ156" s="676"/>
      <c r="AR156" s="676"/>
      <c r="AS156" s="676"/>
      <c r="AT156" s="674">
        <v>7.0698385401738797</v>
      </c>
      <c r="AU156" s="676">
        <v>7.0698385401738797</v>
      </c>
      <c r="AV156" s="676">
        <v>0</v>
      </c>
      <c r="AW156" s="676">
        <v>0</v>
      </c>
      <c r="AX156" s="676">
        <v>0</v>
      </c>
      <c r="AY156" s="676">
        <v>0</v>
      </c>
      <c r="AZ156" s="674">
        <v>80.252221266838632</v>
      </c>
      <c r="BA156" s="676"/>
      <c r="BB156" s="676"/>
      <c r="BC156" s="676"/>
      <c r="BD156" s="676">
        <v>0</v>
      </c>
      <c r="BE156" s="676"/>
      <c r="BF156" s="676">
        <v>80.252221266838632</v>
      </c>
      <c r="BG156" s="676">
        <v>0</v>
      </c>
      <c r="BH156" s="676">
        <v>0</v>
      </c>
      <c r="BI156" s="676">
        <v>0</v>
      </c>
      <c r="BJ156" s="676">
        <v>0</v>
      </c>
      <c r="BK156" s="676">
        <v>0</v>
      </c>
      <c r="BL156" s="676">
        <v>0</v>
      </c>
      <c r="BM156" s="676">
        <v>0</v>
      </c>
      <c r="BN156" s="676">
        <v>0</v>
      </c>
      <c r="BO156" s="674">
        <v>0</v>
      </c>
      <c r="BP156" s="676">
        <v>0</v>
      </c>
      <c r="BQ156" s="676">
        <v>0</v>
      </c>
      <c r="BR156" s="675"/>
      <c r="BS156" s="675">
        <v>7.1653768988248778</v>
      </c>
      <c r="BT156" s="674">
        <v>55.889939810834051</v>
      </c>
    </row>
    <row r="157" spans="1:72">
      <c r="A157" s="681"/>
      <c r="B157" s="680" t="s">
        <v>968</v>
      </c>
      <c r="C157" s="679" t="s">
        <v>1000</v>
      </c>
      <c r="D157" s="679"/>
      <c r="E157" s="679"/>
      <c r="F157" s="678" t="s">
        <v>999</v>
      </c>
      <c r="G157" s="678"/>
      <c r="H157" s="677">
        <v>265.07117607719499</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156.10967803573135</v>
      </c>
      <c r="X157" s="676"/>
      <c r="Y157" s="676"/>
      <c r="Z157" s="676"/>
      <c r="AA157" s="676"/>
      <c r="AB157" s="676"/>
      <c r="AC157" s="676"/>
      <c r="AD157" s="676"/>
      <c r="AE157" s="676">
        <v>19.824209420082163</v>
      </c>
      <c r="AF157" s="676"/>
      <c r="AG157" s="676"/>
      <c r="AH157" s="676"/>
      <c r="AI157" s="676"/>
      <c r="AJ157" s="676"/>
      <c r="AK157" s="676"/>
      <c r="AL157" s="676">
        <v>136.28546861564917</v>
      </c>
      <c r="AM157" s="676">
        <v>0</v>
      </c>
      <c r="AN157" s="676"/>
      <c r="AO157" s="676"/>
      <c r="AP157" s="676"/>
      <c r="AQ157" s="676"/>
      <c r="AR157" s="676"/>
      <c r="AS157" s="676"/>
      <c r="AT157" s="674">
        <v>0.57323015190599025</v>
      </c>
      <c r="AU157" s="676">
        <v>0.57323015190599025</v>
      </c>
      <c r="AV157" s="676">
        <v>0</v>
      </c>
      <c r="AW157" s="676">
        <v>0</v>
      </c>
      <c r="AX157" s="676">
        <v>0</v>
      </c>
      <c r="AY157" s="676">
        <v>0</v>
      </c>
      <c r="AZ157" s="674">
        <v>4.179803190981179</v>
      </c>
      <c r="BA157" s="676"/>
      <c r="BB157" s="676"/>
      <c r="BC157" s="676"/>
      <c r="BD157" s="676">
        <v>0</v>
      </c>
      <c r="BE157" s="676"/>
      <c r="BF157" s="676">
        <v>4.179803190981179</v>
      </c>
      <c r="BG157" s="676">
        <v>0</v>
      </c>
      <c r="BH157" s="676">
        <v>0</v>
      </c>
      <c r="BI157" s="676">
        <v>0</v>
      </c>
      <c r="BJ157" s="676">
        <v>0</v>
      </c>
      <c r="BK157" s="676">
        <v>0</v>
      </c>
      <c r="BL157" s="676">
        <v>0</v>
      </c>
      <c r="BM157" s="676">
        <v>0</v>
      </c>
      <c r="BN157" s="676">
        <v>0</v>
      </c>
      <c r="BO157" s="674">
        <v>0</v>
      </c>
      <c r="BP157" s="676">
        <v>0</v>
      </c>
      <c r="BQ157" s="676">
        <v>0</v>
      </c>
      <c r="BR157" s="675"/>
      <c r="BS157" s="675">
        <v>0</v>
      </c>
      <c r="BT157" s="674">
        <v>104.20846469857648</v>
      </c>
    </row>
    <row r="158" spans="1:72">
      <c r="A158" s="681"/>
      <c r="B158" s="680" t="s">
        <v>968</v>
      </c>
      <c r="C158" s="679" t="s">
        <v>998</v>
      </c>
      <c r="D158" s="679"/>
      <c r="E158" s="679"/>
      <c r="F158" s="678" t="s">
        <v>997</v>
      </c>
      <c r="G158" s="678"/>
      <c r="H158" s="677">
        <v>8.5745676889271039</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1.0270373554982324</v>
      </c>
      <c r="X158" s="676"/>
      <c r="Y158" s="676"/>
      <c r="Z158" s="676"/>
      <c r="AA158" s="676"/>
      <c r="AB158" s="676"/>
      <c r="AC158" s="676"/>
      <c r="AD158" s="676"/>
      <c r="AE158" s="676"/>
      <c r="AF158" s="676"/>
      <c r="AG158" s="676"/>
      <c r="AH158" s="676"/>
      <c r="AI158" s="676"/>
      <c r="AJ158" s="676"/>
      <c r="AK158" s="676"/>
      <c r="AL158" s="676">
        <v>1.0270373554982324</v>
      </c>
      <c r="AM158" s="676">
        <v>0</v>
      </c>
      <c r="AN158" s="676"/>
      <c r="AO158" s="676"/>
      <c r="AP158" s="676"/>
      <c r="AQ158" s="676"/>
      <c r="AR158" s="676"/>
      <c r="AS158" s="676"/>
      <c r="AT158" s="674">
        <v>0.42992261392949266</v>
      </c>
      <c r="AU158" s="676">
        <v>0.42992261392949266</v>
      </c>
      <c r="AV158" s="676">
        <v>0</v>
      </c>
      <c r="AW158" s="676">
        <v>0</v>
      </c>
      <c r="AX158" s="676">
        <v>0</v>
      </c>
      <c r="AY158" s="676">
        <v>0</v>
      </c>
      <c r="AZ158" s="674">
        <v>0</v>
      </c>
      <c r="BA158" s="676"/>
      <c r="BB158" s="676"/>
      <c r="BC158" s="676"/>
      <c r="BD158" s="676">
        <v>0</v>
      </c>
      <c r="BE158" s="676"/>
      <c r="BF158" s="676">
        <v>0</v>
      </c>
      <c r="BG158" s="676">
        <v>0</v>
      </c>
      <c r="BH158" s="676">
        <v>0</v>
      </c>
      <c r="BI158" s="676">
        <v>0</v>
      </c>
      <c r="BJ158" s="676">
        <v>0</v>
      </c>
      <c r="BK158" s="676">
        <v>0</v>
      </c>
      <c r="BL158" s="676">
        <v>0</v>
      </c>
      <c r="BM158" s="676">
        <v>0</v>
      </c>
      <c r="BN158" s="676">
        <v>0</v>
      </c>
      <c r="BO158" s="674">
        <v>0</v>
      </c>
      <c r="BP158" s="676">
        <v>0</v>
      </c>
      <c r="BQ158" s="676">
        <v>0</v>
      </c>
      <c r="BR158" s="675"/>
      <c r="BS158" s="675">
        <v>7.1653768988248781E-2</v>
      </c>
      <c r="BT158" s="674">
        <v>7.0459539505111302</v>
      </c>
    </row>
    <row r="159" spans="1:72">
      <c r="A159" s="681"/>
      <c r="B159" s="680" t="s">
        <v>968</v>
      </c>
      <c r="C159" s="679" t="s">
        <v>996</v>
      </c>
      <c r="D159" s="679"/>
      <c r="E159" s="679"/>
      <c r="F159" s="678" t="s">
        <v>995</v>
      </c>
      <c r="G159" s="678"/>
      <c r="H159" s="677">
        <v>57.227476831948024</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12.372217445304289</v>
      </c>
      <c r="X159" s="676"/>
      <c r="Y159" s="676"/>
      <c r="Z159" s="676"/>
      <c r="AA159" s="676"/>
      <c r="AB159" s="676"/>
      <c r="AC159" s="676"/>
      <c r="AD159" s="676"/>
      <c r="AE159" s="676">
        <v>1.0986911244864812</v>
      </c>
      <c r="AF159" s="676"/>
      <c r="AG159" s="676"/>
      <c r="AH159" s="676"/>
      <c r="AI159" s="676"/>
      <c r="AJ159" s="676"/>
      <c r="AK159" s="676"/>
      <c r="AL159" s="676">
        <v>11.273526320817808</v>
      </c>
      <c r="AM159" s="676">
        <v>0</v>
      </c>
      <c r="AN159" s="676"/>
      <c r="AO159" s="676"/>
      <c r="AP159" s="676"/>
      <c r="AQ159" s="676"/>
      <c r="AR159" s="676"/>
      <c r="AS159" s="676"/>
      <c r="AT159" s="674">
        <v>4.0603802426674305</v>
      </c>
      <c r="AU159" s="676">
        <v>4.0603802426674305</v>
      </c>
      <c r="AV159" s="676">
        <v>0</v>
      </c>
      <c r="AW159" s="676">
        <v>0</v>
      </c>
      <c r="AX159" s="676">
        <v>0</v>
      </c>
      <c r="AY159" s="676">
        <v>0</v>
      </c>
      <c r="AZ159" s="674">
        <v>2.3168051972867105</v>
      </c>
      <c r="BA159" s="676"/>
      <c r="BB159" s="676"/>
      <c r="BC159" s="676"/>
      <c r="BD159" s="676">
        <v>0</v>
      </c>
      <c r="BE159" s="676"/>
      <c r="BF159" s="676">
        <v>2.3168051972867105</v>
      </c>
      <c r="BG159" s="676">
        <v>0</v>
      </c>
      <c r="BH159" s="676">
        <v>0</v>
      </c>
      <c r="BI159" s="676">
        <v>0</v>
      </c>
      <c r="BJ159" s="676">
        <v>0</v>
      </c>
      <c r="BK159" s="676">
        <v>0</v>
      </c>
      <c r="BL159" s="676">
        <v>0</v>
      </c>
      <c r="BM159" s="676">
        <v>0</v>
      </c>
      <c r="BN159" s="676">
        <v>0</v>
      </c>
      <c r="BO159" s="674">
        <v>0</v>
      </c>
      <c r="BP159" s="676">
        <v>0</v>
      </c>
      <c r="BQ159" s="676">
        <v>0</v>
      </c>
      <c r="BR159" s="675"/>
      <c r="BS159" s="675">
        <v>0.47769179325499184</v>
      </c>
      <c r="BT159" s="674">
        <v>38.0003821534346</v>
      </c>
    </row>
    <row r="160" spans="1:72">
      <c r="A160" s="680" t="s">
        <v>968</v>
      </c>
      <c r="B160" s="679" t="s">
        <v>994</v>
      </c>
      <c r="C160" s="679"/>
      <c r="D160" s="679"/>
      <c r="E160" s="679"/>
      <c r="F160" s="678" t="s">
        <v>993</v>
      </c>
      <c r="G160" s="678"/>
      <c r="H160" s="677">
        <v>5149.6130696474629</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4916.8099742046434</v>
      </c>
      <c r="X160" s="676"/>
      <c r="Y160" s="676"/>
      <c r="Z160" s="676"/>
      <c r="AA160" s="676"/>
      <c r="AB160" s="676"/>
      <c r="AC160" s="676"/>
      <c r="AD160" s="676"/>
      <c r="AE160" s="676">
        <v>2.1973822489729624</v>
      </c>
      <c r="AF160" s="676">
        <v>1132.4639342696091</v>
      </c>
      <c r="AG160" s="676">
        <v>2.1018438903219643</v>
      </c>
      <c r="AH160" s="676"/>
      <c r="AI160" s="676">
        <v>771.30505397917261</v>
      </c>
      <c r="AJ160" s="676"/>
      <c r="AK160" s="676"/>
      <c r="AL160" s="676">
        <v>2957.1271615553642</v>
      </c>
      <c r="AM160" s="676">
        <v>51.59071367153912</v>
      </c>
      <c r="AN160" s="676"/>
      <c r="AO160" s="676"/>
      <c r="AP160" s="676"/>
      <c r="AQ160" s="676"/>
      <c r="AR160" s="676"/>
      <c r="AS160" s="676"/>
      <c r="AT160" s="674">
        <v>57.776822394191264</v>
      </c>
      <c r="AU160" s="676">
        <v>57.776822394191264</v>
      </c>
      <c r="AV160" s="676">
        <v>0</v>
      </c>
      <c r="AW160" s="676">
        <v>0</v>
      </c>
      <c r="AX160" s="676">
        <v>0</v>
      </c>
      <c r="AY160" s="676">
        <v>0</v>
      </c>
      <c r="AZ160" s="674">
        <v>115.76860609534728</v>
      </c>
      <c r="BA160" s="676"/>
      <c r="BB160" s="676"/>
      <c r="BC160" s="676"/>
      <c r="BD160" s="676">
        <v>0</v>
      </c>
      <c r="BE160" s="676"/>
      <c r="BF160" s="676">
        <v>0</v>
      </c>
      <c r="BG160" s="676">
        <v>0</v>
      </c>
      <c r="BH160" s="676">
        <v>0.64488392089423896</v>
      </c>
      <c r="BI160" s="676">
        <v>0</v>
      </c>
      <c r="BJ160" s="676">
        <v>7.6908378714053685</v>
      </c>
      <c r="BK160" s="676">
        <v>105.4743479507022</v>
      </c>
      <c r="BL160" s="676">
        <v>0</v>
      </c>
      <c r="BM160" s="676">
        <v>1.9824209420082162</v>
      </c>
      <c r="BN160" s="676">
        <v>0</v>
      </c>
      <c r="BO160" s="674">
        <v>0</v>
      </c>
      <c r="BP160" s="676">
        <v>0</v>
      </c>
      <c r="BQ160" s="676">
        <v>0</v>
      </c>
      <c r="BR160" s="675"/>
      <c r="BS160" s="675"/>
      <c r="BT160" s="674">
        <v>59.233782363618992</v>
      </c>
    </row>
    <row r="161" spans="1:72">
      <c r="A161" s="681"/>
      <c r="B161" s="680" t="s">
        <v>968</v>
      </c>
      <c r="C161" s="679" t="s">
        <v>992</v>
      </c>
      <c r="D161" s="679"/>
      <c r="E161" s="679"/>
      <c r="F161" s="678" t="s">
        <v>991</v>
      </c>
      <c r="G161" s="678"/>
      <c r="H161" s="677">
        <v>71.104423426005539</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12.30056367631604</v>
      </c>
      <c r="X161" s="676"/>
      <c r="Y161" s="676"/>
      <c r="Z161" s="676"/>
      <c r="AA161" s="676"/>
      <c r="AB161" s="676"/>
      <c r="AC161" s="676"/>
      <c r="AD161" s="676"/>
      <c r="AE161" s="676"/>
      <c r="AF161" s="676"/>
      <c r="AG161" s="676"/>
      <c r="AH161" s="676"/>
      <c r="AI161" s="676"/>
      <c r="AJ161" s="676"/>
      <c r="AK161" s="676"/>
      <c r="AL161" s="676">
        <v>12.30056367631604</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58.803859749689501</v>
      </c>
    </row>
    <row r="162" spans="1:72">
      <c r="A162" s="681"/>
      <c r="B162" s="680" t="s">
        <v>968</v>
      </c>
      <c r="C162" s="679" t="s">
        <v>990</v>
      </c>
      <c r="D162" s="679"/>
      <c r="E162" s="679"/>
      <c r="F162" s="678" t="s">
        <v>989</v>
      </c>
      <c r="G162" s="678"/>
      <c r="H162" s="677">
        <v>3427.9163083978215</v>
      </c>
      <c r="I162" s="674"/>
      <c r="J162" s="676"/>
      <c r="K162" s="676"/>
      <c r="L162" s="676"/>
      <c r="M162" s="676"/>
      <c r="N162" s="676"/>
      <c r="O162" s="676"/>
      <c r="P162" s="676"/>
      <c r="Q162" s="676"/>
      <c r="R162" s="676"/>
      <c r="S162" s="676"/>
      <c r="T162" s="676"/>
      <c r="U162" s="676"/>
      <c r="V162" s="676"/>
      <c r="W162" s="674">
        <v>3307.1080538836341</v>
      </c>
      <c r="X162" s="676"/>
      <c r="Y162" s="676"/>
      <c r="Z162" s="676"/>
      <c r="AA162" s="676"/>
      <c r="AB162" s="676"/>
      <c r="AC162" s="676"/>
      <c r="AD162" s="676"/>
      <c r="AE162" s="676">
        <v>2.1973822489729624</v>
      </c>
      <c r="AF162" s="676">
        <v>1090.6420177701345</v>
      </c>
      <c r="AG162" s="676"/>
      <c r="AH162" s="676"/>
      <c r="AI162" s="676"/>
      <c r="AJ162" s="676"/>
      <c r="AK162" s="676"/>
      <c r="AL162" s="676">
        <v>2214.2686538645266</v>
      </c>
      <c r="AM162" s="676">
        <v>0</v>
      </c>
      <c r="AN162" s="676"/>
      <c r="AO162" s="676"/>
      <c r="AP162" s="676"/>
      <c r="AQ162" s="676"/>
      <c r="AR162" s="676"/>
      <c r="AS162" s="676"/>
      <c r="AT162" s="674">
        <v>4.585841215247922</v>
      </c>
      <c r="AU162" s="676">
        <v>4.585841215247922</v>
      </c>
      <c r="AV162" s="676"/>
      <c r="AW162" s="676"/>
      <c r="AX162" s="676"/>
      <c r="AY162" s="676"/>
      <c r="AZ162" s="674">
        <v>115.76860609534728</v>
      </c>
      <c r="BA162" s="676"/>
      <c r="BB162" s="676"/>
      <c r="BC162" s="676"/>
      <c r="BD162" s="676">
        <v>0</v>
      </c>
      <c r="BE162" s="676"/>
      <c r="BF162" s="676">
        <v>0</v>
      </c>
      <c r="BG162" s="676">
        <v>0</v>
      </c>
      <c r="BH162" s="676">
        <v>0.64488392089423896</v>
      </c>
      <c r="BI162" s="676">
        <v>0</v>
      </c>
      <c r="BJ162" s="676">
        <v>7.6908378714053685</v>
      </c>
      <c r="BK162" s="676">
        <v>105.4743479507022</v>
      </c>
      <c r="BL162" s="676">
        <v>0</v>
      </c>
      <c r="BM162" s="676">
        <v>1.9824209420082162</v>
      </c>
      <c r="BN162" s="676">
        <v>0</v>
      </c>
      <c r="BO162" s="674">
        <v>0</v>
      </c>
      <c r="BP162" s="676">
        <v>0</v>
      </c>
      <c r="BQ162" s="676">
        <v>0</v>
      </c>
      <c r="BR162" s="675"/>
      <c r="BS162" s="675"/>
      <c r="BT162" s="674">
        <v>0.42992261392949266</v>
      </c>
    </row>
    <row r="163" spans="1:72">
      <c r="A163" s="681"/>
      <c r="B163" s="680" t="s">
        <v>968</v>
      </c>
      <c r="C163" s="679" t="s">
        <v>988</v>
      </c>
      <c r="D163" s="679"/>
      <c r="E163" s="679"/>
      <c r="F163" s="678" t="s">
        <v>987</v>
      </c>
      <c r="G163" s="678"/>
      <c r="H163" s="677">
        <v>424.16642782077002</v>
      </c>
      <c r="I163" s="674"/>
      <c r="J163" s="676"/>
      <c r="K163" s="676"/>
      <c r="L163" s="676"/>
      <c r="M163" s="676"/>
      <c r="N163" s="676"/>
      <c r="O163" s="676"/>
      <c r="P163" s="676"/>
      <c r="Q163" s="676"/>
      <c r="R163" s="676"/>
      <c r="S163" s="676"/>
      <c r="T163" s="676"/>
      <c r="U163" s="676"/>
      <c r="V163" s="676"/>
      <c r="W163" s="674">
        <v>424.16642782077002</v>
      </c>
      <c r="X163" s="676"/>
      <c r="Y163" s="676"/>
      <c r="Z163" s="676"/>
      <c r="AA163" s="676"/>
      <c r="AB163" s="676"/>
      <c r="AC163" s="676"/>
      <c r="AD163" s="676"/>
      <c r="AE163" s="676"/>
      <c r="AF163" s="676"/>
      <c r="AG163" s="676"/>
      <c r="AH163" s="676"/>
      <c r="AI163" s="676">
        <v>424.16642782077002</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c r="A164" s="681"/>
      <c r="B164" s="680" t="s">
        <v>968</v>
      </c>
      <c r="C164" s="679" t="s">
        <v>986</v>
      </c>
      <c r="D164" s="679"/>
      <c r="E164" s="679"/>
      <c r="F164" s="678" t="s">
        <v>985</v>
      </c>
      <c r="G164" s="678"/>
      <c r="H164" s="677">
        <v>349.24047004872455</v>
      </c>
      <c r="I164" s="674"/>
      <c r="J164" s="676"/>
      <c r="K164" s="676"/>
      <c r="L164" s="676"/>
      <c r="M164" s="676"/>
      <c r="N164" s="676"/>
      <c r="O164" s="676"/>
      <c r="P164" s="676"/>
      <c r="Q164" s="676"/>
      <c r="R164" s="676"/>
      <c r="S164" s="676"/>
      <c r="T164" s="676"/>
      <c r="U164" s="676"/>
      <c r="V164" s="676"/>
      <c r="W164" s="674">
        <v>349.24047004872455</v>
      </c>
      <c r="X164" s="676"/>
      <c r="Y164" s="676"/>
      <c r="Z164" s="676"/>
      <c r="AA164" s="676"/>
      <c r="AB164" s="676"/>
      <c r="AC164" s="676"/>
      <c r="AD164" s="676"/>
      <c r="AE164" s="676"/>
      <c r="AF164" s="676"/>
      <c r="AG164" s="676">
        <v>2.1018438903219643</v>
      </c>
      <c r="AH164" s="676"/>
      <c r="AI164" s="676">
        <v>347.13862615840259</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c r="A165" s="681"/>
      <c r="B165" s="680" t="s">
        <v>968</v>
      </c>
      <c r="C165" s="679" t="s">
        <v>984</v>
      </c>
      <c r="D165" s="679"/>
      <c r="E165" s="679"/>
      <c r="F165" s="678" t="s">
        <v>983</v>
      </c>
      <c r="G165" s="678"/>
      <c r="H165" s="677">
        <v>823.99445877519815</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823.99445877519815</v>
      </c>
      <c r="X165" s="676"/>
      <c r="Y165" s="676"/>
      <c r="Z165" s="676"/>
      <c r="AA165" s="676"/>
      <c r="AB165" s="676"/>
      <c r="AC165" s="676"/>
      <c r="AD165" s="676"/>
      <c r="AE165" s="676"/>
      <c r="AF165" s="676">
        <v>41.82191649947454</v>
      </c>
      <c r="AG165" s="676"/>
      <c r="AH165" s="676"/>
      <c r="AI165" s="676"/>
      <c r="AJ165" s="676"/>
      <c r="AK165" s="676"/>
      <c r="AL165" s="676">
        <v>730.58182860418458</v>
      </c>
      <c r="AM165" s="676">
        <v>51.59071367153912</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c r="A167" s="681"/>
      <c r="B167" s="680" t="s">
        <v>968</v>
      </c>
      <c r="C167" s="679" t="s">
        <v>980</v>
      </c>
      <c r="D167" s="679"/>
      <c r="E167" s="679"/>
      <c r="F167" s="678" t="s">
        <v>979</v>
      </c>
      <c r="G167" s="678"/>
      <c r="H167" s="677">
        <v>53.214865768606096</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53.214865768606096</v>
      </c>
      <c r="AU167" s="676">
        <v>53.214865768606096</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c r="A168" s="680" t="s">
        <v>968</v>
      </c>
      <c r="B168" s="679" t="s">
        <v>978</v>
      </c>
      <c r="C168" s="679"/>
      <c r="D168" s="679"/>
      <c r="E168" s="679"/>
      <c r="F168" s="678" t="s">
        <v>977</v>
      </c>
      <c r="G168" s="678"/>
      <c r="H168" s="677">
        <v>7443.3935224992829</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1052.3072513614215</v>
      </c>
      <c r="X168" s="676"/>
      <c r="Y168" s="676"/>
      <c r="Z168" s="676"/>
      <c r="AA168" s="676"/>
      <c r="AB168" s="676"/>
      <c r="AC168" s="676"/>
      <c r="AD168" s="676"/>
      <c r="AE168" s="676">
        <v>27.51504729148753</v>
      </c>
      <c r="AF168" s="676">
        <v>23.597974586796596</v>
      </c>
      <c r="AG168" s="676"/>
      <c r="AH168" s="676"/>
      <c r="AI168" s="676">
        <v>31.838158020445206</v>
      </c>
      <c r="AJ168" s="676">
        <v>49.417216012228906</v>
      </c>
      <c r="AK168" s="676"/>
      <c r="AL168" s="676">
        <v>917.07270469093339</v>
      </c>
      <c r="AM168" s="676">
        <v>2.8661507595299511</v>
      </c>
      <c r="AN168" s="676"/>
      <c r="AO168" s="676"/>
      <c r="AP168" s="676"/>
      <c r="AQ168" s="676"/>
      <c r="AR168" s="676"/>
      <c r="AS168" s="676"/>
      <c r="AT168" s="674">
        <v>35.755230725136137</v>
      </c>
      <c r="AU168" s="676">
        <v>35.755230725136137</v>
      </c>
      <c r="AV168" s="676">
        <v>0</v>
      </c>
      <c r="AW168" s="676">
        <v>0</v>
      </c>
      <c r="AX168" s="676">
        <v>0</v>
      </c>
      <c r="AY168" s="676">
        <v>0</v>
      </c>
      <c r="AZ168" s="674">
        <v>665.95012897678419</v>
      </c>
      <c r="BA168" s="676"/>
      <c r="BB168" s="676"/>
      <c r="BC168" s="676"/>
      <c r="BD168" s="676">
        <v>0</v>
      </c>
      <c r="BE168" s="676"/>
      <c r="BF168" s="676">
        <v>654.67660265596635</v>
      </c>
      <c r="BG168" s="676">
        <v>0</v>
      </c>
      <c r="BH168" s="676">
        <v>11.273526320817808</v>
      </c>
      <c r="BI168" s="676">
        <v>0</v>
      </c>
      <c r="BJ168" s="676">
        <v>0</v>
      </c>
      <c r="BK168" s="676">
        <v>0</v>
      </c>
      <c r="BL168" s="676">
        <v>0</v>
      </c>
      <c r="BM168" s="676">
        <v>0</v>
      </c>
      <c r="BN168" s="676">
        <v>0</v>
      </c>
      <c r="BO168" s="674">
        <v>0</v>
      </c>
      <c r="BP168" s="676">
        <v>0</v>
      </c>
      <c r="BQ168" s="676">
        <v>0</v>
      </c>
      <c r="BR168" s="675"/>
      <c r="BS168" s="675">
        <v>301.85344415782936</v>
      </c>
      <c r="BT168" s="674">
        <v>5387.5274672781115</v>
      </c>
    </row>
    <row r="169" spans="1:72">
      <c r="A169" s="681"/>
      <c r="B169" s="680" t="s">
        <v>968</v>
      </c>
      <c r="C169" s="679" t="s">
        <v>976</v>
      </c>
      <c r="D169" s="679"/>
      <c r="E169" s="679"/>
      <c r="F169" s="678" t="s">
        <v>975</v>
      </c>
      <c r="G169" s="678"/>
      <c r="H169" s="677">
        <v>2614.5982612018724</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214.62692270946783</v>
      </c>
      <c r="X169" s="676"/>
      <c r="Y169" s="676"/>
      <c r="Z169" s="676"/>
      <c r="AA169" s="676"/>
      <c r="AB169" s="676"/>
      <c r="AC169" s="676"/>
      <c r="AD169" s="676"/>
      <c r="AE169" s="676">
        <v>8.8134135855545992</v>
      </c>
      <c r="AF169" s="676"/>
      <c r="AG169" s="676"/>
      <c r="AH169" s="676"/>
      <c r="AI169" s="676"/>
      <c r="AJ169" s="676">
        <v>3.0811120664946974</v>
      </c>
      <c r="AK169" s="676"/>
      <c r="AL169" s="676">
        <v>200.82162988439859</v>
      </c>
      <c r="AM169" s="676">
        <v>1.9107671730199673</v>
      </c>
      <c r="AN169" s="676"/>
      <c r="AO169" s="676"/>
      <c r="AP169" s="676"/>
      <c r="AQ169" s="676"/>
      <c r="AR169" s="676"/>
      <c r="AS169" s="676"/>
      <c r="AT169" s="674">
        <v>18.24782650234069</v>
      </c>
      <c r="AU169" s="676">
        <v>18.24782650234069</v>
      </c>
      <c r="AV169" s="676">
        <v>0</v>
      </c>
      <c r="AW169" s="676">
        <v>0</v>
      </c>
      <c r="AX169" s="676">
        <v>0</v>
      </c>
      <c r="AY169" s="676">
        <v>0</v>
      </c>
      <c r="AZ169" s="674">
        <v>33.223464220884686</v>
      </c>
      <c r="BA169" s="676"/>
      <c r="BB169" s="676"/>
      <c r="BC169" s="676"/>
      <c r="BD169" s="676">
        <v>0</v>
      </c>
      <c r="BE169" s="676"/>
      <c r="BF169" s="676">
        <v>21.949937900066875</v>
      </c>
      <c r="BG169" s="676">
        <v>0</v>
      </c>
      <c r="BH169" s="676">
        <v>11.273526320817808</v>
      </c>
      <c r="BI169" s="676">
        <v>0</v>
      </c>
      <c r="BJ169" s="676">
        <v>0</v>
      </c>
      <c r="BK169" s="676">
        <v>0</v>
      </c>
      <c r="BL169" s="676">
        <v>0</v>
      </c>
      <c r="BM169" s="676">
        <v>0</v>
      </c>
      <c r="BN169" s="676">
        <v>0</v>
      </c>
      <c r="BO169" s="674">
        <v>0</v>
      </c>
      <c r="BP169" s="676">
        <v>0</v>
      </c>
      <c r="BQ169" s="676">
        <v>0</v>
      </c>
      <c r="BR169" s="675"/>
      <c r="BS169" s="675">
        <v>233.782363618993</v>
      </c>
      <c r="BT169" s="674">
        <v>2114.6937995605235</v>
      </c>
    </row>
    <row r="170" spans="1:72">
      <c r="A170" s="681"/>
      <c r="B170" s="680" t="s">
        <v>968</v>
      </c>
      <c r="C170" s="679" t="s">
        <v>974</v>
      </c>
      <c r="D170" s="679"/>
      <c r="E170" s="679"/>
      <c r="F170" s="678" t="s">
        <v>973</v>
      </c>
      <c r="G170" s="678"/>
      <c r="H170" s="677">
        <v>3951.1560141396767</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151.49995223082067</v>
      </c>
      <c r="X170" s="676"/>
      <c r="Y170" s="676"/>
      <c r="Z170" s="676"/>
      <c r="AA170" s="676"/>
      <c r="AB170" s="676"/>
      <c r="AC170" s="676"/>
      <c r="AD170" s="676"/>
      <c r="AE170" s="676">
        <v>13.208178083500524</v>
      </c>
      <c r="AF170" s="676">
        <v>17.149135377854208</v>
      </c>
      <c r="AG170" s="676"/>
      <c r="AH170" s="676"/>
      <c r="AI170" s="676"/>
      <c r="AJ170" s="676">
        <v>46.336103945734209</v>
      </c>
      <c r="AK170" s="676"/>
      <c r="AL170" s="676">
        <v>74.806534823731724</v>
      </c>
      <c r="AM170" s="676">
        <v>0</v>
      </c>
      <c r="AN170" s="676"/>
      <c r="AO170" s="676"/>
      <c r="AP170" s="676"/>
      <c r="AQ170" s="676"/>
      <c r="AR170" s="676"/>
      <c r="AS170" s="676"/>
      <c r="AT170" s="674">
        <v>2.9616891181809497</v>
      </c>
      <c r="AU170" s="676">
        <v>2.9616891181809497</v>
      </c>
      <c r="AV170" s="676">
        <v>0</v>
      </c>
      <c r="AW170" s="676">
        <v>0</v>
      </c>
      <c r="AX170" s="676">
        <v>0</v>
      </c>
      <c r="AY170" s="676">
        <v>0</v>
      </c>
      <c r="AZ170" s="674">
        <v>628.45132320626726</v>
      </c>
      <c r="BA170" s="676"/>
      <c r="BB170" s="676"/>
      <c r="BC170" s="676"/>
      <c r="BD170" s="676">
        <v>0</v>
      </c>
      <c r="BE170" s="676"/>
      <c r="BF170" s="676">
        <v>628.45132320626726</v>
      </c>
      <c r="BG170" s="676">
        <v>0</v>
      </c>
      <c r="BH170" s="676">
        <v>0</v>
      </c>
      <c r="BI170" s="676">
        <v>0</v>
      </c>
      <c r="BJ170" s="676">
        <v>0</v>
      </c>
      <c r="BK170" s="676">
        <v>0</v>
      </c>
      <c r="BL170" s="676">
        <v>0</v>
      </c>
      <c r="BM170" s="676">
        <v>0</v>
      </c>
      <c r="BN170" s="676">
        <v>0</v>
      </c>
      <c r="BO170" s="674">
        <v>0</v>
      </c>
      <c r="BP170" s="676">
        <v>0</v>
      </c>
      <c r="BQ170" s="676">
        <v>0</v>
      </c>
      <c r="BR170" s="675"/>
      <c r="BS170" s="675">
        <v>67.736696283557848</v>
      </c>
      <c r="BT170" s="674">
        <v>3100.5063533008502</v>
      </c>
    </row>
    <row r="171" spans="1:72">
      <c r="A171" s="681"/>
      <c r="B171" s="680" t="s">
        <v>968</v>
      </c>
      <c r="C171" s="679" t="s">
        <v>972</v>
      </c>
      <c r="D171" s="679"/>
      <c r="E171" s="679"/>
      <c r="F171" s="678" t="s">
        <v>971</v>
      </c>
      <c r="G171" s="678"/>
      <c r="H171" s="677">
        <v>310.35635807776822</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137.69465940575139</v>
      </c>
      <c r="X171" s="676"/>
      <c r="Y171" s="676"/>
      <c r="Z171" s="676"/>
      <c r="AA171" s="676"/>
      <c r="AB171" s="676"/>
      <c r="AC171" s="676"/>
      <c r="AD171" s="676"/>
      <c r="AE171" s="676">
        <v>5.493455622432406</v>
      </c>
      <c r="AF171" s="676"/>
      <c r="AG171" s="676"/>
      <c r="AH171" s="676"/>
      <c r="AI171" s="676"/>
      <c r="AJ171" s="676"/>
      <c r="AK171" s="676"/>
      <c r="AL171" s="676">
        <v>132.17731919365625</v>
      </c>
      <c r="AM171" s="676">
        <v>0</v>
      </c>
      <c r="AN171" s="676"/>
      <c r="AO171" s="676"/>
      <c r="AP171" s="676"/>
      <c r="AQ171" s="676"/>
      <c r="AR171" s="676"/>
      <c r="AS171" s="676"/>
      <c r="AT171" s="674">
        <v>13.017101366198528</v>
      </c>
      <c r="AU171" s="676">
        <v>13.017101366198528</v>
      </c>
      <c r="AV171" s="676">
        <v>0</v>
      </c>
      <c r="AW171" s="676">
        <v>0</v>
      </c>
      <c r="AX171" s="676">
        <v>0</v>
      </c>
      <c r="AY171" s="676">
        <v>0</v>
      </c>
      <c r="AZ171" s="674">
        <v>4.2753415496321772</v>
      </c>
      <c r="BA171" s="676"/>
      <c r="BB171" s="676"/>
      <c r="BC171" s="676"/>
      <c r="BD171" s="676">
        <v>0</v>
      </c>
      <c r="BE171" s="676"/>
      <c r="BF171" s="676">
        <v>4.2753415496321772</v>
      </c>
      <c r="BG171" s="676">
        <v>0</v>
      </c>
      <c r="BH171" s="676">
        <v>0</v>
      </c>
      <c r="BI171" s="676">
        <v>0</v>
      </c>
      <c r="BJ171" s="676">
        <v>0</v>
      </c>
      <c r="BK171" s="676">
        <v>0</v>
      </c>
      <c r="BL171" s="676">
        <v>0</v>
      </c>
      <c r="BM171" s="676">
        <v>0</v>
      </c>
      <c r="BN171" s="676">
        <v>0</v>
      </c>
      <c r="BO171" s="674">
        <v>0</v>
      </c>
      <c r="BP171" s="676">
        <v>0</v>
      </c>
      <c r="BQ171" s="676">
        <v>0</v>
      </c>
      <c r="BR171" s="675"/>
      <c r="BS171" s="675">
        <v>0.3343842552784943</v>
      </c>
      <c r="BT171" s="674">
        <v>155.0348715009076</v>
      </c>
    </row>
    <row r="172" spans="1:72">
      <c r="A172" s="681"/>
      <c r="B172" s="680" t="s">
        <v>968</v>
      </c>
      <c r="C172" s="679" t="s">
        <v>970</v>
      </c>
      <c r="D172" s="679"/>
      <c r="E172" s="679"/>
      <c r="F172" s="678" t="s">
        <v>969</v>
      </c>
      <c r="G172" s="678"/>
      <c r="H172" s="677">
        <v>489.82516480366866</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472.53272188783797</v>
      </c>
      <c r="X172" s="676"/>
      <c r="Y172" s="676"/>
      <c r="Z172" s="676"/>
      <c r="AA172" s="676"/>
      <c r="AB172" s="676"/>
      <c r="AC172" s="676"/>
      <c r="AD172" s="676"/>
      <c r="AE172" s="676"/>
      <c r="AF172" s="676">
        <v>5.3501480844559088</v>
      </c>
      <c r="AG172" s="676"/>
      <c r="AH172" s="676"/>
      <c r="AI172" s="676"/>
      <c r="AJ172" s="676"/>
      <c r="AK172" s="676"/>
      <c r="AL172" s="676">
        <v>466.22719021687203</v>
      </c>
      <c r="AM172" s="676">
        <v>0.95538358650998367</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c r="A173" s="673"/>
      <c r="B173" s="672" t="s">
        <v>968</v>
      </c>
      <c r="C173" s="671" t="s">
        <v>967</v>
      </c>
      <c r="D173" s="671"/>
      <c r="E173" s="671"/>
      <c r="F173" s="670" t="s">
        <v>966</v>
      </c>
      <c r="G173" s="670"/>
      <c r="H173" s="669">
        <v>77.457724276296929</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75.952995127543701</v>
      </c>
      <c r="X173" s="668"/>
      <c r="Y173" s="668"/>
      <c r="Z173" s="668"/>
      <c r="AA173" s="668"/>
      <c r="AB173" s="668"/>
      <c r="AC173" s="668"/>
      <c r="AD173" s="668"/>
      <c r="AE173" s="668"/>
      <c r="AF173" s="668">
        <v>1.0748065348237317</v>
      </c>
      <c r="AG173" s="668"/>
      <c r="AH173" s="668"/>
      <c r="AI173" s="668">
        <v>31.838158020445206</v>
      </c>
      <c r="AJ173" s="668"/>
      <c r="AK173" s="668"/>
      <c r="AL173" s="668">
        <v>43.040030572274766</v>
      </c>
      <c r="AM173" s="668">
        <v>0</v>
      </c>
      <c r="AN173" s="668"/>
      <c r="AO173" s="668"/>
      <c r="AP173" s="668"/>
      <c r="AQ173" s="668"/>
      <c r="AR173" s="668"/>
      <c r="AS173" s="668"/>
      <c r="AT173" s="666">
        <v>1.5047291487532244</v>
      </c>
      <c r="AU173" s="668">
        <v>1.5047291487532244</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1619.3990637240852</v>
      </c>
      <c r="I174" s="660">
        <v>101.48562147702302</v>
      </c>
      <c r="J174" s="662">
        <v>0</v>
      </c>
      <c r="K174" s="662">
        <v>0</v>
      </c>
      <c r="L174" s="662">
        <v>43.613260724180755</v>
      </c>
      <c r="M174" s="662">
        <v>0</v>
      </c>
      <c r="N174" s="662">
        <v>0</v>
      </c>
      <c r="O174" s="662">
        <v>0</v>
      </c>
      <c r="P174" s="662">
        <v>57.872360752842262</v>
      </c>
      <c r="Q174" s="662">
        <v>0</v>
      </c>
      <c r="R174" s="662">
        <v>0</v>
      </c>
      <c r="S174" s="662">
        <v>0</v>
      </c>
      <c r="T174" s="662">
        <v>0</v>
      </c>
      <c r="U174" s="662">
        <v>0</v>
      </c>
      <c r="V174" s="662">
        <v>0</v>
      </c>
      <c r="W174" s="660">
        <v>1624.7253272188782</v>
      </c>
      <c r="X174" s="662">
        <v>-23.597974586796596</v>
      </c>
      <c r="Y174" s="662">
        <v>0</v>
      </c>
      <c r="Z174" s="662">
        <v>48.485717015381674</v>
      </c>
      <c r="AA174" s="662">
        <v>0</v>
      </c>
      <c r="AB174" s="662"/>
      <c r="AC174" s="662">
        <v>-46.431642304385207</v>
      </c>
      <c r="AD174" s="662">
        <v>408.49813700200627</v>
      </c>
      <c r="AE174" s="662">
        <v>-63.867392758192409</v>
      </c>
      <c r="AF174" s="662">
        <v>39.672303429827075</v>
      </c>
      <c r="AG174" s="662">
        <v>35.659692366485139</v>
      </c>
      <c r="AH174" s="662">
        <v>0</v>
      </c>
      <c r="AI174" s="662">
        <v>-282.43527276201394</v>
      </c>
      <c r="AJ174" s="662">
        <v>516.76698194325024</v>
      </c>
      <c r="AK174" s="662">
        <v>1401.8821056654247</v>
      </c>
      <c r="AL174" s="662">
        <v>-116.843412630171</v>
      </c>
      <c r="AM174" s="662">
        <v>-288.5258431260151</v>
      </c>
      <c r="AN174" s="662">
        <v>0</v>
      </c>
      <c r="AO174" s="662">
        <v>5.0157638291774145</v>
      </c>
      <c r="AP174" s="662">
        <v>-4.6574949842361706</v>
      </c>
      <c r="AQ174" s="662">
        <v>14.211330849336008</v>
      </c>
      <c r="AR174" s="662">
        <v>0</v>
      </c>
      <c r="AS174" s="662">
        <v>-19.107671730199673</v>
      </c>
      <c r="AT174" s="660">
        <v>-103.92184962262348</v>
      </c>
      <c r="AU174" s="662">
        <v>-103.92184962262348</v>
      </c>
      <c r="AV174" s="662">
        <v>0</v>
      </c>
      <c r="AW174" s="662">
        <v>0</v>
      </c>
      <c r="AX174" s="662">
        <v>0</v>
      </c>
      <c r="AY174" s="662">
        <v>0</v>
      </c>
      <c r="AZ174" s="660">
        <v>0.19107671730199674</v>
      </c>
      <c r="BA174" s="662">
        <v>0</v>
      </c>
      <c r="BB174" s="662">
        <v>0</v>
      </c>
      <c r="BC174" s="662">
        <v>0</v>
      </c>
      <c r="BD174" s="662">
        <v>0</v>
      </c>
      <c r="BE174" s="662">
        <v>0</v>
      </c>
      <c r="BF174" s="662">
        <v>0</v>
      </c>
      <c r="BG174" s="662">
        <v>0</v>
      </c>
      <c r="BH174" s="662">
        <v>0</v>
      </c>
      <c r="BI174" s="662">
        <v>0</v>
      </c>
      <c r="BJ174" s="662">
        <v>0.31049966561574471</v>
      </c>
      <c r="BK174" s="662">
        <v>-0.11942294831374796</v>
      </c>
      <c r="BL174" s="662">
        <v>0</v>
      </c>
      <c r="BM174" s="662">
        <v>0</v>
      </c>
      <c r="BN174" s="662">
        <v>0</v>
      </c>
      <c r="BO174" s="660">
        <v>0</v>
      </c>
      <c r="BP174" s="662">
        <v>0</v>
      </c>
      <c r="BQ174" s="662">
        <v>0</v>
      </c>
      <c r="BR174" s="661">
        <v>0</v>
      </c>
      <c r="BS174" s="661">
        <v>0</v>
      </c>
      <c r="BT174" s="660">
        <v>-3.1049966561574469</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8.0013375370211133</v>
      </c>
      <c r="BK179" s="752">
        <v>105.35492500238846</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pageSetUpPr fitToPage="1"/>
  </sheetPr>
  <dimension ref="A1:BU179"/>
  <sheetViews>
    <sheetView zoomScaleNormal="100" workbookViewId="0">
      <pane xSplit="7" ySplit="2" topLeftCell="H3" activePane="bottomRight" state="frozen"/>
      <selection activeCell="D27" sqref="D27"/>
      <selection pane="topRight" activeCell="D27" sqref="D27"/>
      <selection pane="bottomLeft" activeCell="D27" sqref="D27"/>
      <selection pane="bottomRight" activeCell="D27" sqref="D27"/>
    </sheetView>
  </sheetViews>
  <sheetFormatPr baseColWidth="10" defaultColWidth="8.5" defaultRowHeight="11"/>
  <cols>
    <col min="1" max="3" width="2" style="654" customWidth="1"/>
    <col min="4" max="4" width="2.5" style="654" customWidth="1"/>
    <col min="5" max="5" width="45.5" style="654" customWidth="1"/>
    <col min="6" max="6" width="7.1640625" style="655" customWidth="1"/>
    <col min="7" max="7" width="0.5" style="655" customWidth="1"/>
    <col min="8" max="22" width="10.5" style="655" customWidth="1"/>
    <col min="23" max="45" width="10.5" style="654" customWidth="1"/>
    <col min="46" max="51" width="9.5" style="654" customWidth="1"/>
    <col min="52" max="52" width="10.5" style="655" customWidth="1"/>
    <col min="53" max="57" width="9.5" style="654" customWidth="1"/>
    <col min="58" max="256" width="8.5" style="654"/>
    <col min="257" max="259" width="2" style="654" customWidth="1"/>
    <col min="260" max="260" width="2.5" style="654" customWidth="1"/>
    <col min="261" max="261" width="45.5" style="654" customWidth="1"/>
    <col min="262" max="262" width="7.1640625" style="654" customWidth="1"/>
    <col min="263" max="263" width="0.5" style="654" customWidth="1"/>
    <col min="264" max="301" width="10.5" style="654" customWidth="1"/>
    <col min="302" max="307" width="9.5" style="654" customWidth="1"/>
    <col min="308" max="308" width="10.5" style="654" customWidth="1"/>
    <col min="309" max="313" width="9.5" style="654" customWidth="1"/>
    <col min="314" max="512" width="8.5" style="654"/>
    <col min="513" max="515" width="2" style="654" customWidth="1"/>
    <col min="516" max="516" width="2.5" style="654" customWidth="1"/>
    <col min="517" max="517" width="45.5" style="654" customWidth="1"/>
    <col min="518" max="518" width="7.1640625" style="654" customWidth="1"/>
    <col min="519" max="519" width="0.5" style="654" customWidth="1"/>
    <col min="520" max="557" width="10.5" style="654" customWidth="1"/>
    <col min="558" max="563" width="9.5" style="654" customWidth="1"/>
    <col min="564" max="564" width="10.5" style="654" customWidth="1"/>
    <col min="565" max="569" width="9.5" style="654" customWidth="1"/>
    <col min="570" max="768" width="8.5" style="654"/>
    <col min="769" max="771" width="2" style="654" customWidth="1"/>
    <col min="772" max="772" width="2.5" style="654" customWidth="1"/>
    <col min="773" max="773" width="45.5" style="654" customWidth="1"/>
    <col min="774" max="774" width="7.1640625" style="654" customWidth="1"/>
    <col min="775" max="775" width="0.5" style="654" customWidth="1"/>
    <col min="776" max="813" width="10.5" style="654" customWidth="1"/>
    <col min="814" max="819" width="9.5" style="654" customWidth="1"/>
    <col min="820" max="820" width="10.5" style="654" customWidth="1"/>
    <col min="821" max="825" width="9.5" style="654" customWidth="1"/>
    <col min="826" max="1024" width="8.5" style="654"/>
    <col min="1025" max="1027" width="2" style="654" customWidth="1"/>
    <col min="1028" max="1028" width="2.5" style="654" customWidth="1"/>
    <col min="1029" max="1029" width="45.5" style="654" customWidth="1"/>
    <col min="1030" max="1030" width="7.1640625" style="654" customWidth="1"/>
    <col min="1031" max="1031" width="0.5" style="654" customWidth="1"/>
    <col min="1032" max="1069" width="10.5" style="654" customWidth="1"/>
    <col min="1070" max="1075" width="9.5" style="654" customWidth="1"/>
    <col min="1076" max="1076" width="10.5" style="654" customWidth="1"/>
    <col min="1077" max="1081" width="9.5" style="654" customWidth="1"/>
    <col min="1082" max="1280" width="8.5" style="654"/>
    <col min="1281" max="1283" width="2" style="654" customWidth="1"/>
    <col min="1284" max="1284" width="2.5" style="654" customWidth="1"/>
    <col min="1285" max="1285" width="45.5" style="654" customWidth="1"/>
    <col min="1286" max="1286" width="7.1640625" style="654" customWidth="1"/>
    <col min="1287" max="1287" width="0.5" style="654" customWidth="1"/>
    <col min="1288" max="1325" width="10.5" style="654" customWidth="1"/>
    <col min="1326" max="1331" width="9.5" style="654" customWidth="1"/>
    <col min="1332" max="1332" width="10.5" style="654" customWidth="1"/>
    <col min="1333" max="1337" width="9.5" style="654" customWidth="1"/>
    <col min="1338" max="1536" width="8.5" style="654"/>
    <col min="1537" max="1539" width="2" style="654" customWidth="1"/>
    <col min="1540" max="1540" width="2.5" style="654" customWidth="1"/>
    <col min="1541" max="1541" width="45.5" style="654" customWidth="1"/>
    <col min="1542" max="1542" width="7.1640625" style="654" customWidth="1"/>
    <col min="1543" max="1543" width="0.5" style="654" customWidth="1"/>
    <col min="1544" max="1581" width="10.5" style="654" customWidth="1"/>
    <col min="1582" max="1587" width="9.5" style="654" customWidth="1"/>
    <col min="1588" max="1588" width="10.5" style="654" customWidth="1"/>
    <col min="1589" max="1593" width="9.5" style="654" customWidth="1"/>
    <col min="1594" max="1792" width="8.5" style="654"/>
    <col min="1793" max="1795" width="2" style="654" customWidth="1"/>
    <col min="1796" max="1796" width="2.5" style="654" customWidth="1"/>
    <col min="1797" max="1797" width="45.5" style="654" customWidth="1"/>
    <col min="1798" max="1798" width="7.1640625" style="654" customWidth="1"/>
    <col min="1799" max="1799" width="0.5" style="654" customWidth="1"/>
    <col min="1800" max="1837" width="10.5" style="654" customWidth="1"/>
    <col min="1838" max="1843" width="9.5" style="654" customWidth="1"/>
    <col min="1844" max="1844" width="10.5" style="654" customWidth="1"/>
    <col min="1845" max="1849" width="9.5" style="654" customWidth="1"/>
    <col min="1850" max="2048" width="8.5" style="654"/>
    <col min="2049" max="2051" width="2" style="654" customWidth="1"/>
    <col min="2052" max="2052" width="2.5" style="654" customWidth="1"/>
    <col min="2053" max="2053" width="45.5" style="654" customWidth="1"/>
    <col min="2054" max="2054" width="7.1640625" style="654" customWidth="1"/>
    <col min="2055" max="2055" width="0.5" style="654" customWidth="1"/>
    <col min="2056" max="2093" width="10.5" style="654" customWidth="1"/>
    <col min="2094" max="2099" width="9.5" style="654" customWidth="1"/>
    <col min="2100" max="2100" width="10.5" style="654" customWidth="1"/>
    <col min="2101" max="2105" width="9.5" style="654" customWidth="1"/>
    <col min="2106" max="2304" width="8.5" style="654"/>
    <col min="2305" max="2307" width="2" style="654" customWidth="1"/>
    <col min="2308" max="2308" width="2.5" style="654" customWidth="1"/>
    <col min="2309" max="2309" width="45.5" style="654" customWidth="1"/>
    <col min="2310" max="2310" width="7.1640625" style="654" customWidth="1"/>
    <col min="2311" max="2311" width="0.5" style="654" customWidth="1"/>
    <col min="2312" max="2349" width="10.5" style="654" customWidth="1"/>
    <col min="2350" max="2355" width="9.5" style="654" customWidth="1"/>
    <col min="2356" max="2356" width="10.5" style="654" customWidth="1"/>
    <col min="2357" max="2361" width="9.5" style="654" customWidth="1"/>
    <col min="2362" max="2560" width="8.5" style="654"/>
    <col min="2561" max="2563" width="2" style="654" customWidth="1"/>
    <col min="2564" max="2564" width="2.5" style="654" customWidth="1"/>
    <col min="2565" max="2565" width="45.5" style="654" customWidth="1"/>
    <col min="2566" max="2566" width="7.1640625" style="654" customWidth="1"/>
    <col min="2567" max="2567" width="0.5" style="654" customWidth="1"/>
    <col min="2568" max="2605" width="10.5" style="654" customWidth="1"/>
    <col min="2606" max="2611" width="9.5" style="654" customWidth="1"/>
    <col min="2612" max="2612" width="10.5" style="654" customWidth="1"/>
    <col min="2613" max="2617" width="9.5" style="654" customWidth="1"/>
    <col min="2618" max="2816" width="8.5" style="654"/>
    <col min="2817" max="2819" width="2" style="654" customWidth="1"/>
    <col min="2820" max="2820" width="2.5" style="654" customWidth="1"/>
    <col min="2821" max="2821" width="45.5" style="654" customWidth="1"/>
    <col min="2822" max="2822" width="7.1640625" style="654" customWidth="1"/>
    <col min="2823" max="2823" width="0.5" style="654" customWidth="1"/>
    <col min="2824" max="2861" width="10.5" style="654" customWidth="1"/>
    <col min="2862" max="2867" width="9.5" style="654" customWidth="1"/>
    <col min="2868" max="2868" width="10.5" style="654" customWidth="1"/>
    <col min="2869" max="2873" width="9.5" style="654" customWidth="1"/>
    <col min="2874" max="3072" width="8.5" style="654"/>
    <col min="3073" max="3075" width="2" style="654" customWidth="1"/>
    <col min="3076" max="3076" width="2.5" style="654" customWidth="1"/>
    <col min="3077" max="3077" width="45.5" style="654" customWidth="1"/>
    <col min="3078" max="3078" width="7.1640625" style="654" customWidth="1"/>
    <col min="3079" max="3079" width="0.5" style="654" customWidth="1"/>
    <col min="3080" max="3117" width="10.5" style="654" customWidth="1"/>
    <col min="3118" max="3123" width="9.5" style="654" customWidth="1"/>
    <col min="3124" max="3124" width="10.5" style="654" customWidth="1"/>
    <col min="3125" max="3129" width="9.5" style="654" customWidth="1"/>
    <col min="3130" max="3328" width="8.5" style="654"/>
    <col min="3329" max="3331" width="2" style="654" customWidth="1"/>
    <col min="3332" max="3332" width="2.5" style="654" customWidth="1"/>
    <col min="3333" max="3333" width="45.5" style="654" customWidth="1"/>
    <col min="3334" max="3334" width="7.1640625" style="654" customWidth="1"/>
    <col min="3335" max="3335" width="0.5" style="654" customWidth="1"/>
    <col min="3336" max="3373" width="10.5" style="654" customWidth="1"/>
    <col min="3374" max="3379" width="9.5" style="654" customWidth="1"/>
    <col min="3380" max="3380" width="10.5" style="654" customWidth="1"/>
    <col min="3381" max="3385" width="9.5" style="654" customWidth="1"/>
    <col min="3386" max="3584" width="8.5" style="654"/>
    <col min="3585" max="3587" width="2" style="654" customWidth="1"/>
    <col min="3588" max="3588" width="2.5" style="654" customWidth="1"/>
    <col min="3589" max="3589" width="45.5" style="654" customWidth="1"/>
    <col min="3590" max="3590" width="7.1640625" style="654" customWidth="1"/>
    <col min="3591" max="3591" width="0.5" style="654" customWidth="1"/>
    <col min="3592" max="3629" width="10.5" style="654" customWidth="1"/>
    <col min="3630" max="3635" width="9.5" style="654" customWidth="1"/>
    <col min="3636" max="3636" width="10.5" style="654" customWidth="1"/>
    <col min="3637" max="3641" width="9.5" style="654" customWidth="1"/>
    <col min="3642" max="3840" width="8.5" style="654"/>
    <col min="3841" max="3843" width="2" style="654" customWidth="1"/>
    <col min="3844" max="3844" width="2.5" style="654" customWidth="1"/>
    <col min="3845" max="3845" width="45.5" style="654" customWidth="1"/>
    <col min="3846" max="3846" width="7.1640625" style="654" customWidth="1"/>
    <col min="3847" max="3847" width="0.5" style="654" customWidth="1"/>
    <col min="3848" max="3885" width="10.5" style="654" customWidth="1"/>
    <col min="3886" max="3891" width="9.5" style="654" customWidth="1"/>
    <col min="3892" max="3892" width="10.5" style="654" customWidth="1"/>
    <col min="3893" max="3897" width="9.5" style="654" customWidth="1"/>
    <col min="3898" max="4096" width="8.5" style="654"/>
    <col min="4097" max="4099" width="2" style="654" customWidth="1"/>
    <col min="4100" max="4100" width="2.5" style="654" customWidth="1"/>
    <col min="4101" max="4101" width="45.5" style="654" customWidth="1"/>
    <col min="4102" max="4102" width="7.1640625" style="654" customWidth="1"/>
    <col min="4103" max="4103" width="0.5" style="654" customWidth="1"/>
    <col min="4104" max="4141" width="10.5" style="654" customWidth="1"/>
    <col min="4142" max="4147" width="9.5" style="654" customWidth="1"/>
    <col min="4148" max="4148" width="10.5" style="654" customWidth="1"/>
    <col min="4149" max="4153" width="9.5" style="654" customWidth="1"/>
    <col min="4154" max="4352" width="8.5" style="654"/>
    <col min="4353" max="4355" width="2" style="654" customWidth="1"/>
    <col min="4356" max="4356" width="2.5" style="654" customWidth="1"/>
    <col min="4357" max="4357" width="45.5" style="654" customWidth="1"/>
    <col min="4358" max="4358" width="7.1640625" style="654" customWidth="1"/>
    <col min="4359" max="4359" width="0.5" style="654" customWidth="1"/>
    <col min="4360" max="4397" width="10.5" style="654" customWidth="1"/>
    <col min="4398" max="4403" width="9.5" style="654" customWidth="1"/>
    <col min="4404" max="4404" width="10.5" style="654" customWidth="1"/>
    <col min="4405" max="4409" width="9.5" style="654" customWidth="1"/>
    <col min="4410" max="4608" width="8.5" style="654"/>
    <col min="4609" max="4611" width="2" style="654" customWidth="1"/>
    <col min="4612" max="4612" width="2.5" style="654" customWidth="1"/>
    <col min="4613" max="4613" width="45.5" style="654" customWidth="1"/>
    <col min="4614" max="4614" width="7.1640625" style="654" customWidth="1"/>
    <col min="4615" max="4615" width="0.5" style="654" customWidth="1"/>
    <col min="4616" max="4653" width="10.5" style="654" customWidth="1"/>
    <col min="4654" max="4659" width="9.5" style="654" customWidth="1"/>
    <col min="4660" max="4660" width="10.5" style="654" customWidth="1"/>
    <col min="4661" max="4665" width="9.5" style="654" customWidth="1"/>
    <col min="4666" max="4864" width="8.5" style="654"/>
    <col min="4865" max="4867" width="2" style="654" customWidth="1"/>
    <col min="4868" max="4868" width="2.5" style="654" customWidth="1"/>
    <col min="4869" max="4869" width="45.5" style="654" customWidth="1"/>
    <col min="4870" max="4870" width="7.1640625" style="654" customWidth="1"/>
    <col min="4871" max="4871" width="0.5" style="654" customWidth="1"/>
    <col min="4872" max="4909" width="10.5" style="654" customWidth="1"/>
    <col min="4910" max="4915" width="9.5" style="654" customWidth="1"/>
    <col min="4916" max="4916" width="10.5" style="654" customWidth="1"/>
    <col min="4917" max="4921" width="9.5" style="654" customWidth="1"/>
    <col min="4922" max="5120" width="8.5" style="654"/>
    <col min="5121" max="5123" width="2" style="654" customWidth="1"/>
    <col min="5124" max="5124" width="2.5" style="654" customWidth="1"/>
    <col min="5125" max="5125" width="45.5" style="654" customWidth="1"/>
    <col min="5126" max="5126" width="7.1640625" style="654" customWidth="1"/>
    <col min="5127" max="5127" width="0.5" style="654" customWidth="1"/>
    <col min="5128" max="5165" width="10.5" style="654" customWidth="1"/>
    <col min="5166" max="5171" width="9.5" style="654" customWidth="1"/>
    <col min="5172" max="5172" width="10.5" style="654" customWidth="1"/>
    <col min="5173" max="5177" width="9.5" style="654" customWidth="1"/>
    <col min="5178" max="5376" width="8.5" style="654"/>
    <col min="5377" max="5379" width="2" style="654" customWidth="1"/>
    <col min="5380" max="5380" width="2.5" style="654" customWidth="1"/>
    <col min="5381" max="5381" width="45.5" style="654" customWidth="1"/>
    <col min="5382" max="5382" width="7.1640625" style="654" customWidth="1"/>
    <col min="5383" max="5383" width="0.5" style="654" customWidth="1"/>
    <col min="5384" max="5421" width="10.5" style="654" customWidth="1"/>
    <col min="5422" max="5427" width="9.5" style="654" customWidth="1"/>
    <col min="5428" max="5428" width="10.5" style="654" customWidth="1"/>
    <col min="5429" max="5433" width="9.5" style="654" customWidth="1"/>
    <col min="5434" max="5632" width="8.5" style="654"/>
    <col min="5633" max="5635" width="2" style="654" customWidth="1"/>
    <col min="5636" max="5636" width="2.5" style="654" customWidth="1"/>
    <col min="5637" max="5637" width="45.5" style="654" customWidth="1"/>
    <col min="5638" max="5638" width="7.1640625" style="654" customWidth="1"/>
    <col min="5639" max="5639" width="0.5" style="654" customWidth="1"/>
    <col min="5640" max="5677" width="10.5" style="654" customWidth="1"/>
    <col min="5678" max="5683" width="9.5" style="654" customWidth="1"/>
    <col min="5684" max="5684" width="10.5" style="654" customWidth="1"/>
    <col min="5685" max="5689" width="9.5" style="654" customWidth="1"/>
    <col min="5690" max="5888" width="8.5" style="654"/>
    <col min="5889" max="5891" width="2" style="654" customWidth="1"/>
    <col min="5892" max="5892" width="2.5" style="654" customWidth="1"/>
    <col min="5893" max="5893" width="45.5" style="654" customWidth="1"/>
    <col min="5894" max="5894" width="7.1640625" style="654" customWidth="1"/>
    <col min="5895" max="5895" width="0.5" style="654" customWidth="1"/>
    <col min="5896" max="5933" width="10.5" style="654" customWidth="1"/>
    <col min="5934" max="5939" width="9.5" style="654" customWidth="1"/>
    <col min="5940" max="5940" width="10.5" style="654" customWidth="1"/>
    <col min="5941" max="5945" width="9.5" style="654" customWidth="1"/>
    <col min="5946" max="6144" width="8.5" style="654"/>
    <col min="6145" max="6147" width="2" style="654" customWidth="1"/>
    <col min="6148" max="6148" width="2.5" style="654" customWidth="1"/>
    <col min="6149" max="6149" width="45.5" style="654" customWidth="1"/>
    <col min="6150" max="6150" width="7.1640625" style="654" customWidth="1"/>
    <col min="6151" max="6151" width="0.5" style="654" customWidth="1"/>
    <col min="6152" max="6189" width="10.5" style="654" customWidth="1"/>
    <col min="6190" max="6195" width="9.5" style="654" customWidth="1"/>
    <col min="6196" max="6196" width="10.5" style="654" customWidth="1"/>
    <col min="6197" max="6201" width="9.5" style="654" customWidth="1"/>
    <col min="6202" max="6400" width="8.5" style="654"/>
    <col min="6401" max="6403" width="2" style="654" customWidth="1"/>
    <col min="6404" max="6404" width="2.5" style="654" customWidth="1"/>
    <col min="6405" max="6405" width="45.5" style="654" customWidth="1"/>
    <col min="6406" max="6406" width="7.1640625" style="654" customWidth="1"/>
    <col min="6407" max="6407" width="0.5" style="654" customWidth="1"/>
    <col min="6408" max="6445" width="10.5" style="654" customWidth="1"/>
    <col min="6446" max="6451" width="9.5" style="654" customWidth="1"/>
    <col min="6452" max="6452" width="10.5" style="654" customWidth="1"/>
    <col min="6453" max="6457" width="9.5" style="654" customWidth="1"/>
    <col min="6458" max="6656" width="8.5" style="654"/>
    <col min="6657" max="6659" width="2" style="654" customWidth="1"/>
    <col min="6660" max="6660" width="2.5" style="654" customWidth="1"/>
    <col min="6661" max="6661" width="45.5" style="654" customWidth="1"/>
    <col min="6662" max="6662" width="7.1640625" style="654" customWidth="1"/>
    <col min="6663" max="6663" width="0.5" style="654" customWidth="1"/>
    <col min="6664" max="6701" width="10.5" style="654" customWidth="1"/>
    <col min="6702" max="6707" width="9.5" style="654" customWidth="1"/>
    <col min="6708" max="6708" width="10.5" style="654" customWidth="1"/>
    <col min="6709" max="6713" width="9.5" style="654" customWidth="1"/>
    <col min="6714" max="6912" width="8.5" style="654"/>
    <col min="6913" max="6915" width="2" style="654" customWidth="1"/>
    <col min="6916" max="6916" width="2.5" style="654" customWidth="1"/>
    <col min="6917" max="6917" width="45.5" style="654" customWidth="1"/>
    <col min="6918" max="6918" width="7.1640625" style="654" customWidth="1"/>
    <col min="6919" max="6919" width="0.5" style="654" customWidth="1"/>
    <col min="6920" max="6957" width="10.5" style="654" customWidth="1"/>
    <col min="6958" max="6963" width="9.5" style="654" customWidth="1"/>
    <col min="6964" max="6964" width="10.5" style="654" customWidth="1"/>
    <col min="6965" max="6969" width="9.5" style="654" customWidth="1"/>
    <col min="6970" max="7168" width="8.5" style="654"/>
    <col min="7169" max="7171" width="2" style="654" customWidth="1"/>
    <col min="7172" max="7172" width="2.5" style="654" customWidth="1"/>
    <col min="7173" max="7173" width="45.5" style="654" customWidth="1"/>
    <col min="7174" max="7174" width="7.1640625" style="654" customWidth="1"/>
    <col min="7175" max="7175" width="0.5" style="654" customWidth="1"/>
    <col min="7176" max="7213" width="10.5" style="654" customWidth="1"/>
    <col min="7214" max="7219" width="9.5" style="654" customWidth="1"/>
    <col min="7220" max="7220" width="10.5" style="654" customWidth="1"/>
    <col min="7221" max="7225" width="9.5" style="654" customWidth="1"/>
    <col min="7226" max="7424" width="8.5" style="654"/>
    <col min="7425" max="7427" width="2" style="654" customWidth="1"/>
    <col min="7428" max="7428" width="2.5" style="654" customWidth="1"/>
    <col min="7429" max="7429" width="45.5" style="654" customWidth="1"/>
    <col min="7430" max="7430" width="7.1640625" style="654" customWidth="1"/>
    <col min="7431" max="7431" width="0.5" style="654" customWidth="1"/>
    <col min="7432" max="7469" width="10.5" style="654" customWidth="1"/>
    <col min="7470" max="7475" width="9.5" style="654" customWidth="1"/>
    <col min="7476" max="7476" width="10.5" style="654" customWidth="1"/>
    <col min="7477" max="7481" width="9.5" style="654" customWidth="1"/>
    <col min="7482" max="7680" width="8.5" style="654"/>
    <col min="7681" max="7683" width="2" style="654" customWidth="1"/>
    <col min="7684" max="7684" width="2.5" style="654" customWidth="1"/>
    <col min="7685" max="7685" width="45.5" style="654" customWidth="1"/>
    <col min="7686" max="7686" width="7.1640625" style="654" customWidth="1"/>
    <col min="7687" max="7687" width="0.5" style="654" customWidth="1"/>
    <col min="7688" max="7725" width="10.5" style="654" customWidth="1"/>
    <col min="7726" max="7731" width="9.5" style="654" customWidth="1"/>
    <col min="7732" max="7732" width="10.5" style="654" customWidth="1"/>
    <col min="7733" max="7737" width="9.5" style="654" customWidth="1"/>
    <col min="7738" max="7936" width="8.5" style="654"/>
    <col min="7937" max="7939" width="2" style="654" customWidth="1"/>
    <col min="7940" max="7940" width="2.5" style="654" customWidth="1"/>
    <col min="7941" max="7941" width="45.5" style="654" customWidth="1"/>
    <col min="7942" max="7942" width="7.1640625" style="654" customWidth="1"/>
    <col min="7943" max="7943" width="0.5" style="654" customWidth="1"/>
    <col min="7944" max="7981" width="10.5" style="654" customWidth="1"/>
    <col min="7982" max="7987" width="9.5" style="654" customWidth="1"/>
    <col min="7988" max="7988" width="10.5" style="654" customWidth="1"/>
    <col min="7989" max="7993" width="9.5" style="654" customWidth="1"/>
    <col min="7994" max="8192" width="8.5" style="654"/>
    <col min="8193" max="8195" width="2" style="654" customWidth="1"/>
    <col min="8196" max="8196" width="2.5" style="654" customWidth="1"/>
    <col min="8197" max="8197" width="45.5" style="654" customWidth="1"/>
    <col min="8198" max="8198" width="7.1640625" style="654" customWidth="1"/>
    <col min="8199" max="8199" width="0.5" style="654" customWidth="1"/>
    <col min="8200" max="8237" width="10.5" style="654" customWidth="1"/>
    <col min="8238" max="8243" width="9.5" style="654" customWidth="1"/>
    <col min="8244" max="8244" width="10.5" style="654" customWidth="1"/>
    <col min="8245" max="8249" width="9.5" style="654" customWidth="1"/>
    <col min="8250" max="8448" width="8.5" style="654"/>
    <col min="8449" max="8451" width="2" style="654" customWidth="1"/>
    <col min="8452" max="8452" width="2.5" style="654" customWidth="1"/>
    <col min="8453" max="8453" width="45.5" style="654" customWidth="1"/>
    <col min="8454" max="8454" width="7.1640625" style="654" customWidth="1"/>
    <col min="8455" max="8455" width="0.5" style="654" customWidth="1"/>
    <col min="8456" max="8493" width="10.5" style="654" customWidth="1"/>
    <col min="8494" max="8499" width="9.5" style="654" customWidth="1"/>
    <col min="8500" max="8500" width="10.5" style="654" customWidth="1"/>
    <col min="8501" max="8505" width="9.5" style="654" customWidth="1"/>
    <col min="8506" max="8704" width="8.5" style="654"/>
    <col min="8705" max="8707" width="2" style="654" customWidth="1"/>
    <col min="8708" max="8708" width="2.5" style="654" customWidth="1"/>
    <col min="8709" max="8709" width="45.5" style="654" customWidth="1"/>
    <col min="8710" max="8710" width="7.1640625" style="654" customWidth="1"/>
    <col min="8711" max="8711" width="0.5" style="654" customWidth="1"/>
    <col min="8712" max="8749" width="10.5" style="654" customWidth="1"/>
    <col min="8750" max="8755" width="9.5" style="654" customWidth="1"/>
    <col min="8756" max="8756" width="10.5" style="654" customWidth="1"/>
    <col min="8757" max="8761" width="9.5" style="654" customWidth="1"/>
    <col min="8762" max="8960" width="8.5" style="654"/>
    <col min="8961" max="8963" width="2" style="654" customWidth="1"/>
    <col min="8964" max="8964" width="2.5" style="654" customWidth="1"/>
    <col min="8965" max="8965" width="45.5" style="654" customWidth="1"/>
    <col min="8966" max="8966" width="7.1640625" style="654" customWidth="1"/>
    <col min="8967" max="8967" width="0.5" style="654" customWidth="1"/>
    <col min="8968" max="9005" width="10.5" style="654" customWidth="1"/>
    <col min="9006" max="9011" width="9.5" style="654" customWidth="1"/>
    <col min="9012" max="9012" width="10.5" style="654" customWidth="1"/>
    <col min="9013" max="9017" width="9.5" style="654" customWidth="1"/>
    <col min="9018" max="9216" width="8.5" style="654"/>
    <col min="9217" max="9219" width="2" style="654" customWidth="1"/>
    <col min="9220" max="9220" width="2.5" style="654" customWidth="1"/>
    <col min="9221" max="9221" width="45.5" style="654" customWidth="1"/>
    <col min="9222" max="9222" width="7.1640625" style="654" customWidth="1"/>
    <col min="9223" max="9223" width="0.5" style="654" customWidth="1"/>
    <col min="9224" max="9261" width="10.5" style="654" customWidth="1"/>
    <col min="9262" max="9267" width="9.5" style="654" customWidth="1"/>
    <col min="9268" max="9268" width="10.5" style="654" customWidth="1"/>
    <col min="9269" max="9273" width="9.5" style="654" customWidth="1"/>
    <col min="9274" max="9472" width="8.5" style="654"/>
    <col min="9473" max="9475" width="2" style="654" customWidth="1"/>
    <col min="9476" max="9476" width="2.5" style="654" customWidth="1"/>
    <col min="9477" max="9477" width="45.5" style="654" customWidth="1"/>
    <col min="9478" max="9478" width="7.1640625" style="654" customWidth="1"/>
    <col min="9479" max="9479" width="0.5" style="654" customWidth="1"/>
    <col min="9480" max="9517" width="10.5" style="654" customWidth="1"/>
    <col min="9518" max="9523" width="9.5" style="654" customWidth="1"/>
    <col min="9524" max="9524" width="10.5" style="654" customWidth="1"/>
    <col min="9525" max="9529" width="9.5" style="654" customWidth="1"/>
    <col min="9530" max="9728" width="8.5" style="654"/>
    <col min="9729" max="9731" width="2" style="654" customWidth="1"/>
    <col min="9732" max="9732" width="2.5" style="654" customWidth="1"/>
    <col min="9733" max="9733" width="45.5" style="654" customWidth="1"/>
    <col min="9734" max="9734" width="7.1640625" style="654" customWidth="1"/>
    <col min="9735" max="9735" width="0.5" style="654" customWidth="1"/>
    <col min="9736" max="9773" width="10.5" style="654" customWidth="1"/>
    <col min="9774" max="9779" width="9.5" style="654" customWidth="1"/>
    <col min="9780" max="9780" width="10.5" style="654" customWidth="1"/>
    <col min="9781" max="9785" width="9.5" style="654" customWidth="1"/>
    <col min="9786" max="9984" width="8.5" style="654"/>
    <col min="9985" max="9987" width="2" style="654" customWidth="1"/>
    <col min="9988" max="9988" width="2.5" style="654" customWidth="1"/>
    <col min="9989" max="9989" width="45.5" style="654" customWidth="1"/>
    <col min="9990" max="9990" width="7.1640625" style="654" customWidth="1"/>
    <col min="9991" max="9991" width="0.5" style="654" customWidth="1"/>
    <col min="9992" max="10029" width="10.5" style="654" customWidth="1"/>
    <col min="10030" max="10035" width="9.5" style="654" customWidth="1"/>
    <col min="10036" max="10036" width="10.5" style="654" customWidth="1"/>
    <col min="10037" max="10041" width="9.5" style="654" customWidth="1"/>
    <col min="10042" max="10240" width="8.5" style="654"/>
    <col min="10241" max="10243" width="2" style="654" customWidth="1"/>
    <col min="10244" max="10244" width="2.5" style="654" customWidth="1"/>
    <col min="10245" max="10245" width="45.5" style="654" customWidth="1"/>
    <col min="10246" max="10246" width="7.1640625" style="654" customWidth="1"/>
    <col min="10247" max="10247" width="0.5" style="654" customWidth="1"/>
    <col min="10248" max="10285" width="10.5" style="654" customWidth="1"/>
    <col min="10286" max="10291" width="9.5" style="654" customWidth="1"/>
    <col min="10292" max="10292" width="10.5" style="654" customWidth="1"/>
    <col min="10293" max="10297" width="9.5" style="654" customWidth="1"/>
    <col min="10298" max="10496" width="8.5" style="654"/>
    <col min="10497" max="10499" width="2" style="654" customWidth="1"/>
    <col min="10500" max="10500" width="2.5" style="654" customWidth="1"/>
    <col min="10501" max="10501" width="45.5" style="654" customWidth="1"/>
    <col min="10502" max="10502" width="7.1640625" style="654" customWidth="1"/>
    <col min="10503" max="10503" width="0.5" style="654" customWidth="1"/>
    <col min="10504" max="10541" width="10.5" style="654" customWidth="1"/>
    <col min="10542" max="10547" width="9.5" style="654" customWidth="1"/>
    <col min="10548" max="10548" width="10.5" style="654" customWidth="1"/>
    <col min="10549" max="10553" width="9.5" style="654" customWidth="1"/>
    <col min="10554" max="10752" width="8.5" style="654"/>
    <col min="10753" max="10755" width="2" style="654" customWidth="1"/>
    <col min="10756" max="10756" width="2.5" style="654" customWidth="1"/>
    <col min="10757" max="10757" width="45.5" style="654" customWidth="1"/>
    <col min="10758" max="10758" width="7.1640625" style="654" customWidth="1"/>
    <col min="10759" max="10759" width="0.5" style="654" customWidth="1"/>
    <col min="10760" max="10797" width="10.5" style="654" customWidth="1"/>
    <col min="10798" max="10803" width="9.5" style="654" customWidth="1"/>
    <col min="10804" max="10804" width="10.5" style="654" customWidth="1"/>
    <col min="10805" max="10809" width="9.5" style="654" customWidth="1"/>
    <col min="10810" max="11008" width="8.5" style="654"/>
    <col min="11009" max="11011" width="2" style="654" customWidth="1"/>
    <col min="11012" max="11012" width="2.5" style="654" customWidth="1"/>
    <col min="11013" max="11013" width="45.5" style="654" customWidth="1"/>
    <col min="11014" max="11014" width="7.1640625" style="654" customWidth="1"/>
    <col min="11015" max="11015" width="0.5" style="654" customWidth="1"/>
    <col min="11016" max="11053" width="10.5" style="654" customWidth="1"/>
    <col min="11054" max="11059" width="9.5" style="654" customWidth="1"/>
    <col min="11060" max="11060" width="10.5" style="654" customWidth="1"/>
    <col min="11061" max="11065" width="9.5" style="654" customWidth="1"/>
    <col min="11066" max="11264" width="8.5" style="654"/>
    <col min="11265" max="11267" width="2" style="654" customWidth="1"/>
    <col min="11268" max="11268" width="2.5" style="654" customWidth="1"/>
    <col min="11269" max="11269" width="45.5" style="654" customWidth="1"/>
    <col min="11270" max="11270" width="7.1640625" style="654" customWidth="1"/>
    <col min="11271" max="11271" width="0.5" style="654" customWidth="1"/>
    <col min="11272" max="11309" width="10.5" style="654" customWidth="1"/>
    <col min="11310" max="11315" width="9.5" style="654" customWidth="1"/>
    <col min="11316" max="11316" width="10.5" style="654" customWidth="1"/>
    <col min="11317" max="11321" width="9.5" style="654" customWidth="1"/>
    <col min="11322" max="11520" width="8.5" style="654"/>
    <col min="11521" max="11523" width="2" style="654" customWidth="1"/>
    <col min="11524" max="11524" width="2.5" style="654" customWidth="1"/>
    <col min="11525" max="11525" width="45.5" style="654" customWidth="1"/>
    <col min="11526" max="11526" width="7.1640625" style="654" customWidth="1"/>
    <col min="11527" max="11527" width="0.5" style="654" customWidth="1"/>
    <col min="11528" max="11565" width="10.5" style="654" customWidth="1"/>
    <col min="11566" max="11571" width="9.5" style="654" customWidth="1"/>
    <col min="11572" max="11572" width="10.5" style="654" customWidth="1"/>
    <col min="11573" max="11577" width="9.5" style="654" customWidth="1"/>
    <col min="11578" max="11776" width="8.5" style="654"/>
    <col min="11777" max="11779" width="2" style="654" customWidth="1"/>
    <col min="11780" max="11780" width="2.5" style="654" customWidth="1"/>
    <col min="11781" max="11781" width="45.5" style="654" customWidth="1"/>
    <col min="11782" max="11782" width="7.1640625" style="654" customWidth="1"/>
    <col min="11783" max="11783" width="0.5" style="654" customWidth="1"/>
    <col min="11784" max="11821" width="10.5" style="654" customWidth="1"/>
    <col min="11822" max="11827" width="9.5" style="654" customWidth="1"/>
    <col min="11828" max="11828" width="10.5" style="654" customWidth="1"/>
    <col min="11829" max="11833" width="9.5" style="654" customWidth="1"/>
    <col min="11834" max="12032" width="8.5" style="654"/>
    <col min="12033" max="12035" width="2" style="654" customWidth="1"/>
    <col min="12036" max="12036" width="2.5" style="654" customWidth="1"/>
    <col min="12037" max="12037" width="45.5" style="654" customWidth="1"/>
    <col min="12038" max="12038" width="7.1640625" style="654" customWidth="1"/>
    <col min="12039" max="12039" width="0.5" style="654" customWidth="1"/>
    <col min="12040" max="12077" width="10.5" style="654" customWidth="1"/>
    <col min="12078" max="12083" width="9.5" style="654" customWidth="1"/>
    <col min="12084" max="12084" width="10.5" style="654" customWidth="1"/>
    <col min="12085" max="12089" width="9.5" style="654" customWidth="1"/>
    <col min="12090" max="12288" width="8.5" style="654"/>
    <col min="12289" max="12291" width="2" style="654" customWidth="1"/>
    <col min="12292" max="12292" width="2.5" style="654" customWidth="1"/>
    <col min="12293" max="12293" width="45.5" style="654" customWidth="1"/>
    <col min="12294" max="12294" width="7.1640625" style="654" customWidth="1"/>
    <col min="12295" max="12295" width="0.5" style="654" customWidth="1"/>
    <col min="12296" max="12333" width="10.5" style="654" customWidth="1"/>
    <col min="12334" max="12339" width="9.5" style="654" customWidth="1"/>
    <col min="12340" max="12340" width="10.5" style="654" customWidth="1"/>
    <col min="12341" max="12345" width="9.5" style="654" customWidth="1"/>
    <col min="12346" max="12544" width="8.5" style="654"/>
    <col min="12545" max="12547" width="2" style="654" customWidth="1"/>
    <col min="12548" max="12548" width="2.5" style="654" customWidth="1"/>
    <col min="12549" max="12549" width="45.5" style="654" customWidth="1"/>
    <col min="12550" max="12550" width="7.1640625" style="654" customWidth="1"/>
    <col min="12551" max="12551" width="0.5" style="654" customWidth="1"/>
    <col min="12552" max="12589" width="10.5" style="654" customWidth="1"/>
    <col min="12590" max="12595" width="9.5" style="654" customWidth="1"/>
    <col min="12596" max="12596" width="10.5" style="654" customWidth="1"/>
    <col min="12597" max="12601" width="9.5" style="654" customWidth="1"/>
    <col min="12602" max="12800" width="8.5" style="654"/>
    <col min="12801" max="12803" width="2" style="654" customWidth="1"/>
    <col min="12804" max="12804" width="2.5" style="654" customWidth="1"/>
    <col min="12805" max="12805" width="45.5" style="654" customWidth="1"/>
    <col min="12806" max="12806" width="7.1640625" style="654" customWidth="1"/>
    <col min="12807" max="12807" width="0.5" style="654" customWidth="1"/>
    <col min="12808" max="12845" width="10.5" style="654" customWidth="1"/>
    <col min="12846" max="12851" width="9.5" style="654" customWidth="1"/>
    <col min="12852" max="12852" width="10.5" style="654" customWidth="1"/>
    <col min="12853" max="12857" width="9.5" style="654" customWidth="1"/>
    <col min="12858" max="13056" width="8.5" style="654"/>
    <col min="13057" max="13059" width="2" style="654" customWidth="1"/>
    <col min="13060" max="13060" width="2.5" style="654" customWidth="1"/>
    <col min="13061" max="13061" width="45.5" style="654" customWidth="1"/>
    <col min="13062" max="13062" width="7.1640625" style="654" customWidth="1"/>
    <col min="13063" max="13063" width="0.5" style="654" customWidth="1"/>
    <col min="13064" max="13101" width="10.5" style="654" customWidth="1"/>
    <col min="13102" max="13107" width="9.5" style="654" customWidth="1"/>
    <col min="13108" max="13108" width="10.5" style="654" customWidth="1"/>
    <col min="13109" max="13113" width="9.5" style="654" customWidth="1"/>
    <col min="13114" max="13312" width="8.5" style="654"/>
    <col min="13313" max="13315" width="2" style="654" customWidth="1"/>
    <col min="13316" max="13316" width="2.5" style="654" customWidth="1"/>
    <col min="13317" max="13317" width="45.5" style="654" customWidth="1"/>
    <col min="13318" max="13318" width="7.1640625" style="654" customWidth="1"/>
    <col min="13319" max="13319" width="0.5" style="654" customWidth="1"/>
    <col min="13320" max="13357" width="10.5" style="654" customWidth="1"/>
    <col min="13358" max="13363" width="9.5" style="654" customWidth="1"/>
    <col min="13364" max="13364" width="10.5" style="654" customWidth="1"/>
    <col min="13365" max="13369" width="9.5" style="654" customWidth="1"/>
    <col min="13370" max="13568" width="8.5" style="654"/>
    <col min="13569" max="13571" width="2" style="654" customWidth="1"/>
    <col min="13572" max="13572" width="2.5" style="654" customWidth="1"/>
    <col min="13573" max="13573" width="45.5" style="654" customWidth="1"/>
    <col min="13574" max="13574" width="7.1640625" style="654" customWidth="1"/>
    <col min="13575" max="13575" width="0.5" style="654" customWidth="1"/>
    <col min="13576" max="13613" width="10.5" style="654" customWidth="1"/>
    <col min="13614" max="13619" width="9.5" style="654" customWidth="1"/>
    <col min="13620" max="13620" width="10.5" style="654" customWidth="1"/>
    <col min="13621" max="13625" width="9.5" style="654" customWidth="1"/>
    <col min="13626" max="13824" width="8.5" style="654"/>
    <col min="13825" max="13827" width="2" style="654" customWidth="1"/>
    <col min="13828" max="13828" width="2.5" style="654" customWidth="1"/>
    <col min="13829" max="13829" width="45.5" style="654" customWidth="1"/>
    <col min="13830" max="13830" width="7.1640625" style="654" customWidth="1"/>
    <col min="13831" max="13831" width="0.5" style="654" customWidth="1"/>
    <col min="13832" max="13869" width="10.5" style="654" customWidth="1"/>
    <col min="13870" max="13875" width="9.5" style="654" customWidth="1"/>
    <col min="13876" max="13876" width="10.5" style="654" customWidth="1"/>
    <col min="13877" max="13881" width="9.5" style="654" customWidth="1"/>
    <col min="13882" max="14080" width="8.5" style="654"/>
    <col min="14081" max="14083" width="2" style="654" customWidth="1"/>
    <col min="14084" max="14084" width="2.5" style="654" customWidth="1"/>
    <col min="14085" max="14085" width="45.5" style="654" customWidth="1"/>
    <col min="14086" max="14086" width="7.1640625" style="654" customWidth="1"/>
    <col min="14087" max="14087" width="0.5" style="654" customWidth="1"/>
    <col min="14088" max="14125" width="10.5" style="654" customWidth="1"/>
    <col min="14126" max="14131" width="9.5" style="654" customWidth="1"/>
    <col min="14132" max="14132" width="10.5" style="654" customWidth="1"/>
    <col min="14133" max="14137" width="9.5" style="654" customWidth="1"/>
    <col min="14138" max="14336" width="8.5" style="654"/>
    <col min="14337" max="14339" width="2" style="654" customWidth="1"/>
    <col min="14340" max="14340" width="2.5" style="654" customWidth="1"/>
    <col min="14341" max="14341" width="45.5" style="654" customWidth="1"/>
    <col min="14342" max="14342" width="7.1640625" style="654" customWidth="1"/>
    <col min="14343" max="14343" width="0.5" style="654" customWidth="1"/>
    <col min="14344" max="14381" width="10.5" style="654" customWidth="1"/>
    <col min="14382" max="14387" width="9.5" style="654" customWidth="1"/>
    <col min="14388" max="14388" width="10.5" style="654" customWidth="1"/>
    <col min="14389" max="14393" width="9.5" style="654" customWidth="1"/>
    <col min="14394" max="14592" width="8.5" style="654"/>
    <col min="14593" max="14595" width="2" style="654" customWidth="1"/>
    <col min="14596" max="14596" width="2.5" style="654" customWidth="1"/>
    <col min="14597" max="14597" width="45.5" style="654" customWidth="1"/>
    <col min="14598" max="14598" width="7.1640625" style="654" customWidth="1"/>
    <col min="14599" max="14599" width="0.5" style="654" customWidth="1"/>
    <col min="14600" max="14637" width="10.5" style="654" customWidth="1"/>
    <col min="14638" max="14643" width="9.5" style="654" customWidth="1"/>
    <col min="14644" max="14644" width="10.5" style="654" customWidth="1"/>
    <col min="14645" max="14649" width="9.5" style="654" customWidth="1"/>
    <col min="14650" max="14848" width="8.5" style="654"/>
    <col min="14849" max="14851" width="2" style="654" customWidth="1"/>
    <col min="14852" max="14852" width="2.5" style="654" customWidth="1"/>
    <col min="14853" max="14853" width="45.5" style="654" customWidth="1"/>
    <col min="14854" max="14854" width="7.1640625" style="654" customWidth="1"/>
    <col min="14855" max="14855" width="0.5" style="654" customWidth="1"/>
    <col min="14856" max="14893" width="10.5" style="654" customWidth="1"/>
    <col min="14894" max="14899" width="9.5" style="654" customWidth="1"/>
    <col min="14900" max="14900" width="10.5" style="654" customWidth="1"/>
    <col min="14901" max="14905" width="9.5" style="654" customWidth="1"/>
    <col min="14906" max="15104" width="8.5" style="654"/>
    <col min="15105" max="15107" width="2" style="654" customWidth="1"/>
    <col min="15108" max="15108" width="2.5" style="654" customWidth="1"/>
    <col min="15109" max="15109" width="45.5" style="654" customWidth="1"/>
    <col min="15110" max="15110" width="7.1640625" style="654" customWidth="1"/>
    <col min="15111" max="15111" width="0.5" style="654" customWidth="1"/>
    <col min="15112" max="15149" width="10.5" style="654" customWidth="1"/>
    <col min="15150" max="15155" width="9.5" style="654" customWidth="1"/>
    <col min="15156" max="15156" width="10.5" style="654" customWidth="1"/>
    <col min="15157" max="15161" width="9.5" style="654" customWidth="1"/>
    <col min="15162" max="15360" width="8.5" style="654"/>
    <col min="15361" max="15363" width="2" style="654" customWidth="1"/>
    <col min="15364" max="15364" width="2.5" style="654" customWidth="1"/>
    <col min="15365" max="15365" width="45.5" style="654" customWidth="1"/>
    <col min="15366" max="15366" width="7.1640625" style="654" customWidth="1"/>
    <col min="15367" max="15367" width="0.5" style="654" customWidth="1"/>
    <col min="15368" max="15405" width="10.5" style="654" customWidth="1"/>
    <col min="15406" max="15411" width="9.5" style="654" customWidth="1"/>
    <col min="15412" max="15412" width="10.5" style="654" customWidth="1"/>
    <col min="15413" max="15417" width="9.5" style="654" customWidth="1"/>
    <col min="15418" max="15616" width="8.5" style="654"/>
    <col min="15617" max="15619" width="2" style="654" customWidth="1"/>
    <col min="15620" max="15620" width="2.5" style="654" customWidth="1"/>
    <col min="15621" max="15621" width="45.5" style="654" customWidth="1"/>
    <col min="15622" max="15622" width="7.1640625" style="654" customWidth="1"/>
    <col min="15623" max="15623" width="0.5" style="654" customWidth="1"/>
    <col min="15624" max="15661" width="10.5" style="654" customWidth="1"/>
    <col min="15662" max="15667" width="9.5" style="654" customWidth="1"/>
    <col min="15668" max="15668" width="10.5" style="654" customWidth="1"/>
    <col min="15669" max="15673" width="9.5" style="654" customWidth="1"/>
    <col min="15674" max="15872" width="8.5" style="654"/>
    <col min="15873" max="15875" width="2" style="654" customWidth="1"/>
    <col min="15876" max="15876" width="2.5" style="654" customWidth="1"/>
    <col min="15877" max="15877" width="45.5" style="654" customWidth="1"/>
    <col min="15878" max="15878" width="7.1640625" style="654" customWidth="1"/>
    <col min="15879" max="15879" width="0.5" style="654" customWidth="1"/>
    <col min="15880" max="15917" width="10.5" style="654" customWidth="1"/>
    <col min="15918" max="15923" width="9.5" style="654" customWidth="1"/>
    <col min="15924" max="15924" width="10.5" style="654" customWidth="1"/>
    <col min="15925" max="15929" width="9.5" style="654" customWidth="1"/>
    <col min="15930" max="16128" width="8.5" style="654"/>
    <col min="16129" max="16131" width="2" style="654" customWidth="1"/>
    <col min="16132" max="16132" width="2.5" style="654" customWidth="1"/>
    <col min="16133" max="16133" width="45.5" style="654" customWidth="1"/>
    <col min="16134" max="16134" width="7.1640625" style="654" customWidth="1"/>
    <col min="16135" max="16135" width="0.5" style="654" customWidth="1"/>
    <col min="16136" max="16173" width="10.5" style="654" customWidth="1"/>
    <col min="16174" max="16179" width="9.5" style="654" customWidth="1"/>
    <col min="16180" max="16180" width="10.5" style="654" customWidth="1"/>
    <col min="16181" max="16185" width="9.5" style="654" customWidth="1"/>
    <col min="16186" max="16384" width="8.5" style="654"/>
  </cols>
  <sheetData>
    <row r="1" spans="1:73">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956</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202948.45705550778</v>
      </c>
      <c r="I4" s="723">
        <v>824.85430400305722</v>
      </c>
      <c r="J4" s="725">
        <v>0</v>
      </c>
      <c r="K4" s="725">
        <v>0</v>
      </c>
      <c r="L4" s="725">
        <v>824.85430400305722</v>
      </c>
      <c r="M4" s="725">
        <v>0</v>
      </c>
      <c r="N4" s="725">
        <v>0</v>
      </c>
      <c r="O4" s="725"/>
      <c r="P4" s="725"/>
      <c r="Q4" s="725"/>
      <c r="R4" s="725"/>
      <c r="S4" s="725"/>
      <c r="T4" s="725">
        <v>0</v>
      </c>
      <c r="U4" s="725"/>
      <c r="V4" s="725">
        <v>0</v>
      </c>
      <c r="W4" s="723">
        <v>87424.381389127724</v>
      </c>
      <c r="X4" s="725">
        <v>77825.045380720359</v>
      </c>
      <c r="Y4" s="725">
        <v>9500</v>
      </c>
      <c r="Z4" s="725"/>
      <c r="AA4" s="725">
        <v>99.312123817712802</v>
      </c>
      <c r="AB4" s="725"/>
      <c r="AC4" s="725"/>
      <c r="AD4" s="725"/>
      <c r="AE4" s="725"/>
      <c r="AF4" s="725"/>
      <c r="AG4" s="725"/>
      <c r="AH4" s="725"/>
      <c r="AI4" s="725"/>
      <c r="AJ4" s="725"/>
      <c r="AK4" s="725"/>
      <c r="AL4" s="725"/>
      <c r="AM4" s="725"/>
      <c r="AN4" s="725"/>
      <c r="AO4" s="725"/>
      <c r="AP4" s="725"/>
      <c r="AQ4" s="725"/>
      <c r="AR4" s="725"/>
      <c r="AS4" s="725"/>
      <c r="AT4" s="723">
        <v>100770.0630553167</v>
      </c>
      <c r="AU4" s="725">
        <v>100770.0630553167</v>
      </c>
      <c r="AV4" s="725"/>
      <c r="AW4" s="725"/>
      <c r="AX4" s="725"/>
      <c r="AY4" s="725"/>
      <c r="AZ4" s="723">
        <v>13742.261392949269</v>
      </c>
      <c r="BA4" s="725">
        <v>12187.446259673257</v>
      </c>
      <c r="BB4" s="725">
        <v>133.10881819050348</v>
      </c>
      <c r="BC4" s="725">
        <v>0</v>
      </c>
      <c r="BD4" s="725">
        <v>0</v>
      </c>
      <c r="BE4" s="725">
        <v>0</v>
      </c>
      <c r="BF4" s="725">
        <v>1150.8311837202637</v>
      </c>
      <c r="BG4" s="725"/>
      <c r="BH4" s="725">
        <v>28.351007929683767</v>
      </c>
      <c r="BI4" s="725">
        <v>179.87484475016717</v>
      </c>
      <c r="BJ4" s="725">
        <v>0</v>
      </c>
      <c r="BK4" s="725">
        <v>62.649278685392183</v>
      </c>
      <c r="BL4" s="725">
        <v>0</v>
      </c>
      <c r="BM4" s="725">
        <v>0</v>
      </c>
      <c r="BN4" s="725">
        <v>0</v>
      </c>
      <c r="BO4" s="723">
        <v>186.92079870067832</v>
      </c>
      <c r="BP4" s="725">
        <v>7.0459539505111302</v>
      </c>
      <c r="BQ4" s="725">
        <v>179.87484475016717</v>
      </c>
      <c r="BR4" s="724">
        <v>0</v>
      </c>
      <c r="BS4" s="724"/>
      <c r="BT4" s="723"/>
    </row>
    <row r="5" spans="1:73">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c r="A12" s="680" t="s">
        <v>968</v>
      </c>
      <c r="B12" s="679" t="s">
        <v>164</v>
      </c>
      <c r="C12" s="679"/>
      <c r="D12" s="679"/>
      <c r="E12" s="679"/>
      <c r="F12" s="678" t="s">
        <v>1276</v>
      </c>
      <c r="G12" s="678"/>
      <c r="H12" s="677">
        <v>6956.21954714818</v>
      </c>
      <c r="I12" s="674">
        <v>804.50463361039454</v>
      </c>
      <c r="J12" s="676">
        <v>0</v>
      </c>
      <c r="K12" s="676">
        <v>0</v>
      </c>
      <c r="L12" s="676">
        <v>485.23932358842075</v>
      </c>
      <c r="M12" s="676">
        <v>0</v>
      </c>
      <c r="N12" s="676">
        <v>0</v>
      </c>
      <c r="O12" s="676">
        <v>0</v>
      </c>
      <c r="P12" s="676">
        <v>319.24142543231108</v>
      </c>
      <c r="Q12" s="676">
        <v>0</v>
      </c>
      <c r="R12" s="676">
        <v>0</v>
      </c>
      <c r="S12" s="676">
        <v>0</v>
      </c>
      <c r="T12" s="676">
        <v>0</v>
      </c>
      <c r="U12" s="676">
        <v>0</v>
      </c>
      <c r="V12" s="676">
        <v>0</v>
      </c>
      <c r="W12" s="674">
        <v>5625.1791344224703</v>
      </c>
      <c r="X12" s="676">
        <v>1358.0538836342791</v>
      </c>
      <c r="Y12" s="676"/>
      <c r="Z12" s="676"/>
      <c r="AA12" s="676"/>
      <c r="AB12" s="676"/>
      <c r="AC12" s="676"/>
      <c r="AD12" s="676">
        <v>61.670010509219452</v>
      </c>
      <c r="AE12" s="676">
        <v>201.49039839495558</v>
      </c>
      <c r="AF12" s="676">
        <v>185.58326167956434</v>
      </c>
      <c r="AG12" s="676"/>
      <c r="AH12" s="676"/>
      <c r="AI12" s="676">
        <v>356.19088564058467</v>
      </c>
      <c r="AJ12" s="676">
        <v>10.294258144645074</v>
      </c>
      <c r="AK12" s="676">
        <v>53.477596254896341</v>
      </c>
      <c r="AL12" s="676">
        <v>1514.2829846183242</v>
      </c>
      <c r="AM12" s="676">
        <v>1148.3710709850004</v>
      </c>
      <c r="AN12" s="676">
        <v>13.542562338779019</v>
      </c>
      <c r="AO12" s="676">
        <v>37.116652335912867</v>
      </c>
      <c r="AP12" s="676">
        <v>358.62711378618513</v>
      </c>
      <c r="AQ12" s="676">
        <v>315.99312123817714</v>
      </c>
      <c r="AR12" s="676"/>
      <c r="AS12" s="676">
        <v>10.509219451609821</v>
      </c>
      <c r="AT12" s="674">
        <v>0</v>
      </c>
      <c r="AU12" s="676">
        <v>0</v>
      </c>
      <c r="AV12" s="676"/>
      <c r="AW12" s="676"/>
      <c r="AX12" s="676"/>
      <c r="AY12" s="676"/>
      <c r="AZ12" s="674">
        <v>166.28451323206266</v>
      </c>
      <c r="BA12" s="676"/>
      <c r="BB12" s="676"/>
      <c r="BC12" s="676"/>
      <c r="BD12" s="676">
        <v>0</v>
      </c>
      <c r="BE12" s="676"/>
      <c r="BF12" s="676">
        <v>33.677271424476928</v>
      </c>
      <c r="BG12" s="676">
        <v>0</v>
      </c>
      <c r="BH12" s="676">
        <v>0</v>
      </c>
      <c r="BI12" s="676">
        <v>0</v>
      </c>
      <c r="BJ12" s="676">
        <v>9.1477978408330944</v>
      </c>
      <c r="BK12" s="676">
        <v>120.5455240278972</v>
      </c>
      <c r="BL12" s="676">
        <v>0</v>
      </c>
      <c r="BM12" s="676">
        <v>2.8900353491927007</v>
      </c>
      <c r="BN12" s="676">
        <v>0</v>
      </c>
      <c r="BO12" s="674">
        <v>0</v>
      </c>
      <c r="BP12" s="676">
        <v>0</v>
      </c>
      <c r="BQ12" s="676">
        <v>0</v>
      </c>
      <c r="BR12" s="675"/>
      <c r="BS12" s="675">
        <v>0</v>
      </c>
      <c r="BT12" s="674">
        <v>360.27515047291485</v>
      </c>
    </row>
    <row r="13" spans="1:73">
      <c r="A13" s="680" t="s">
        <v>968</v>
      </c>
      <c r="B13" s="679" t="s">
        <v>1275</v>
      </c>
      <c r="C13" s="679"/>
      <c r="D13" s="679"/>
      <c r="E13" s="679"/>
      <c r="F13" s="678" t="s">
        <v>1274</v>
      </c>
      <c r="G13" s="678"/>
      <c r="H13" s="677">
        <v>-227.50071653768987</v>
      </c>
      <c r="I13" s="674">
        <v>44.903028565969237</v>
      </c>
      <c r="J13" s="676">
        <v>0</v>
      </c>
      <c r="K13" s="676">
        <v>0</v>
      </c>
      <c r="L13" s="676">
        <v>50.348715009076145</v>
      </c>
      <c r="M13" s="676">
        <v>0</v>
      </c>
      <c r="N13" s="676">
        <v>0</v>
      </c>
      <c r="O13" s="676">
        <v>0</v>
      </c>
      <c r="P13" s="676">
        <v>-5.445686443106907</v>
      </c>
      <c r="Q13" s="676">
        <v>0</v>
      </c>
      <c r="R13" s="676">
        <v>0</v>
      </c>
      <c r="S13" s="676">
        <v>0</v>
      </c>
      <c r="T13" s="676">
        <v>0</v>
      </c>
      <c r="U13" s="676">
        <v>0</v>
      </c>
      <c r="V13" s="676">
        <v>0</v>
      </c>
      <c r="W13" s="674">
        <v>-289.33791917454857</v>
      </c>
      <c r="X13" s="676">
        <v>-101.17512181140728</v>
      </c>
      <c r="Y13" s="676"/>
      <c r="Z13" s="676"/>
      <c r="AA13" s="676"/>
      <c r="AB13" s="676"/>
      <c r="AC13" s="676"/>
      <c r="AD13" s="676">
        <v>2.1973822489729624</v>
      </c>
      <c r="AE13" s="676">
        <v>-49.536638960542653</v>
      </c>
      <c r="AF13" s="676">
        <v>-23.072513614216106</v>
      </c>
      <c r="AG13" s="676"/>
      <c r="AH13" s="676"/>
      <c r="AI13" s="676">
        <v>19.561478933791918</v>
      </c>
      <c r="AJ13" s="676"/>
      <c r="AK13" s="676">
        <v>-48.222986529091429</v>
      </c>
      <c r="AL13" s="676">
        <v>-90.594248590809201</v>
      </c>
      <c r="AM13" s="676">
        <v>14.330753797649756</v>
      </c>
      <c r="AN13" s="676">
        <v>2.0779593006592147</v>
      </c>
      <c r="AO13" s="676">
        <v>1.0031527658354829</v>
      </c>
      <c r="AP13" s="676"/>
      <c r="AQ13" s="676">
        <v>-15.883252125728479</v>
      </c>
      <c r="AR13" s="676"/>
      <c r="AS13" s="676"/>
      <c r="AT13" s="674">
        <v>16.934174070889462</v>
      </c>
      <c r="AU13" s="676">
        <v>16.934174070889462</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c r="A14" s="680" t="s">
        <v>1081</v>
      </c>
      <c r="B14" s="679" t="s">
        <v>170</v>
      </c>
      <c r="C14" s="679"/>
      <c r="D14" s="679"/>
      <c r="E14" s="679"/>
      <c r="F14" s="678" t="s">
        <v>1273</v>
      </c>
      <c r="G14" s="678"/>
      <c r="H14" s="677">
        <v>179279.2347377472</v>
      </c>
      <c r="I14" s="674">
        <v>855.73707843699242</v>
      </c>
      <c r="J14" s="676">
        <v>0</v>
      </c>
      <c r="K14" s="676">
        <v>0</v>
      </c>
      <c r="L14" s="676">
        <v>854.37565682621573</v>
      </c>
      <c r="M14" s="676">
        <v>0</v>
      </c>
      <c r="N14" s="676">
        <v>0</v>
      </c>
      <c r="O14" s="676">
        <v>0</v>
      </c>
      <c r="P14" s="676">
        <v>1.3614216107767267</v>
      </c>
      <c r="Q14" s="676">
        <v>0</v>
      </c>
      <c r="R14" s="676">
        <v>0</v>
      </c>
      <c r="S14" s="676">
        <v>0</v>
      </c>
      <c r="T14" s="676">
        <v>0</v>
      </c>
      <c r="U14" s="676">
        <v>0</v>
      </c>
      <c r="V14" s="676">
        <v>0</v>
      </c>
      <c r="W14" s="674">
        <v>80259.792681761726</v>
      </c>
      <c r="X14" s="676">
        <v>64733.686825260338</v>
      </c>
      <c r="Y14" s="676"/>
      <c r="Z14" s="676"/>
      <c r="AA14" s="676"/>
      <c r="AB14" s="676"/>
      <c r="AC14" s="676"/>
      <c r="AD14" s="676">
        <v>405.20206362854685</v>
      </c>
      <c r="AE14" s="676">
        <v>5204.8103563580771</v>
      </c>
      <c r="AF14" s="676">
        <v>2551.0891372886213</v>
      </c>
      <c r="AG14" s="676"/>
      <c r="AH14" s="676"/>
      <c r="AI14" s="676">
        <v>100.88850673545429</v>
      </c>
      <c r="AJ14" s="676">
        <v>255.30237890513041</v>
      </c>
      <c r="AK14" s="676">
        <v>2585.6740231202825</v>
      </c>
      <c r="AL14" s="676">
        <v>2598.2612018725517</v>
      </c>
      <c r="AM14" s="676">
        <v>1584.981370020063</v>
      </c>
      <c r="AN14" s="676"/>
      <c r="AO14" s="676"/>
      <c r="AP14" s="676"/>
      <c r="AQ14" s="676">
        <v>19.227094678513421</v>
      </c>
      <c r="AR14" s="676"/>
      <c r="AS14" s="676">
        <v>220.69360848380623</v>
      </c>
      <c r="AT14" s="674">
        <v>96189.285373077291</v>
      </c>
      <c r="AU14" s="676">
        <v>96189.285373077291</v>
      </c>
      <c r="AV14" s="676"/>
      <c r="AW14" s="676"/>
      <c r="AX14" s="676"/>
      <c r="AY14" s="676"/>
      <c r="AZ14" s="674">
        <v>82.210757619184093</v>
      </c>
      <c r="BA14" s="676"/>
      <c r="BB14" s="676"/>
      <c r="BC14" s="676"/>
      <c r="BD14" s="676">
        <v>0</v>
      </c>
      <c r="BE14" s="676"/>
      <c r="BF14" s="676">
        <v>19.561478933791918</v>
      </c>
      <c r="BG14" s="676">
        <v>0</v>
      </c>
      <c r="BH14" s="676">
        <v>0</v>
      </c>
      <c r="BI14" s="676">
        <v>0</v>
      </c>
      <c r="BJ14" s="676">
        <v>0</v>
      </c>
      <c r="BK14" s="676">
        <v>62.649278685392183</v>
      </c>
      <c r="BL14" s="676">
        <v>0</v>
      </c>
      <c r="BM14" s="676">
        <v>0</v>
      </c>
      <c r="BN14" s="676">
        <v>0</v>
      </c>
      <c r="BO14" s="674">
        <v>0</v>
      </c>
      <c r="BP14" s="676">
        <v>0</v>
      </c>
      <c r="BQ14" s="676">
        <v>0</v>
      </c>
      <c r="BR14" s="675"/>
      <c r="BS14" s="675">
        <v>0</v>
      </c>
      <c r="BT14" s="674">
        <v>1892.1849622623483</v>
      </c>
    </row>
    <row r="15" spans="1:73">
      <c r="A15" s="680" t="s">
        <v>1081</v>
      </c>
      <c r="B15" s="679" t="s">
        <v>1272</v>
      </c>
      <c r="C15" s="679"/>
      <c r="D15" s="679"/>
      <c r="E15" s="679"/>
      <c r="F15" s="678" t="s">
        <v>1271</v>
      </c>
      <c r="G15" s="678"/>
      <c r="H15" s="677">
        <v>326.23961020349668</v>
      </c>
      <c r="I15" s="674">
        <v>0</v>
      </c>
      <c r="J15" s="676">
        <v>0</v>
      </c>
      <c r="K15" s="676">
        <v>0</v>
      </c>
      <c r="L15" s="676">
        <v>0</v>
      </c>
      <c r="M15" s="676">
        <v>0</v>
      </c>
      <c r="N15" s="676">
        <v>0</v>
      </c>
      <c r="O15" s="676">
        <v>0</v>
      </c>
      <c r="P15" s="676">
        <v>0</v>
      </c>
      <c r="Q15" s="676">
        <v>0</v>
      </c>
      <c r="R15" s="676">
        <v>0</v>
      </c>
      <c r="S15" s="676">
        <v>0</v>
      </c>
      <c r="T15" s="676">
        <v>0</v>
      </c>
      <c r="U15" s="676">
        <v>0</v>
      </c>
      <c r="V15" s="676">
        <v>0</v>
      </c>
      <c r="W15" s="674">
        <v>326.23961020349668</v>
      </c>
      <c r="X15" s="676"/>
      <c r="Y15" s="676"/>
      <c r="Z15" s="676"/>
      <c r="AA15" s="676"/>
      <c r="AB15" s="676"/>
      <c r="AC15" s="676"/>
      <c r="AD15" s="676"/>
      <c r="AE15" s="676"/>
      <c r="AF15" s="676"/>
      <c r="AG15" s="676"/>
      <c r="AH15" s="676"/>
      <c r="AI15" s="676"/>
      <c r="AJ15" s="676"/>
      <c r="AK15" s="676"/>
      <c r="AL15" s="676">
        <v>152.35979745867965</v>
      </c>
      <c r="AM15" s="676">
        <v>173.87981274481703</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c r="A17" s="709" t="s">
        <v>1268</v>
      </c>
      <c r="B17" s="709"/>
      <c r="C17" s="709"/>
      <c r="D17" s="709"/>
      <c r="E17" s="709"/>
      <c r="F17" s="708" t="s">
        <v>1267</v>
      </c>
      <c r="G17" s="708"/>
      <c r="H17" s="707">
        <v>30071.725422757234</v>
      </c>
      <c r="I17" s="704">
        <v>818.50100315276575</v>
      </c>
      <c r="J17" s="706">
        <v>0</v>
      </c>
      <c r="K17" s="706">
        <v>0</v>
      </c>
      <c r="L17" s="706">
        <v>506.04280118467562</v>
      </c>
      <c r="M17" s="706">
        <v>0</v>
      </c>
      <c r="N17" s="706">
        <v>0</v>
      </c>
      <c r="O17" s="706">
        <v>0</v>
      </c>
      <c r="P17" s="706">
        <v>312.45820196809018</v>
      </c>
      <c r="Q17" s="706">
        <v>0</v>
      </c>
      <c r="R17" s="706">
        <v>0</v>
      </c>
      <c r="S17" s="706">
        <v>0</v>
      </c>
      <c r="T17" s="706">
        <v>0</v>
      </c>
      <c r="U17" s="706">
        <v>0</v>
      </c>
      <c r="V17" s="706">
        <v>0</v>
      </c>
      <c r="W17" s="704">
        <v>12174.190312410432</v>
      </c>
      <c r="X17" s="706">
        <v>14348.237317282888</v>
      </c>
      <c r="Y17" s="706">
        <v>9500</v>
      </c>
      <c r="Z17" s="706"/>
      <c r="AA17" s="706">
        <v>99.312123817712802</v>
      </c>
      <c r="AB17" s="706"/>
      <c r="AC17" s="706"/>
      <c r="AD17" s="706">
        <v>-341.33467087035444</v>
      </c>
      <c r="AE17" s="706">
        <v>-5052.8565969236643</v>
      </c>
      <c r="AF17" s="706">
        <v>-2388.5545046336101</v>
      </c>
      <c r="AG17" s="706"/>
      <c r="AH17" s="706"/>
      <c r="AI17" s="706">
        <v>274.86385783892229</v>
      </c>
      <c r="AJ17" s="706">
        <v>-245.00812076048533</v>
      </c>
      <c r="AK17" s="706">
        <v>-2580.4432979841404</v>
      </c>
      <c r="AL17" s="706">
        <v>-1326.9322633037164</v>
      </c>
      <c r="AM17" s="706">
        <v>-596.15935798222984</v>
      </c>
      <c r="AN17" s="706">
        <v>15.620521639438234</v>
      </c>
      <c r="AO17" s="706">
        <v>38.119805101748348</v>
      </c>
      <c r="AP17" s="706">
        <v>358.62711378618513</v>
      </c>
      <c r="AQ17" s="706">
        <v>280.8827744339352</v>
      </c>
      <c r="AR17" s="706"/>
      <c r="AS17" s="706">
        <v>-210.18438903219641</v>
      </c>
      <c r="AT17" s="704">
        <v>4597.7118563103086</v>
      </c>
      <c r="AU17" s="706">
        <v>4597.7118563103086</v>
      </c>
      <c r="AV17" s="706">
        <v>0</v>
      </c>
      <c r="AW17" s="706">
        <v>0</v>
      </c>
      <c r="AX17" s="706">
        <v>0</v>
      </c>
      <c r="AY17" s="706">
        <v>0</v>
      </c>
      <c r="AZ17" s="704">
        <v>13826.311263972484</v>
      </c>
      <c r="BA17" s="706">
        <v>12187.446259673257</v>
      </c>
      <c r="BB17" s="706">
        <v>133.10881819050348</v>
      </c>
      <c r="BC17" s="706">
        <v>0</v>
      </c>
      <c r="BD17" s="706">
        <v>0</v>
      </c>
      <c r="BE17" s="706">
        <v>0</v>
      </c>
      <c r="BF17" s="706">
        <v>1164.9469762109486</v>
      </c>
      <c r="BG17" s="706">
        <v>0</v>
      </c>
      <c r="BH17" s="706">
        <v>28.351007929683767</v>
      </c>
      <c r="BI17" s="706">
        <v>179.87484475016717</v>
      </c>
      <c r="BJ17" s="706">
        <v>9.1477978408330944</v>
      </c>
      <c r="BK17" s="706">
        <v>120.5455240278972</v>
      </c>
      <c r="BL17" s="706">
        <v>0</v>
      </c>
      <c r="BM17" s="706">
        <v>2.8900353491927007</v>
      </c>
      <c r="BN17" s="706">
        <v>0</v>
      </c>
      <c r="BO17" s="704">
        <v>186.92079870067832</v>
      </c>
      <c r="BP17" s="706">
        <v>7.0459539505111302</v>
      </c>
      <c r="BQ17" s="706">
        <v>179.87484475016717</v>
      </c>
      <c r="BR17" s="705">
        <v>0</v>
      </c>
      <c r="BS17" s="705">
        <v>0</v>
      </c>
      <c r="BT17" s="704">
        <v>-1531.9098117894334</v>
      </c>
    </row>
    <row r="18" spans="1:72">
      <c r="A18" s="709" t="s">
        <v>1266</v>
      </c>
      <c r="B18" s="709"/>
      <c r="C18" s="709"/>
      <c r="D18" s="709"/>
      <c r="E18" s="709"/>
      <c r="F18" s="708" t="s">
        <v>1265</v>
      </c>
      <c r="G18" s="708"/>
      <c r="H18" s="707">
        <v>16709.754466418268</v>
      </c>
      <c r="I18" s="704">
        <v>104.16069551925098</v>
      </c>
      <c r="J18" s="706">
        <v>0</v>
      </c>
      <c r="K18" s="706">
        <v>0</v>
      </c>
      <c r="L18" s="706">
        <v>14.760676411579249</v>
      </c>
      <c r="M18" s="706">
        <v>0</v>
      </c>
      <c r="N18" s="706">
        <v>0</v>
      </c>
      <c r="O18" s="706">
        <v>0</v>
      </c>
      <c r="P18" s="706">
        <v>89.400019107671724</v>
      </c>
      <c r="Q18" s="706">
        <v>0</v>
      </c>
      <c r="R18" s="706">
        <v>0</v>
      </c>
      <c r="S18" s="706">
        <v>0</v>
      </c>
      <c r="T18" s="706">
        <v>0</v>
      </c>
      <c r="U18" s="706">
        <v>0</v>
      </c>
      <c r="V18" s="706">
        <v>0</v>
      </c>
      <c r="W18" s="704">
        <v>15560.356358077768</v>
      </c>
      <c r="X18" s="706">
        <v>14223.225374988057</v>
      </c>
      <c r="Y18" s="706"/>
      <c r="Z18" s="706">
        <v>1202.2785898538264</v>
      </c>
      <c r="AA18" s="706">
        <v>99.312123817712802</v>
      </c>
      <c r="AB18" s="706"/>
      <c r="AC18" s="706">
        <v>9.2911053788095916</v>
      </c>
      <c r="AD18" s="706"/>
      <c r="AE18" s="706">
        <v>7.7147224610681189</v>
      </c>
      <c r="AF18" s="706"/>
      <c r="AG18" s="706"/>
      <c r="AH18" s="706"/>
      <c r="AI18" s="706"/>
      <c r="AJ18" s="706"/>
      <c r="AK18" s="706"/>
      <c r="AL18" s="706">
        <v>18.534441578293684</v>
      </c>
      <c r="AM18" s="706">
        <v>0</v>
      </c>
      <c r="AN18" s="706"/>
      <c r="AO18" s="706"/>
      <c r="AP18" s="706"/>
      <c r="AQ18" s="706"/>
      <c r="AR18" s="706"/>
      <c r="AS18" s="706"/>
      <c r="AT18" s="704">
        <v>427.128116938951</v>
      </c>
      <c r="AU18" s="706">
        <v>411.07767268558325</v>
      </c>
      <c r="AV18" s="706">
        <v>0</v>
      </c>
      <c r="AW18" s="706">
        <v>16.050444253367726</v>
      </c>
      <c r="AX18" s="706">
        <v>0</v>
      </c>
      <c r="AY18" s="706">
        <v>0</v>
      </c>
      <c r="AZ18" s="704">
        <v>322.25088372981753</v>
      </c>
      <c r="BA18" s="706"/>
      <c r="BB18" s="706"/>
      <c r="BC18" s="706"/>
      <c r="BD18" s="706">
        <v>0</v>
      </c>
      <c r="BE18" s="706"/>
      <c r="BF18" s="706">
        <v>156.68290818763734</v>
      </c>
      <c r="BG18" s="706">
        <v>0</v>
      </c>
      <c r="BH18" s="706">
        <v>5.5412248017579051</v>
      </c>
      <c r="BI18" s="706">
        <v>160.02675074042227</v>
      </c>
      <c r="BJ18" s="706">
        <v>0</v>
      </c>
      <c r="BK18" s="706">
        <v>0</v>
      </c>
      <c r="BL18" s="706">
        <v>0</v>
      </c>
      <c r="BM18" s="706">
        <v>0</v>
      </c>
      <c r="BN18" s="706">
        <v>0</v>
      </c>
      <c r="BO18" s="704">
        <v>167.07270469093339</v>
      </c>
      <c r="BP18" s="706">
        <v>7.0459539505111302</v>
      </c>
      <c r="BQ18" s="706">
        <v>160.02675074042227</v>
      </c>
      <c r="BR18" s="705">
        <v>0</v>
      </c>
      <c r="BS18" s="705">
        <v>48.222986529091429</v>
      </c>
      <c r="BT18" s="704">
        <v>80.562720932454383</v>
      </c>
    </row>
    <row r="19" spans="1:72">
      <c r="A19" s="688" t="s">
        <v>968</v>
      </c>
      <c r="B19" s="687" t="s">
        <v>1222</v>
      </c>
      <c r="C19" s="687"/>
      <c r="D19" s="687"/>
      <c r="E19" s="687"/>
      <c r="F19" s="686" t="s">
        <v>1264</v>
      </c>
      <c r="G19" s="686"/>
      <c r="H19" s="685">
        <v>746.65615744721504</v>
      </c>
      <c r="I19" s="682">
        <v>14.760676411579249</v>
      </c>
      <c r="J19" s="684">
        <v>0</v>
      </c>
      <c r="K19" s="684">
        <v>0</v>
      </c>
      <c r="L19" s="684">
        <v>14.760676411579249</v>
      </c>
      <c r="M19" s="684">
        <v>0</v>
      </c>
      <c r="N19" s="684">
        <v>0</v>
      </c>
      <c r="O19" s="684">
        <v>0</v>
      </c>
      <c r="P19" s="684">
        <v>0</v>
      </c>
      <c r="Q19" s="684">
        <v>0</v>
      </c>
      <c r="R19" s="684">
        <v>0</v>
      </c>
      <c r="S19" s="684">
        <v>0</v>
      </c>
      <c r="T19" s="684">
        <v>0</v>
      </c>
      <c r="U19" s="684">
        <v>0</v>
      </c>
      <c r="V19" s="684">
        <v>0</v>
      </c>
      <c r="W19" s="682">
        <v>4.1081494219929295</v>
      </c>
      <c r="X19" s="684"/>
      <c r="Y19" s="684"/>
      <c r="Z19" s="684"/>
      <c r="AA19" s="684"/>
      <c r="AB19" s="684"/>
      <c r="AC19" s="684"/>
      <c r="AD19" s="684"/>
      <c r="AE19" s="684"/>
      <c r="AF19" s="684"/>
      <c r="AG19" s="684"/>
      <c r="AH19" s="684"/>
      <c r="AI19" s="684"/>
      <c r="AJ19" s="684"/>
      <c r="AK19" s="684"/>
      <c r="AL19" s="684">
        <v>4.1081494219929295</v>
      </c>
      <c r="AM19" s="684">
        <v>0</v>
      </c>
      <c r="AN19" s="684"/>
      <c r="AO19" s="684"/>
      <c r="AP19" s="684"/>
      <c r="AQ19" s="684"/>
      <c r="AR19" s="684"/>
      <c r="AS19" s="684"/>
      <c r="AT19" s="682">
        <v>411.41205694086176</v>
      </c>
      <c r="AU19" s="684">
        <v>395.69599694277252</v>
      </c>
      <c r="AV19" s="684">
        <v>0</v>
      </c>
      <c r="AW19" s="684">
        <v>15.716059998089232</v>
      </c>
      <c r="AX19" s="684">
        <v>0</v>
      </c>
      <c r="AY19" s="684">
        <v>0</v>
      </c>
      <c r="AZ19" s="682">
        <v>147.63064870545523</v>
      </c>
      <c r="BA19" s="684"/>
      <c r="BB19" s="684"/>
      <c r="BC19" s="684"/>
      <c r="BD19" s="684">
        <v>0</v>
      </c>
      <c r="BE19" s="684"/>
      <c r="BF19" s="684">
        <v>32.244196044711948</v>
      </c>
      <c r="BG19" s="684"/>
      <c r="BH19" s="684">
        <v>1.9346517626827171</v>
      </c>
      <c r="BI19" s="684">
        <v>113.45180089806057</v>
      </c>
      <c r="BJ19" s="684">
        <v>0</v>
      </c>
      <c r="BK19" s="684">
        <v>0</v>
      </c>
      <c r="BL19" s="684">
        <v>0</v>
      </c>
      <c r="BM19" s="684">
        <v>0</v>
      </c>
      <c r="BN19" s="684">
        <v>0</v>
      </c>
      <c r="BO19" s="682">
        <v>120.4977548485717</v>
      </c>
      <c r="BP19" s="684">
        <v>7.0459539505111302</v>
      </c>
      <c r="BQ19" s="684">
        <v>113.45180089806057</v>
      </c>
      <c r="BR19" s="683"/>
      <c r="BS19" s="683">
        <v>48.222986529091429</v>
      </c>
      <c r="BT19" s="682"/>
    </row>
    <row r="20" spans="1:72">
      <c r="A20" s="681"/>
      <c r="B20" s="680" t="s">
        <v>968</v>
      </c>
      <c r="C20" s="679" t="s">
        <v>1220</v>
      </c>
      <c r="D20" s="679"/>
      <c r="E20" s="679"/>
      <c r="F20" s="678" t="s">
        <v>1263</v>
      </c>
      <c r="G20" s="678"/>
      <c r="H20" s="677">
        <v>259.31498996847233</v>
      </c>
      <c r="I20" s="674">
        <v>14.760676411579249</v>
      </c>
      <c r="J20" s="676">
        <v>0</v>
      </c>
      <c r="K20" s="676">
        <v>0</v>
      </c>
      <c r="L20" s="676">
        <v>14.760676411579249</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15.716059998089232</v>
      </c>
      <c r="AU20" s="676">
        <v>0</v>
      </c>
      <c r="AV20" s="676">
        <v>0</v>
      </c>
      <c r="AW20" s="676">
        <v>15.716059998089232</v>
      </c>
      <c r="AX20" s="676">
        <v>0</v>
      </c>
      <c r="AY20" s="676">
        <v>0</v>
      </c>
      <c r="AZ20" s="674">
        <v>115.38645266074329</v>
      </c>
      <c r="BA20" s="676"/>
      <c r="BB20" s="676"/>
      <c r="BC20" s="676"/>
      <c r="BD20" s="676">
        <v>0</v>
      </c>
      <c r="BE20" s="676"/>
      <c r="BF20" s="676">
        <v>0</v>
      </c>
      <c r="BG20" s="676"/>
      <c r="BH20" s="676">
        <v>1.9346517626827171</v>
      </c>
      <c r="BI20" s="676">
        <v>113.45180089806057</v>
      </c>
      <c r="BJ20" s="676">
        <v>0</v>
      </c>
      <c r="BK20" s="676">
        <v>0</v>
      </c>
      <c r="BL20" s="676">
        <v>0</v>
      </c>
      <c r="BM20" s="676">
        <v>0</v>
      </c>
      <c r="BN20" s="676">
        <v>0</v>
      </c>
      <c r="BO20" s="674">
        <v>113.45180089806057</v>
      </c>
      <c r="BP20" s="676">
        <v>0</v>
      </c>
      <c r="BQ20" s="676">
        <v>113.45180089806057</v>
      </c>
      <c r="BR20" s="675"/>
      <c r="BS20" s="675"/>
      <c r="BT20" s="674"/>
    </row>
    <row r="21" spans="1:72">
      <c r="A21" s="681"/>
      <c r="B21" s="680"/>
      <c r="C21" s="680" t="s">
        <v>968</v>
      </c>
      <c r="D21" s="679" t="s">
        <v>1262</v>
      </c>
      <c r="E21" s="679"/>
      <c r="F21" s="678" t="s">
        <v>1261</v>
      </c>
      <c r="G21" s="678"/>
      <c r="H21" s="677">
        <v>17.02971242954046</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15.716059998089232</v>
      </c>
      <c r="AU21" s="676">
        <v>0</v>
      </c>
      <c r="AV21" s="676">
        <v>0</v>
      </c>
      <c r="AW21" s="676">
        <v>15.716059998089232</v>
      </c>
      <c r="AX21" s="676">
        <v>0</v>
      </c>
      <c r="AY21" s="676">
        <v>0</v>
      </c>
      <c r="AZ21" s="674">
        <v>1.3136524314512277</v>
      </c>
      <c r="BA21" s="676"/>
      <c r="BB21" s="676"/>
      <c r="BC21" s="676"/>
      <c r="BD21" s="676">
        <v>0</v>
      </c>
      <c r="BE21" s="676"/>
      <c r="BF21" s="676">
        <v>0</v>
      </c>
      <c r="BG21" s="676"/>
      <c r="BH21" s="676">
        <v>1.3136524314512277</v>
      </c>
      <c r="BI21" s="676">
        <v>0</v>
      </c>
      <c r="BJ21" s="676">
        <v>0</v>
      </c>
      <c r="BK21" s="676">
        <v>0</v>
      </c>
      <c r="BL21" s="676">
        <v>0</v>
      </c>
      <c r="BM21" s="676">
        <v>0</v>
      </c>
      <c r="BN21" s="676">
        <v>0</v>
      </c>
      <c r="BO21" s="674">
        <v>0</v>
      </c>
      <c r="BP21" s="676">
        <v>0</v>
      </c>
      <c r="BQ21" s="676">
        <v>0</v>
      </c>
      <c r="BR21" s="675"/>
      <c r="BS21" s="675"/>
      <c r="BT21" s="674"/>
    </row>
    <row r="22" spans="1:72">
      <c r="A22" s="681"/>
      <c r="B22" s="680"/>
      <c r="C22" s="680" t="s">
        <v>968</v>
      </c>
      <c r="D22" s="679" t="s">
        <v>1260</v>
      </c>
      <c r="E22" s="679"/>
      <c r="F22" s="678" t="s">
        <v>1259</v>
      </c>
      <c r="G22" s="678"/>
      <c r="H22" s="677">
        <v>242.28527753893187</v>
      </c>
      <c r="I22" s="674">
        <v>14.760676411579249</v>
      </c>
      <c r="J22" s="676">
        <v>0</v>
      </c>
      <c r="K22" s="676">
        <v>0</v>
      </c>
      <c r="L22" s="676">
        <v>14.760676411579249</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114.07280022929206</v>
      </c>
      <c r="BA22" s="676"/>
      <c r="BB22" s="676"/>
      <c r="BC22" s="676"/>
      <c r="BD22" s="676">
        <v>0</v>
      </c>
      <c r="BE22" s="676"/>
      <c r="BF22" s="676">
        <v>0</v>
      </c>
      <c r="BG22" s="676"/>
      <c r="BH22" s="676">
        <v>0.62099933123148943</v>
      </c>
      <c r="BI22" s="676">
        <v>113.45180089806057</v>
      </c>
      <c r="BJ22" s="676">
        <v>0</v>
      </c>
      <c r="BK22" s="676">
        <v>0</v>
      </c>
      <c r="BL22" s="676">
        <v>0</v>
      </c>
      <c r="BM22" s="676">
        <v>0</v>
      </c>
      <c r="BN22" s="676">
        <v>0</v>
      </c>
      <c r="BO22" s="674">
        <v>113.45180089806057</v>
      </c>
      <c r="BP22" s="676">
        <v>0</v>
      </c>
      <c r="BQ22" s="676">
        <v>113.45180089806057</v>
      </c>
      <c r="BR22" s="675"/>
      <c r="BS22" s="675"/>
      <c r="BT22" s="674"/>
    </row>
    <row r="23" spans="1:72">
      <c r="A23" s="681"/>
      <c r="B23" s="680" t="s">
        <v>968</v>
      </c>
      <c r="C23" s="679" t="s">
        <v>1190</v>
      </c>
      <c r="D23" s="679"/>
      <c r="E23" s="679"/>
      <c r="F23" s="678" t="s">
        <v>1258</v>
      </c>
      <c r="G23" s="678"/>
      <c r="H23" s="677">
        <v>439.11818094965128</v>
      </c>
      <c r="I23" s="674">
        <v>0</v>
      </c>
      <c r="J23" s="676">
        <v>0</v>
      </c>
      <c r="K23" s="676">
        <v>0</v>
      </c>
      <c r="L23" s="676">
        <v>0</v>
      </c>
      <c r="M23" s="676">
        <v>0</v>
      </c>
      <c r="N23" s="676">
        <v>0</v>
      </c>
      <c r="O23" s="676">
        <v>0</v>
      </c>
      <c r="P23" s="676">
        <v>0</v>
      </c>
      <c r="Q23" s="676">
        <v>0</v>
      </c>
      <c r="R23" s="676">
        <v>0</v>
      </c>
      <c r="S23" s="676">
        <v>0</v>
      </c>
      <c r="T23" s="676">
        <v>0</v>
      </c>
      <c r="U23" s="676">
        <v>0</v>
      </c>
      <c r="V23" s="676">
        <v>0</v>
      </c>
      <c r="W23" s="674">
        <v>4.1081494219929295</v>
      </c>
      <c r="X23" s="676"/>
      <c r="Y23" s="676"/>
      <c r="Z23" s="676"/>
      <c r="AA23" s="676"/>
      <c r="AB23" s="676"/>
      <c r="AC23" s="676"/>
      <c r="AD23" s="676"/>
      <c r="AE23" s="676"/>
      <c r="AF23" s="676"/>
      <c r="AG23" s="676"/>
      <c r="AH23" s="676"/>
      <c r="AI23" s="676"/>
      <c r="AJ23" s="676"/>
      <c r="AK23" s="676"/>
      <c r="AL23" s="676">
        <v>4.1081494219929295</v>
      </c>
      <c r="AM23" s="676">
        <v>0</v>
      </c>
      <c r="AN23" s="676"/>
      <c r="AO23" s="676"/>
      <c r="AP23" s="676"/>
      <c r="AQ23" s="676"/>
      <c r="AR23" s="676"/>
      <c r="AS23" s="676"/>
      <c r="AT23" s="674">
        <v>395.69599694277252</v>
      </c>
      <c r="AU23" s="676">
        <v>395.69599694277252</v>
      </c>
      <c r="AV23" s="676">
        <v>0</v>
      </c>
      <c r="AW23" s="676">
        <v>0</v>
      </c>
      <c r="AX23" s="676">
        <v>0</v>
      </c>
      <c r="AY23" s="676">
        <v>0</v>
      </c>
      <c r="AZ23" s="674">
        <v>32.244196044711948</v>
      </c>
      <c r="BA23" s="676"/>
      <c r="BB23" s="676"/>
      <c r="BC23" s="676"/>
      <c r="BD23" s="676">
        <v>0</v>
      </c>
      <c r="BE23" s="676"/>
      <c r="BF23" s="676">
        <v>32.244196044711948</v>
      </c>
      <c r="BG23" s="676"/>
      <c r="BH23" s="676">
        <v>0</v>
      </c>
      <c r="BI23" s="676">
        <v>0</v>
      </c>
      <c r="BJ23" s="676">
        <v>0</v>
      </c>
      <c r="BK23" s="676">
        <v>0</v>
      </c>
      <c r="BL23" s="676">
        <v>0</v>
      </c>
      <c r="BM23" s="676">
        <v>0</v>
      </c>
      <c r="BN23" s="676">
        <v>0</v>
      </c>
      <c r="BO23" s="674">
        <v>7.0459539505111302</v>
      </c>
      <c r="BP23" s="676">
        <v>7.0459539505111302</v>
      </c>
      <c r="BQ23" s="676">
        <v>0</v>
      </c>
      <c r="BR23" s="675"/>
      <c r="BS23" s="675"/>
      <c r="BT23" s="674"/>
    </row>
    <row r="24" spans="1:72">
      <c r="A24" s="681"/>
      <c r="B24" s="680"/>
      <c r="C24" s="680" t="s">
        <v>968</v>
      </c>
      <c r="D24" s="679" t="s">
        <v>1257</v>
      </c>
      <c r="E24" s="679"/>
      <c r="F24" s="678" t="s">
        <v>1256</v>
      </c>
      <c r="G24" s="678"/>
      <c r="H24" s="677">
        <v>439.11818094965128</v>
      </c>
      <c r="I24" s="674">
        <v>0</v>
      </c>
      <c r="J24" s="676">
        <v>0</v>
      </c>
      <c r="K24" s="676">
        <v>0</v>
      </c>
      <c r="L24" s="676">
        <v>0</v>
      </c>
      <c r="M24" s="676">
        <v>0</v>
      </c>
      <c r="N24" s="676">
        <v>0</v>
      </c>
      <c r="O24" s="676">
        <v>0</v>
      </c>
      <c r="P24" s="676">
        <v>0</v>
      </c>
      <c r="Q24" s="676">
        <v>0</v>
      </c>
      <c r="R24" s="676">
        <v>0</v>
      </c>
      <c r="S24" s="676">
        <v>0</v>
      </c>
      <c r="T24" s="676">
        <v>0</v>
      </c>
      <c r="U24" s="676">
        <v>0</v>
      </c>
      <c r="V24" s="676">
        <v>0</v>
      </c>
      <c r="W24" s="674">
        <v>4.1081494219929295</v>
      </c>
      <c r="X24" s="676"/>
      <c r="Y24" s="676"/>
      <c r="Z24" s="676"/>
      <c r="AA24" s="676"/>
      <c r="AB24" s="676"/>
      <c r="AC24" s="676"/>
      <c r="AD24" s="676"/>
      <c r="AE24" s="676"/>
      <c r="AF24" s="676"/>
      <c r="AG24" s="676"/>
      <c r="AH24" s="676"/>
      <c r="AI24" s="676"/>
      <c r="AJ24" s="676"/>
      <c r="AK24" s="676"/>
      <c r="AL24" s="676">
        <v>4.1081494219929295</v>
      </c>
      <c r="AM24" s="676">
        <v>0</v>
      </c>
      <c r="AN24" s="676"/>
      <c r="AO24" s="676"/>
      <c r="AP24" s="676"/>
      <c r="AQ24" s="676"/>
      <c r="AR24" s="676"/>
      <c r="AS24" s="676"/>
      <c r="AT24" s="674">
        <v>395.69599694277252</v>
      </c>
      <c r="AU24" s="676">
        <v>395.69599694277252</v>
      </c>
      <c r="AV24" s="676">
        <v>0</v>
      </c>
      <c r="AW24" s="676">
        <v>0</v>
      </c>
      <c r="AX24" s="676">
        <v>0</v>
      </c>
      <c r="AY24" s="676">
        <v>0</v>
      </c>
      <c r="AZ24" s="674">
        <v>32.244196044711948</v>
      </c>
      <c r="BA24" s="676"/>
      <c r="BB24" s="676"/>
      <c r="BC24" s="676"/>
      <c r="BD24" s="676">
        <v>0</v>
      </c>
      <c r="BE24" s="676"/>
      <c r="BF24" s="676">
        <v>32.244196044711948</v>
      </c>
      <c r="BG24" s="676"/>
      <c r="BH24" s="676">
        <v>0</v>
      </c>
      <c r="BI24" s="676">
        <v>0</v>
      </c>
      <c r="BJ24" s="676">
        <v>0</v>
      </c>
      <c r="BK24" s="676">
        <v>0</v>
      </c>
      <c r="BL24" s="676">
        <v>0</v>
      </c>
      <c r="BM24" s="676">
        <v>0</v>
      </c>
      <c r="BN24" s="676">
        <v>0</v>
      </c>
      <c r="BO24" s="674">
        <v>7.0459539505111302</v>
      </c>
      <c r="BP24" s="676">
        <v>7.0459539505111302</v>
      </c>
      <c r="BQ24" s="676">
        <v>0</v>
      </c>
      <c r="BR24" s="675"/>
      <c r="BS24" s="675"/>
      <c r="BT24" s="674"/>
    </row>
    <row r="25" spans="1:72">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c r="A26" s="681"/>
      <c r="B26" s="680" t="s">
        <v>968</v>
      </c>
      <c r="C26" s="679" t="s">
        <v>1253</v>
      </c>
      <c r="D26" s="679"/>
      <c r="E26" s="679"/>
      <c r="F26" s="678" t="s">
        <v>1252</v>
      </c>
      <c r="G26" s="678"/>
      <c r="H26" s="677">
        <v>48.222986529091429</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48.222986529091429</v>
      </c>
      <c r="BT26" s="674"/>
    </row>
    <row r="27" spans="1:72">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c r="A29" s="680" t="s">
        <v>968</v>
      </c>
      <c r="B29" s="679" t="s">
        <v>1138</v>
      </c>
      <c r="C29" s="679"/>
      <c r="D29" s="679"/>
      <c r="E29" s="679"/>
      <c r="F29" s="678" t="s">
        <v>1248</v>
      </c>
      <c r="G29" s="678"/>
      <c r="H29" s="677">
        <v>89.400019107671724</v>
      </c>
      <c r="I29" s="674">
        <v>89.400019107671724</v>
      </c>
      <c r="J29" s="676"/>
      <c r="K29" s="676"/>
      <c r="L29" s="676"/>
      <c r="M29" s="676"/>
      <c r="N29" s="676"/>
      <c r="O29" s="676"/>
      <c r="P29" s="676">
        <v>89.400019107671724</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c r="A31" s="680" t="s">
        <v>968</v>
      </c>
      <c r="B31" s="679" t="s">
        <v>287</v>
      </c>
      <c r="C31" s="679"/>
      <c r="D31" s="679"/>
      <c r="E31" s="679"/>
      <c r="F31" s="678" t="s">
        <v>1246</v>
      </c>
      <c r="G31" s="678"/>
      <c r="H31" s="677">
        <v>15524.839973249258</v>
      </c>
      <c r="I31" s="674"/>
      <c r="J31" s="676"/>
      <c r="K31" s="676"/>
      <c r="L31" s="676"/>
      <c r="M31" s="676"/>
      <c r="N31" s="676"/>
      <c r="O31" s="676"/>
      <c r="P31" s="676"/>
      <c r="Q31" s="676"/>
      <c r="R31" s="676"/>
      <c r="S31" s="676"/>
      <c r="T31" s="676"/>
      <c r="U31" s="676"/>
      <c r="V31" s="676"/>
      <c r="W31" s="674">
        <v>15524.839973249258</v>
      </c>
      <c r="X31" s="676">
        <v>14223.225374988057</v>
      </c>
      <c r="Y31" s="676"/>
      <c r="Z31" s="676">
        <v>1202.2785898538264</v>
      </c>
      <c r="AA31" s="676">
        <v>99.312123817712802</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c r="A32" s="680" t="s">
        <v>968</v>
      </c>
      <c r="B32" s="679" t="s">
        <v>1245</v>
      </c>
      <c r="C32" s="679"/>
      <c r="D32" s="679"/>
      <c r="E32" s="679"/>
      <c r="F32" s="678" t="s">
        <v>1244</v>
      </c>
      <c r="G32" s="678"/>
      <c r="H32" s="677">
        <v>348.88220120378332</v>
      </c>
      <c r="I32" s="674">
        <v>0</v>
      </c>
      <c r="J32" s="676">
        <v>0</v>
      </c>
      <c r="K32" s="676">
        <v>0</v>
      </c>
      <c r="L32" s="676">
        <v>0</v>
      </c>
      <c r="M32" s="676">
        <v>0</v>
      </c>
      <c r="N32" s="676">
        <v>0</v>
      </c>
      <c r="O32" s="676">
        <v>0</v>
      </c>
      <c r="P32" s="676">
        <v>0</v>
      </c>
      <c r="Q32" s="676">
        <v>0</v>
      </c>
      <c r="R32" s="676">
        <v>0</v>
      </c>
      <c r="S32" s="676">
        <v>0</v>
      </c>
      <c r="T32" s="676">
        <v>0</v>
      </c>
      <c r="U32" s="676">
        <v>0</v>
      </c>
      <c r="V32" s="676">
        <v>0</v>
      </c>
      <c r="W32" s="674">
        <v>31.408235406515715</v>
      </c>
      <c r="X32" s="676"/>
      <c r="Y32" s="676"/>
      <c r="Z32" s="676"/>
      <c r="AA32" s="676"/>
      <c r="AB32" s="676"/>
      <c r="AC32" s="676">
        <v>9.2911053788095916</v>
      </c>
      <c r="AD32" s="676"/>
      <c r="AE32" s="676">
        <v>7.7147224610681189</v>
      </c>
      <c r="AF32" s="676"/>
      <c r="AG32" s="676"/>
      <c r="AH32" s="676"/>
      <c r="AI32" s="676"/>
      <c r="AJ32" s="676"/>
      <c r="AK32" s="676"/>
      <c r="AL32" s="676">
        <v>14.402407566638004</v>
      </c>
      <c r="AM32" s="676">
        <v>0</v>
      </c>
      <c r="AN32" s="676"/>
      <c r="AO32" s="676"/>
      <c r="AP32" s="676"/>
      <c r="AQ32" s="676"/>
      <c r="AR32" s="676"/>
      <c r="AS32" s="676"/>
      <c r="AT32" s="674">
        <v>15.716059998089232</v>
      </c>
      <c r="AU32" s="676">
        <v>15.381675742810737</v>
      </c>
      <c r="AV32" s="676">
        <v>0</v>
      </c>
      <c r="AW32" s="676">
        <v>0.3343842552784943</v>
      </c>
      <c r="AX32" s="676">
        <v>0</v>
      </c>
      <c r="AY32" s="676">
        <v>0</v>
      </c>
      <c r="AZ32" s="674">
        <v>174.62023502436227</v>
      </c>
      <c r="BA32" s="676"/>
      <c r="BB32" s="676"/>
      <c r="BC32" s="676"/>
      <c r="BD32" s="676">
        <v>0</v>
      </c>
      <c r="BE32" s="676"/>
      <c r="BF32" s="676">
        <v>124.43871214292538</v>
      </c>
      <c r="BG32" s="676"/>
      <c r="BH32" s="676">
        <v>3.6065730390751884</v>
      </c>
      <c r="BI32" s="676">
        <v>46.574949842361704</v>
      </c>
      <c r="BJ32" s="676">
        <v>0</v>
      </c>
      <c r="BK32" s="676">
        <v>0</v>
      </c>
      <c r="BL32" s="676">
        <v>0</v>
      </c>
      <c r="BM32" s="676">
        <v>0</v>
      </c>
      <c r="BN32" s="676">
        <v>0</v>
      </c>
      <c r="BO32" s="674">
        <v>46.574949842361704</v>
      </c>
      <c r="BP32" s="676">
        <v>0</v>
      </c>
      <c r="BQ32" s="676">
        <v>46.574949842361704</v>
      </c>
      <c r="BR32" s="675"/>
      <c r="BS32" s="675"/>
      <c r="BT32" s="674">
        <v>80.562720932454383</v>
      </c>
    </row>
    <row r="33" spans="1:72">
      <c r="A33" s="681"/>
      <c r="B33" s="680" t="s">
        <v>968</v>
      </c>
      <c r="C33" s="679" t="s">
        <v>1243</v>
      </c>
      <c r="D33" s="679"/>
      <c r="E33" s="679"/>
      <c r="F33" s="678" t="s">
        <v>1242</v>
      </c>
      <c r="G33" s="678"/>
      <c r="H33" s="677">
        <v>268.29559568166616</v>
      </c>
      <c r="I33" s="674">
        <v>0</v>
      </c>
      <c r="J33" s="676">
        <v>0</v>
      </c>
      <c r="K33" s="676">
        <v>0</v>
      </c>
      <c r="L33" s="676">
        <v>0</v>
      </c>
      <c r="M33" s="676">
        <v>0</v>
      </c>
      <c r="N33" s="676">
        <v>0</v>
      </c>
      <c r="O33" s="676">
        <v>0</v>
      </c>
      <c r="P33" s="676">
        <v>0</v>
      </c>
      <c r="Q33" s="676">
        <v>0</v>
      </c>
      <c r="R33" s="676">
        <v>0</v>
      </c>
      <c r="S33" s="676">
        <v>0</v>
      </c>
      <c r="T33" s="676">
        <v>0</v>
      </c>
      <c r="U33" s="676">
        <v>0</v>
      </c>
      <c r="V33" s="676">
        <v>0</v>
      </c>
      <c r="W33" s="674">
        <v>31.408235406515715</v>
      </c>
      <c r="X33" s="676"/>
      <c r="Y33" s="676"/>
      <c r="Z33" s="676"/>
      <c r="AA33" s="676"/>
      <c r="AB33" s="676"/>
      <c r="AC33" s="676">
        <v>9.2911053788095916</v>
      </c>
      <c r="AD33" s="676"/>
      <c r="AE33" s="676">
        <v>7.7147224610681189</v>
      </c>
      <c r="AF33" s="676"/>
      <c r="AG33" s="676"/>
      <c r="AH33" s="676"/>
      <c r="AI33" s="676"/>
      <c r="AJ33" s="676"/>
      <c r="AK33" s="676"/>
      <c r="AL33" s="676">
        <v>14.402407566638004</v>
      </c>
      <c r="AM33" s="676">
        <v>0</v>
      </c>
      <c r="AN33" s="676"/>
      <c r="AO33" s="676"/>
      <c r="AP33" s="676"/>
      <c r="AQ33" s="676"/>
      <c r="AR33" s="676"/>
      <c r="AS33" s="676"/>
      <c r="AT33" s="674">
        <v>15.716059998089232</v>
      </c>
      <c r="AU33" s="676">
        <v>15.381675742810737</v>
      </c>
      <c r="AV33" s="676">
        <v>0</v>
      </c>
      <c r="AW33" s="676">
        <v>0.3343842552784943</v>
      </c>
      <c r="AX33" s="676">
        <v>0</v>
      </c>
      <c r="AY33" s="676">
        <v>0</v>
      </c>
      <c r="AZ33" s="674">
        <v>174.62023502436227</v>
      </c>
      <c r="BA33" s="676"/>
      <c r="BB33" s="676"/>
      <c r="BC33" s="676"/>
      <c r="BD33" s="676">
        <v>0</v>
      </c>
      <c r="BE33" s="676"/>
      <c r="BF33" s="676">
        <v>124.43871214292538</v>
      </c>
      <c r="BG33" s="676"/>
      <c r="BH33" s="676">
        <v>3.6065730390751884</v>
      </c>
      <c r="BI33" s="676">
        <v>46.574949842361704</v>
      </c>
      <c r="BJ33" s="676">
        <v>0</v>
      </c>
      <c r="BK33" s="676">
        <v>0</v>
      </c>
      <c r="BL33" s="676">
        <v>0</v>
      </c>
      <c r="BM33" s="676">
        <v>0</v>
      </c>
      <c r="BN33" s="676">
        <v>0</v>
      </c>
      <c r="BO33" s="674">
        <v>46.574949842361704</v>
      </c>
      <c r="BP33" s="676">
        <v>0</v>
      </c>
      <c r="BQ33" s="676">
        <v>46.574949842361704</v>
      </c>
      <c r="BR33" s="675"/>
      <c r="BS33" s="675"/>
      <c r="BT33" s="674"/>
    </row>
    <row r="34" spans="1:72">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c r="A35" s="681"/>
      <c r="B35" s="680" t="s">
        <v>968</v>
      </c>
      <c r="C35" s="679" t="s">
        <v>1239</v>
      </c>
      <c r="D35" s="679"/>
      <c r="E35" s="679"/>
      <c r="F35" s="678" t="s">
        <v>1238</v>
      </c>
      <c r="G35" s="678"/>
      <c r="H35" s="677">
        <v>14.521830514951752</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14.521830514951752</v>
      </c>
    </row>
    <row r="36" spans="1:72">
      <c r="A36" s="681"/>
      <c r="B36" s="680" t="s">
        <v>968</v>
      </c>
      <c r="C36" s="679" t="s">
        <v>1237</v>
      </c>
      <c r="D36" s="679"/>
      <c r="E36" s="679"/>
      <c r="F36" s="678" t="s">
        <v>1236</v>
      </c>
      <c r="G36" s="678"/>
      <c r="H36" s="677">
        <v>66.040890417502624</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66.040890417502624</v>
      </c>
    </row>
    <row r="37" spans="1:72">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c r="A44" s="722" t="s">
        <v>1224</v>
      </c>
      <c r="B44" s="722"/>
      <c r="C44" s="722"/>
      <c r="D44" s="722"/>
      <c r="E44" s="722"/>
      <c r="F44" s="721" t="s">
        <v>1223</v>
      </c>
      <c r="G44" s="721"/>
      <c r="H44" s="720">
        <v>16401.953759434411</v>
      </c>
      <c r="I44" s="717">
        <v>0</v>
      </c>
      <c r="J44" s="719"/>
      <c r="K44" s="719"/>
      <c r="L44" s="719"/>
      <c r="M44" s="719"/>
      <c r="N44" s="719"/>
      <c r="O44" s="719">
        <v>0</v>
      </c>
      <c r="P44" s="719">
        <v>0</v>
      </c>
      <c r="Q44" s="719">
        <v>0</v>
      </c>
      <c r="R44" s="719">
        <v>0</v>
      </c>
      <c r="S44" s="719">
        <v>0</v>
      </c>
      <c r="T44" s="719"/>
      <c r="U44" s="719">
        <v>0</v>
      </c>
      <c r="V44" s="719"/>
      <c r="W44" s="717">
        <v>15502.86615075953</v>
      </c>
      <c r="X44" s="719"/>
      <c r="Y44" s="719"/>
      <c r="Z44" s="719"/>
      <c r="AA44" s="719"/>
      <c r="AB44" s="719"/>
      <c r="AC44" s="719">
        <v>421.37193083022834</v>
      </c>
      <c r="AD44" s="719"/>
      <c r="AE44" s="719">
        <v>475.66160313365816</v>
      </c>
      <c r="AF44" s="719">
        <v>3861.7559950320051</v>
      </c>
      <c r="AG44" s="719"/>
      <c r="AH44" s="719"/>
      <c r="AI44" s="719">
        <v>515.73994458775201</v>
      </c>
      <c r="AJ44" s="719">
        <v>229.55479124868634</v>
      </c>
      <c r="AK44" s="719">
        <v>2006.9026464125345</v>
      </c>
      <c r="AL44" s="719">
        <v>6342.2900544568638</v>
      </c>
      <c r="AM44" s="719">
        <v>1520.015286137384</v>
      </c>
      <c r="AN44" s="719"/>
      <c r="AO44" s="719"/>
      <c r="AP44" s="719"/>
      <c r="AQ44" s="719">
        <v>129.57389892041655</v>
      </c>
      <c r="AR44" s="719"/>
      <c r="AS44" s="719"/>
      <c r="AT44" s="717">
        <v>89.400019107671724</v>
      </c>
      <c r="AU44" s="719"/>
      <c r="AV44" s="719">
        <v>0</v>
      </c>
      <c r="AW44" s="719">
        <v>89.400019107671724</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521.13786185153333</v>
      </c>
      <c r="BT44" s="717">
        <v>288.57361230534059</v>
      </c>
    </row>
    <row r="45" spans="1:72">
      <c r="A45" s="688" t="s">
        <v>968</v>
      </c>
      <c r="B45" s="687" t="s">
        <v>1222</v>
      </c>
      <c r="C45" s="687"/>
      <c r="D45" s="687"/>
      <c r="E45" s="687"/>
      <c r="F45" s="686" t="s">
        <v>1221</v>
      </c>
      <c r="G45" s="686"/>
      <c r="H45" s="685">
        <v>492.38081589758286</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203.80720359224227</v>
      </c>
      <c r="BT45" s="682">
        <v>288.57361230534059</v>
      </c>
    </row>
    <row r="46" spans="1:72">
      <c r="A46" s="681"/>
      <c r="B46" s="680" t="s">
        <v>968</v>
      </c>
      <c r="C46" s="679" t="s">
        <v>1220</v>
      </c>
      <c r="D46" s="679"/>
      <c r="E46" s="679"/>
      <c r="F46" s="678" t="s">
        <v>1219</v>
      </c>
      <c r="G46" s="678"/>
      <c r="H46" s="677">
        <v>243.09735358746536</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203.80720359224227</v>
      </c>
      <c r="BT46" s="674">
        <v>39.290149995223082</v>
      </c>
    </row>
    <row r="47" spans="1:72">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c r="A48" s="681"/>
      <c r="B48" s="679"/>
      <c r="C48" s="680" t="s">
        <v>968</v>
      </c>
      <c r="D48" s="679" t="s">
        <v>1216</v>
      </c>
      <c r="E48" s="679"/>
      <c r="F48" s="678" t="s">
        <v>1215</v>
      </c>
      <c r="G48" s="678"/>
      <c r="H48" s="677">
        <v>12.037833190025795</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12.037833190025795</v>
      </c>
    </row>
    <row r="49" spans="1:72">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c r="A52" s="681"/>
      <c r="B52" s="679"/>
      <c r="C52" s="680" t="s">
        <v>968</v>
      </c>
      <c r="D52" s="679" t="s">
        <v>1208</v>
      </c>
      <c r="E52" s="679"/>
      <c r="F52" s="678" t="s">
        <v>1207</v>
      </c>
      <c r="G52" s="678"/>
      <c r="H52" s="677">
        <v>27.252316805197285</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27.252316805197285</v>
      </c>
    </row>
    <row r="53" spans="1:72">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c r="A56" s="681"/>
      <c r="B56" s="679"/>
      <c r="C56" s="680" t="s">
        <v>968</v>
      </c>
      <c r="D56" s="679" t="s">
        <v>1200</v>
      </c>
      <c r="E56" s="679"/>
      <c r="F56" s="678" t="s">
        <v>1199</v>
      </c>
      <c r="G56" s="678"/>
      <c r="H56" s="677">
        <v>202.54132034011656</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202.54132034011656</v>
      </c>
      <c r="BT56" s="674"/>
    </row>
    <row r="57" spans="1:72">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c r="A61" s="681"/>
      <c r="B61" s="680" t="s">
        <v>968</v>
      </c>
      <c r="C61" s="679" t="s">
        <v>1190</v>
      </c>
      <c r="D61" s="679"/>
      <c r="E61" s="679"/>
      <c r="F61" s="678" t="s">
        <v>1189</v>
      </c>
      <c r="G61" s="678"/>
      <c r="H61" s="677">
        <v>249.25957772045476</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249.25957772045476</v>
      </c>
    </row>
    <row r="62" spans="1:72">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c r="A63" s="681"/>
      <c r="B63" s="679"/>
      <c r="C63" s="680" t="s">
        <v>968</v>
      </c>
      <c r="D63" s="679" t="s">
        <v>1186</v>
      </c>
      <c r="E63" s="679"/>
      <c r="F63" s="678" t="s">
        <v>1185</v>
      </c>
      <c r="G63" s="678"/>
      <c r="H63" s="677">
        <v>249.0923855928155</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249.0923855928155</v>
      </c>
    </row>
    <row r="64" spans="1:72">
      <c r="A64" s="681"/>
      <c r="B64" s="679"/>
      <c r="C64" s="680" t="s">
        <v>968</v>
      </c>
      <c r="D64" s="679" t="s">
        <v>1184</v>
      </c>
      <c r="E64" s="679"/>
      <c r="F64" s="678" t="s">
        <v>1183</v>
      </c>
      <c r="G64" s="678"/>
      <c r="H64" s="677">
        <v>0.16719212763924715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0.16719212763924715</v>
      </c>
    </row>
    <row r="65" spans="1:72">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c r="A87" s="680" t="s">
        <v>968</v>
      </c>
      <c r="B87" s="679" t="s">
        <v>1138</v>
      </c>
      <c r="C87" s="679"/>
      <c r="D87" s="679"/>
      <c r="E87" s="679"/>
      <c r="F87" s="678" t="s">
        <v>1137</v>
      </c>
      <c r="G87" s="678"/>
      <c r="H87" s="677">
        <v>89.400019107671724</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89.400019107671724</v>
      </c>
      <c r="AU87" s="676"/>
      <c r="AV87" s="676"/>
      <c r="AW87" s="676">
        <v>89.400019107671724</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c r="A89" s="680" t="s">
        <v>968</v>
      </c>
      <c r="B89" s="679" t="s">
        <v>287</v>
      </c>
      <c r="C89" s="679"/>
      <c r="D89" s="679"/>
      <c r="E89" s="679"/>
      <c r="F89" s="678" t="s">
        <v>1135</v>
      </c>
      <c r="G89" s="678"/>
      <c r="H89" s="677">
        <v>15502.86615075953</v>
      </c>
      <c r="I89" s="674"/>
      <c r="J89" s="676"/>
      <c r="K89" s="676"/>
      <c r="L89" s="676"/>
      <c r="M89" s="676"/>
      <c r="N89" s="676"/>
      <c r="O89" s="676"/>
      <c r="P89" s="676"/>
      <c r="Q89" s="676"/>
      <c r="R89" s="676"/>
      <c r="S89" s="676"/>
      <c r="T89" s="676"/>
      <c r="U89" s="676"/>
      <c r="V89" s="676"/>
      <c r="W89" s="674">
        <v>15502.86615075953</v>
      </c>
      <c r="X89" s="676"/>
      <c r="Y89" s="676"/>
      <c r="Z89" s="676"/>
      <c r="AA89" s="676"/>
      <c r="AB89" s="676"/>
      <c r="AC89" s="676">
        <v>421.37193083022834</v>
      </c>
      <c r="AD89" s="676"/>
      <c r="AE89" s="676">
        <v>475.66160313365816</v>
      </c>
      <c r="AF89" s="676">
        <v>3861.7559950320051</v>
      </c>
      <c r="AG89" s="676"/>
      <c r="AH89" s="676"/>
      <c r="AI89" s="676">
        <v>515.73994458775201</v>
      </c>
      <c r="AJ89" s="676">
        <v>229.55479124868634</v>
      </c>
      <c r="AK89" s="676">
        <v>2006.9026464125345</v>
      </c>
      <c r="AL89" s="676">
        <v>6342.2900544568638</v>
      </c>
      <c r="AM89" s="676">
        <v>1520.015286137384</v>
      </c>
      <c r="AN89" s="676"/>
      <c r="AO89" s="676"/>
      <c r="AP89" s="676"/>
      <c r="AQ89" s="676">
        <v>129.57389892041655</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c r="A93" s="680" t="s">
        <v>968</v>
      </c>
      <c r="B93" s="679" t="s">
        <v>1129</v>
      </c>
      <c r="C93" s="679"/>
      <c r="D93" s="679"/>
      <c r="E93" s="679"/>
      <c r="F93" s="678" t="s">
        <v>1128</v>
      </c>
      <c r="G93" s="678"/>
      <c r="H93" s="677">
        <v>317.33065825929111</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317.33065825929111</v>
      </c>
      <c r="BT93" s="674"/>
    </row>
    <row r="94" spans="1:72">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c r="A96" s="681"/>
      <c r="B96" s="680" t="s">
        <v>968</v>
      </c>
      <c r="C96" s="679" t="s">
        <v>1123</v>
      </c>
      <c r="D96" s="679"/>
      <c r="E96" s="679"/>
      <c r="F96" s="678" t="s">
        <v>1122</v>
      </c>
      <c r="G96" s="678"/>
      <c r="H96" s="677">
        <v>186.13260724180756</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186.13260724180756</v>
      </c>
      <c r="BT96" s="674"/>
    </row>
    <row r="97" spans="1:72">
      <c r="A97" s="681"/>
      <c r="B97" s="680" t="s">
        <v>968</v>
      </c>
      <c r="C97" s="679" t="s">
        <v>1121</v>
      </c>
      <c r="D97" s="679"/>
      <c r="E97" s="679"/>
      <c r="F97" s="678" t="s">
        <v>1120</v>
      </c>
      <c r="G97" s="678"/>
      <c r="H97" s="677">
        <v>36.901691028948122</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36.901691028948122</v>
      </c>
      <c r="BT97" s="674"/>
    </row>
    <row r="98" spans="1:72">
      <c r="A98" s="681"/>
      <c r="B98" s="680" t="s">
        <v>968</v>
      </c>
      <c r="C98" s="679" t="s">
        <v>1119</v>
      </c>
      <c r="D98" s="679"/>
      <c r="E98" s="679"/>
      <c r="F98" s="678" t="s">
        <v>1118</v>
      </c>
      <c r="G98" s="678"/>
      <c r="H98" s="677">
        <v>65.754275341549629</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65.754275341549629</v>
      </c>
      <c r="BT98" s="674"/>
    </row>
    <row r="99" spans="1:72">
      <c r="A99" s="681"/>
      <c r="B99" s="680" t="s">
        <v>968</v>
      </c>
      <c r="C99" s="679" t="s">
        <v>1117</v>
      </c>
      <c r="D99" s="679"/>
      <c r="E99" s="679"/>
      <c r="F99" s="678" t="s">
        <v>1116</v>
      </c>
      <c r="G99" s="678"/>
      <c r="H99" s="677">
        <v>17.411865864144453</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17.411865864144453</v>
      </c>
      <c r="BT99" s="674"/>
    </row>
    <row r="100" spans="1:72">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c r="A106" s="681"/>
      <c r="B106" s="680" t="s">
        <v>968</v>
      </c>
      <c r="C106" s="679" t="s">
        <v>1103</v>
      </c>
      <c r="D106" s="679"/>
      <c r="E106" s="679"/>
      <c r="F106" s="678" t="s">
        <v>1102</v>
      </c>
      <c r="G106" s="678"/>
      <c r="H106" s="677">
        <v>0.50157638291774143</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0.50157638291774143</v>
      </c>
      <c r="BT106" s="674"/>
    </row>
    <row r="107" spans="1:72">
      <c r="A107" s="681"/>
      <c r="B107" s="680" t="s">
        <v>968</v>
      </c>
      <c r="C107" s="679" t="s">
        <v>1101</v>
      </c>
      <c r="D107" s="679"/>
      <c r="E107" s="679"/>
      <c r="F107" s="678" t="s">
        <v>1100</v>
      </c>
      <c r="G107" s="678"/>
      <c r="H107" s="677">
        <v>10.628642399923569</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10.628642399923569</v>
      </c>
      <c r="BT107" s="674"/>
    </row>
    <row r="108" spans="1:72">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c r="A109" s="709" t="s">
        <v>1097</v>
      </c>
      <c r="B109" s="709"/>
      <c r="C109" s="709"/>
      <c r="D109" s="709"/>
      <c r="E109" s="709"/>
      <c r="F109" s="708" t="s">
        <v>1096</v>
      </c>
      <c r="G109" s="708"/>
      <c r="H109" s="707">
        <v>434.62787809305433</v>
      </c>
      <c r="I109" s="704"/>
      <c r="J109" s="706"/>
      <c r="K109" s="706"/>
      <c r="L109" s="706"/>
      <c r="M109" s="706"/>
      <c r="N109" s="706"/>
      <c r="O109" s="706"/>
      <c r="P109" s="706"/>
      <c r="Q109" s="706"/>
      <c r="R109" s="706"/>
      <c r="S109" s="706"/>
      <c r="T109" s="706"/>
      <c r="U109" s="706"/>
      <c r="V109" s="706"/>
      <c r="W109" s="704">
        <v>434.62787809305433</v>
      </c>
      <c r="X109" s="706">
        <v>0</v>
      </c>
      <c r="Y109" s="706">
        <v>-9500</v>
      </c>
      <c r="Z109" s="706">
        <v>1245.7246584503678</v>
      </c>
      <c r="AA109" s="706"/>
      <c r="AB109" s="706"/>
      <c r="AC109" s="706">
        <v>0</v>
      </c>
      <c r="AD109" s="706">
        <v>1486.4574376612209</v>
      </c>
      <c r="AE109" s="706">
        <v>5805.9854781694848</v>
      </c>
      <c r="AF109" s="706">
        <v>0</v>
      </c>
      <c r="AG109" s="706">
        <v>0</v>
      </c>
      <c r="AH109" s="706">
        <v>0</v>
      </c>
      <c r="AI109" s="706">
        <v>0</v>
      </c>
      <c r="AJ109" s="706">
        <v>0</v>
      </c>
      <c r="AK109" s="706">
        <v>2536.40011464603</v>
      </c>
      <c r="AL109" s="706">
        <v>-1.0270373554982324</v>
      </c>
      <c r="AM109" s="706">
        <v>-1137.8618515333906</v>
      </c>
      <c r="AN109" s="706">
        <v>-1.0509219451609821</v>
      </c>
      <c r="AO109" s="706">
        <v>0</v>
      </c>
      <c r="AP109" s="706">
        <v>0</v>
      </c>
      <c r="AQ109" s="706">
        <v>0</v>
      </c>
      <c r="AR109" s="706">
        <v>0</v>
      </c>
      <c r="AS109" s="706">
        <v>0</v>
      </c>
      <c r="AT109" s="704"/>
      <c r="AU109" s="706"/>
      <c r="AV109" s="706"/>
      <c r="AW109" s="706"/>
      <c r="AX109" s="706"/>
      <c r="AY109" s="706"/>
      <c r="AZ109" s="704">
        <v>-12320.555077863763</v>
      </c>
      <c r="BA109" s="706">
        <v>-12187.446259673257</v>
      </c>
      <c r="BB109" s="706">
        <v>-133.10881819050348</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12320.555077863763</v>
      </c>
    </row>
    <row r="110" spans="1:72">
      <c r="A110" s="688" t="s">
        <v>968</v>
      </c>
      <c r="B110" s="687" t="s">
        <v>1095</v>
      </c>
      <c r="C110" s="687"/>
      <c r="D110" s="687"/>
      <c r="E110" s="687"/>
      <c r="F110" s="686" t="s">
        <v>1094</v>
      </c>
      <c r="G110" s="686"/>
      <c r="H110" s="685">
        <v>372.88621381484666</v>
      </c>
      <c r="I110" s="682"/>
      <c r="J110" s="684"/>
      <c r="K110" s="684"/>
      <c r="L110" s="684"/>
      <c r="M110" s="684"/>
      <c r="N110" s="684"/>
      <c r="O110" s="684"/>
      <c r="P110" s="684"/>
      <c r="Q110" s="684"/>
      <c r="R110" s="684"/>
      <c r="S110" s="684"/>
      <c r="T110" s="684"/>
      <c r="U110" s="684"/>
      <c r="V110" s="684"/>
      <c r="W110" s="682">
        <v>372.88621381484666</v>
      </c>
      <c r="X110" s="684"/>
      <c r="Y110" s="684">
        <v>-9500</v>
      </c>
      <c r="Z110" s="684"/>
      <c r="AA110" s="684"/>
      <c r="AB110" s="684"/>
      <c r="AC110" s="684"/>
      <c r="AD110" s="684">
        <v>1504.0842648323301</v>
      </c>
      <c r="AE110" s="684">
        <v>5832.4257189261489</v>
      </c>
      <c r="AF110" s="684"/>
      <c r="AG110" s="684"/>
      <c r="AH110" s="684"/>
      <c r="AI110" s="684"/>
      <c r="AJ110" s="684"/>
      <c r="AK110" s="684">
        <v>2536.40011464603</v>
      </c>
      <c r="AL110" s="684"/>
      <c r="AM110" s="684">
        <v>0</v>
      </c>
      <c r="AN110" s="684"/>
      <c r="AO110" s="684"/>
      <c r="AP110" s="684"/>
      <c r="AQ110" s="684"/>
      <c r="AR110" s="684"/>
      <c r="AS110" s="684"/>
      <c r="AT110" s="682"/>
      <c r="AU110" s="684"/>
      <c r="AV110" s="684"/>
      <c r="AW110" s="684"/>
      <c r="AX110" s="684"/>
      <c r="AY110" s="684"/>
      <c r="AZ110" s="682">
        <v>-12320.555077863763</v>
      </c>
      <c r="BA110" s="684">
        <v>-12187.446259673257</v>
      </c>
      <c r="BB110" s="684">
        <v>-133.10881819050348</v>
      </c>
      <c r="BC110" s="684">
        <v>0</v>
      </c>
      <c r="BD110" s="684"/>
      <c r="BE110" s="684">
        <v>0</v>
      </c>
      <c r="BF110" s="684"/>
      <c r="BG110" s="684"/>
      <c r="BH110" s="684"/>
      <c r="BI110" s="684"/>
      <c r="BJ110" s="684"/>
      <c r="BK110" s="684"/>
      <c r="BL110" s="684"/>
      <c r="BM110" s="684"/>
      <c r="BN110" s="684"/>
      <c r="BO110" s="682"/>
      <c r="BP110" s="684"/>
      <c r="BQ110" s="684"/>
      <c r="BR110" s="683"/>
      <c r="BS110" s="683"/>
      <c r="BT110" s="682">
        <v>12320.555077863763</v>
      </c>
    </row>
    <row r="111" spans="1:72">
      <c r="A111" s="680" t="s">
        <v>968</v>
      </c>
      <c r="B111" s="679" t="s">
        <v>1093</v>
      </c>
      <c r="C111" s="679"/>
      <c r="D111" s="679"/>
      <c r="E111" s="679"/>
      <c r="F111" s="678" t="s">
        <v>1092</v>
      </c>
      <c r="G111" s="678"/>
      <c r="H111" s="677">
        <v>65.372121906945637</v>
      </c>
      <c r="I111" s="674"/>
      <c r="J111" s="676"/>
      <c r="K111" s="676"/>
      <c r="L111" s="676"/>
      <c r="M111" s="676"/>
      <c r="N111" s="676"/>
      <c r="O111" s="676"/>
      <c r="P111" s="676"/>
      <c r="Q111" s="676"/>
      <c r="R111" s="676"/>
      <c r="S111" s="676"/>
      <c r="T111" s="676"/>
      <c r="U111" s="676"/>
      <c r="V111" s="676"/>
      <c r="W111" s="674">
        <v>65.372121906945637</v>
      </c>
      <c r="X111" s="676"/>
      <c r="Y111" s="676"/>
      <c r="Z111" s="676">
        <v>1202.2785898538264</v>
      </c>
      <c r="AA111" s="676"/>
      <c r="AB111" s="676"/>
      <c r="AC111" s="676"/>
      <c r="AD111" s="676"/>
      <c r="AE111" s="676"/>
      <c r="AF111" s="676"/>
      <c r="AG111" s="676"/>
      <c r="AH111" s="676"/>
      <c r="AI111" s="676"/>
      <c r="AJ111" s="676"/>
      <c r="AK111" s="676"/>
      <c r="AL111" s="676"/>
      <c r="AM111" s="676">
        <v>-1136.9064679468806</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c r="A112" s="672" t="s">
        <v>968</v>
      </c>
      <c r="B112" s="671" t="s">
        <v>1091</v>
      </c>
      <c r="C112" s="671"/>
      <c r="D112" s="671"/>
      <c r="E112" s="671"/>
      <c r="F112" s="670" t="s">
        <v>1090</v>
      </c>
      <c r="G112" s="670"/>
      <c r="H112" s="669">
        <v>-3.630457628737938</v>
      </c>
      <c r="I112" s="666"/>
      <c r="J112" s="668"/>
      <c r="K112" s="668"/>
      <c r="L112" s="668"/>
      <c r="M112" s="668"/>
      <c r="N112" s="668"/>
      <c r="O112" s="668"/>
      <c r="P112" s="668"/>
      <c r="Q112" s="668"/>
      <c r="R112" s="668"/>
      <c r="S112" s="668"/>
      <c r="T112" s="668"/>
      <c r="U112" s="668"/>
      <c r="V112" s="668"/>
      <c r="W112" s="666">
        <v>-3.630457628737938</v>
      </c>
      <c r="X112" s="668">
        <v>0</v>
      </c>
      <c r="Y112" s="668">
        <v>0</v>
      </c>
      <c r="Z112" s="668">
        <v>43.446068596541508</v>
      </c>
      <c r="AA112" s="668"/>
      <c r="AB112" s="668"/>
      <c r="AC112" s="668">
        <v>0</v>
      </c>
      <c r="AD112" s="668">
        <v>-17.626827171109198</v>
      </c>
      <c r="AE112" s="668">
        <v>-26.416356167001048</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c r="A113" s="709" t="s">
        <v>1089</v>
      </c>
      <c r="B113" s="709"/>
      <c r="C113" s="709"/>
      <c r="D113" s="709"/>
      <c r="E113" s="709"/>
      <c r="F113" s="708" t="s">
        <v>1088</v>
      </c>
      <c r="G113" s="708"/>
      <c r="H113" s="707">
        <v>5157.303907518869</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848.90608579344598</v>
      </c>
      <c r="X113" s="706"/>
      <c r="Y113" s="706"/>
      <c r="Z113" s="706"/>
      <c r="AA113" s="706"/>
      <c r="AB113" s="706"/>
      <c r="AC113" s="706">
        <v>393.49861469379954</v>
      </c>
      <c r="AD113" s="706"/>
      <c r="AE113" s="706"/>
      <c r="AF113" s="706"/>
      <c r="AG113" s="706"/>
      <c r="AH113" s="706"/>
      <c r="AI113" s="706"/>
      <c r="AJ113" s="706"/>
      <c r="AK113" s="706"/>
      <c r="AL113" s="706">
        <v>221.31460781503773</v>
      </c>
      <c r="AM113" s="706">
        <v>0</v>
      </c>
      <c r="AN113" s="706"/>
      <c r="AO113" s="706"/>
      <c r="AP113" s="706"/>
      <c r="AQ113" s="706">
        <v>234.068978694946</v>
      </c>
      <c r="AR113" s="706"/>
      <c r="AS113" s="706"/>
      <c r="AT113" s="704">
        <v>3605.689309257667</v>
      </c>
      <c r="AU113" s="706">
        <v>3605.689309257667</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6.2338779019776434</v>
      </c>
      <c r="BT113" s="704">
        <v>696.47463456577816</v>
      </c>
    </row>
    <row r="114" spans="1:72">
      <c r="A114" s="688" t="s">
        <v>968</v>
      </c>
      <c r="B114" s="687" t="s">
        <v>1087</v>
      </c>
      <c r="C114" s="687"/>
      <c r="D114" s="687"/>
      <c r="E114" s="687"/>
      <c r="F114" s="686" t="s">
        <v>1086</v>
      </c>
      <c r="G114" s="686"/>
      <c r="H114" s="685">
        <v>50.205407471099647</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2.0540747109964648</v>
      </c>
      <c r="X114" s="684"/>
      <c r="Y114" s="684"/>
      <c r="Z114" s="684"/>
      <c r="AA114" s="684"/>
      <c r="AB114" s="684"/>
      <c r="AC114" s="684"/>
      <c r="AD114" s="684"/>
      <c r="AE114" s="684"/>
      <c r="AF114" s="684"/>
      <c r="AG114" s="684"/>
      <c r="AH114" s="684"/>
      <c r="AI114" s="684"/>
      <c r="AJ114" s="684"/>
      <c r="AK114" s="684"/>
      <c r="AL114" s="684">
        <v>2.0540747109964648</v>
      </c>
      <c r="AM114" s="684">
        <v>0</v>
      </c>
      <c r="AN114" s="684"/>
      <c r="AO114" s="684"/>
      <c r="AP114" s="684"/>
      <c r="AQ114" s="684"/>
      <c r="AR114" s="684"/>
      <c r="AS114" s="684"/>
      <c r="AT114" s="682">
        <v>0</v>
      </c>
      <c r="AU114" s="684">
        <v>0</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48.15133276010318</v>
      </c>
    </row>
    <row r="115" spans="1:72">
      <c r="A115" s="680" t="s">
        <v>968</v>
      </c>
      <c r="B115" s="679" t="s">
        <v>1085</v>
      </c>
      <c r="C115" s="679"/>
      <c r="D115" s="679"/>
      <c r="E115" s="679"/>
      <c r="F115" s="678" t="s">
        <v>1084</v>
      </c>
      <c r="G115" s="678"/>
      <c r="H115" s="677">
        <v>39.88726473679182</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39.88726473679182</v>
      </c>
    </row>
    <row r="116" spans="1:72">
      <c r="A116" s="680"/>
      <c r="B116" s="680" t="s">
        <v>968</v>
      </c>
      <c r="C116" s="679" t="s">
        <v>1083</v>
      </c>
      <c r="D116" s="679"/>
      <c r="E116" s="679"/>
      <c r="F116" s="678" t="s">
        <v>1082</v>
      </c>
      <c r="G116" s="678"/>
      <c r="H116" s="677">
        <v>132.08178083500525</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132.08178083500525</v>
      </c>
    </row>
    <row r="117" spans="1:72">
      <c r="A117" s="680"/>
      <c r="B117" s="680" t="s">
        <v>1081</v>
      </c>
      <c r="C117" s="679" t="s">
        <v>1080</v>
      </c>
      <c r="D117" s="679"/>
      <c r="E117" s="679"/>
      <c r="F117" s="678" t="s">
        <v>1079</v>
      </c>
      <c r="G117" s="678"/>
      <c r="H117" s="677">
        <v>92.170631508550684</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92.170631508550684</v>
      </c>
    </row>
    <row r="118" spans="1:72">
      <c r="A118" s="680"/>
      <c r="B118" s="680"/>
      <c r="C118" s="680" t="s">
        <v>968</v>
      </c>
      <c r="D118" s="679" t="s">
        <v>1078</v>
      </c>
      <c r="E118" s="679"/>
      <c r="F118" s="678" t="s">
        <v>1077</v>
      </c>
      <c r="G118" s="678"/>
      <c r="H118" s="677">
        <v>90.283748925193464</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90.283748925193464</v>
      </c>
    </row>
    <row r="119" spans="1:72">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c r="A120" s="680" t="s">
        <v>968</v>
      </c>
      <c r="B120" s="679" t="s">
        <v>1074</v>
      </c>
      <c r="C120" s="679"/>
      <c r="D120" s="679"/>
      <c r="E120" s="679"/>
      <c r="F120" s="678" t="s">
        <v>1073</v>
      </c>
      <c r="G120" s="678"/>
      <c r="H120" s="677">
        <v>4374.5820196809018</v>
      </c>
      <c r="I120" s="674"/>
      <c r="J120" s="676"/>
      <c r="K120" s="676"/>
      <c r="L120" s="676"/>
      <c r="M120" s="676"/>
      <c r="N120" s="676"/>
      <c r="O120" s="676"/>
      <c r="P120" s="676"/>
      <c r="Q120" s="676"/>
      <c r="R120" s="676"/>
      <c r="S120" s="676"/>
      <c r="T120" s="676"/>
      <c r="U120" s="676"/>
      <c r="V120" s="676"/>
      <c r="W120" s="674">
        <v>214.1253463265501</v>
      </c>
      <c r="X120" s="676"/>
      <c r="Y120" s="676"/>
      <c r="Z120" s="676"/>
      <c r="AA120" s="676"/>
      <c r="AB120" s="676"/>
      <c r="AC120" s="676"/>
      <c r="AD120" s="676"/>
      <c r="AE120" s="676"/>
      <c r="AF120" s="676"/>
      <c r="AG120" s="676"/>
      <c r="AH120" s="676"/>
      <c r="AI120" s="676"/>
      <c r="AJ120" s="676"/>
      <c r="AK120" s="676"/>
      <c r="AL120" s="676">
        <v>214.1253463265501</v>
      </c>
      <c r="AM120" s="676">
        <v>0</v>
      </c>
      <c r="AN120" s="676"/>
      <c r="AO120" s="676"/>
      <c r="AP120" s="676"/>
      <c r="AQ120" s="676"/>
      <c r="AR120" s="676"/>
      <c r="AS120" s="676"/>
      <c r="AT120" s="674">
        <v>3605.689309257667</v>
      </c>
      <c r="AU120" s="676">
        <v>3605.689309257667</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554.76736409668479</v>
      </c>
    </row>
    <row r="121" spans="1:72">
      <c r="A121" s="680" t="s">
        <v>968</v>
      </c>
      <c r="B121" s="679" t="s">
        <v>1072</v>
      </c>
      <c r="C121" s="679"/>
      <c r="D121" s="679"/>
      <c r="E121" s="679"/>
      <c r="F121" s="678" t="s">
        <v>1071</v>
      </c>
      <c r="G121" s="678"/>
      <c r="H121" s="677">
        <v>679.99426769848094</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627.56759338874554</v>
      </c>
      <c r="X121" s="676"/>
      <c r="Y121" s="676"/>
      <c r="Z121" s="676"/>
      <c r="AA121" s="676"/>
      <c r="AB121" s="676"/>
      <c r="AC121" s="676">
        <v>393.49861469379954</v>
      </c>
      <c r="AD121" s="676"/>
      <c r="AE121" s="676"/>
      <c r="AF121" s="676"/>
      <c r="AG121" s="676"/>
      <c r="AH121" s="676"/>
      <c r="AI121" s="676"/>
      <c r="AJ121" s="676"/>
      <c r="AK121" s="676"/>
      <c r="AL121" s="676"/>
      <c r="AM121" s="676">
        <v>0</v>
      </c>
      <c r="AN121" s="676"/>
      <c r="AO121" s="676"/>
      <c r="AP121" s="676"/>
      <c r="AQ121" s="676">
        <v>234.068978694946</v>
      </c>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6.2338779019776434</v>
      </c>
      <c r="BT121" s="674">
        <v>46.168911818094962</v>
      </c>
    </row>
    <row r="122" spans="1:72">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c r="A123" s="680" t="s">
        <v>968</v>
      </c>
      <c r="B123" s="679" t="s">
        <v>1068</v>
      </c>
      <c r="C123" s="679"/>
      <c r="D123" s="679"/>
      <c r="E123" s="679"/>
      <c r="F123" s="678" t="s">
        <v>1067</v>
      </c>
      <c r="G123" s="678"/>
      <c r="H123" s="677">
        <v>8.5029139199388553</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5.1590713671539117</v>
      </c>
      <c r="X123" s="676"/>
      <c r="Y123" s="676"/>
      <c r="Z123" s="676"/>
      <c r="AA123" s="676"/>
      <c r="AB123" s="676"/>
      <c r="AC123" s="676"/>
      <c r="AD123" s="676"/>
      <c r="AE123" s="676"/>
      <c r="AF123" s="676"/>
      <c r="AG123" s="676"/>
      <c r="AH123" s="676"/>
      <c r="AI123" s="676"/>
      <c r="AJ123" s="676"/>
      <c r="AK123" s="676"/>
      <c r="AL123" s="676">
        <v>5.1590713671539117</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3.3438425527849431</v>
      </c>
    </row>
    <row r="124" spans="1:72">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c r="A133" s="680" t="s">
        <v>968</v>
      </c>
      <c r="B133" s="679" t="s">
        <v>1048</v>
      </c>
      <c r="C133" s="679"/>
      <c r="D133" s="679"/>
      <c r="E133" s="679"/>
      <c r="F133" s="678" t="s">
        <v>1047</v>
      </c>
      <c r="G133" s="678"/>
      <c r="H133" s="677">
        <v>4.13203401165568</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4.13203401165568</v>
      </c>
    </row>
    <row r="134" spans="1:72">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c r="A135" s="709" t="s">
        <v>1044</v>
      </c>
      <c r="B135" s="709"/>
      <c r="C135" s="709"/>
      <c r="D135" s="709"/>
      <c r="E135" s="709"/>
      <c r="F135" s="708" t="s">
        <v>1043</v>
      </c>
      <c r="G135" s="708"/>
      <c r="H135" s="707">
        <v>876.63609439189827</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4.9918792395146649</v>
      </c>
      <c r="AU135" s="706">
        <v>0</v>
      </c>
      <c r="AV135" s="706">
        <v>0</v>
      </c>
      <c r="AW135" s="706">
        <v>4.9918792395146649</v>
      </c>
      <c r="AX135" s="706">
        <v>0</v>
      </c>
      <c r="AY135" s="706">
        <v>0</v>
      </c>
      <c r="AZ135" s="704">
        <v>0.59711474156873978</v>
      </c>
      <c r="BA135" s="706"/>
      <c r="BB135" s="706"/>
      <c r="BC135" s="706"/>
      <c r="BD135" s="706">
        <v>0</v>
      </c>
      <c r="BE135" s="706"/>
      <c r="BF135" s="706">
        <v>0</v>
      </c>
      <c r="BG135" s="706">
        <v>0</v>
      </c>
      <c r="BH135" s="706">
        <v>0.59711474156873978</v>
      </c>
      <c r="BI135" s="706">
        <v>0</v>
      </c>
      <c r="BJ135" s="706">
        <v>0</v>
      </c>
      <c r="BK135" s="706">
        <v>0</v>
      </c>
      <c r="BL135" s="706">
        <v>0</v>
      </c>
      <c r="BM135" s="706">
        <v>0</v>
      </c>
      <c r="BN135" s="706">
        <v>0</v>
      </c>
      <c r="BO135" s="704">
        <v>0</v>
      </c>
      <c r="BP135" s="706">
        <v>0</v>
      </c>
      <c r="BQ135" s="706">
        <v>0</v>
      </c>
      <c r="BR135" s="705"/>
      <c r="BS135" s="705">
        <v>88.75513518677748</v>
      </c>
      <c r="BT135" s="704">
        <v>782.29196522403743</v>
      </c>
    </row>
    <row r="136" spans="1:72">
      <c r="A136" s="709" t="s">
        <v>1042</v>
      </c>
      <c r="B136" s="709"/>
      <c r="C136" s="709"/>
      <c r="D136" s="709"/>
      <c r="E136" s="709"/>
      <c r="F136" s="708" t="s">
        <v>1041</v>
      </c>
      <c r="G136" s="708"/>
      <c r="H136" s="707">
        <v>24164.636476545333</v>
      </c>
      <c r="I136" s="704">
        <v>714.34030763351484</v>
      </c>
      <c r="J136" s="706">
        <v>0</v>
      </c>
      <c r="K136" s="706">
        <v>0</v>
      </c>
      <c r="L136" s="706">
        <v>491.28212477309637</v>
      </c>
      <c r="M136" s="706">
        <v>0</v>
      </c>
      <c r="N136" s="706">
        <v>0</v>
      </c>
      <c r="O136" s="706">
        <v>0</v>
      </c>
      <c r="P136" s="706">
        <v>223.05818286041844</v>
      </c>
      <c r="Q136" s="706">
        <v>0</v>
      </c>
      <c r="R136" s="706">
        <v>0</v>
      </c>
      <c r="S136" s="706">
        <v>0</v>
      </c>
      <c r="T136" s="706">
        <v>0</v>
      </c>
      <c r="U136" s="706">
        <v>0</v>
      </c>
      <c r="V136" s="706">
        <v>0</v>
      </c>
      <c r="W136" s="704">
        <v>11702.421897391801</v>
      </c>
      <c r="X136" s="706">
        <v>124.98805770516861</v>
      </c>
      <c r="Y136" s="706">
        <v>0</v>
      </c>
      <c r="Z136" s="706">
        <v>43.446068596541508</v>
      </c>
      <c r="AA136" s="706">
        <v>0</v>
      </c>
      <c r="AB136" s="706"/>
      <c r="AC136" s="706">
        <v>18.582210757619183</v>
      </c>
      <c r="AD136" s="706">
        <v>1145.1227667908665</v>
      </c>
      <c r="AE136" s="706">
        <v>1221.099646508073</v>
      </c>
      <c r="AF136" s="706">
        <v>1473.201490398395</v>
      </c>
      <c r="AG136" s="706">
        <v>0</v>
      </c>
      <c r="AH136" s="706">
        <v>0</v>
      </c>
      <c r="AI136" s="706">
        <v>790.60380242667429</v>
      </c>
      <c r="AJ136" s="706">
        <v>-15.429444922136238</v>
      </c>
      <c r="AK136" s="706">
        <v>1962.8594630744242</v>
      </c>
      <c r="AL136" s="706">
        <v>4774.4817044043184</v>
      </c>
      <c r="AM136" s="706">
        <v>-214.00592337823636</v>
      </c>
      <c r="AN136" s="706">
        <v>14.569599694277251</v>
      </c>
      <c r="AO136" s="706">
        <v>38.119805101748348</v>
      </c>
      <c r="AP136" s="706">
        <v>358.62711378618513</v>
      </c>
      <c r="AQ136" s="706">
        <v>176.38769465940575</v>
      </c>
      <c r="AR136" s="706">
        <v>0</v>
      </c>
      <c r="AS136" s="706">
        <v>-210.18438903219641</v>
      </c>
      <c r="AT136" s="704">
        <v>649.30256998184768</v>
      </c>
      <c r="AU136" s="706">
        <v>580.94487436705833</v>
      </c>
      <c r="AV136" s="706">
        <v>0</v>
      </c>
      <c r="AW136" s="706">
        <v>68.357695614789336</v>
      </c>
      <c r="AX136" s="706">
        <v>0</v>
      </c>
      <c r="AY136" s="706">
        <v>0</v>
      </c>
      <c r="AZ136" s="704">
        <v>1182.932072226999</v>
      </c>
      <c r="BA136" s="706">
        <v>0</v>
      </c>
      <c r="BB136" s="706">
        <v>0</v>
      </c>
      <c r="BC136" s="706">
        <v>0</v>
      </c>
      <c r="BD136" s="706">
        <v>0</v>
      </c>
      <c r="BE136" s="706">
        <v>0</v>
      </c>
      <c r="BF136" s="706">
        <v>1008.2640680233113</v>
      </c>
      <c r="BG136" s="706">
        <v>0</v>
      </c>
      <c r="BH136" s="706">
        <v>22.212668386357123</v>
      </c>
      <c r="BI136" s="706">
        <v>19.848094009744912</v>
      </c>
      <c r="BJ136" s="706">
        <v>9.1477978408330944</v>
      </c>
      <c r="BK136" s="706">
        <v>120.5455240278972</v>
      </c>
      <c r="BL136" s="706">
        <v>0</v>
      </c>
      <c r="BM136" s="706">
        <v>2.8900353491927007</v>
      </c>
      <c r="BN136" s="706">
        <v>0</v>
      </c>
      <c r="BO136" s="704">
        <v>19.848094009744912</v>
      </c>
      <c r="BP136" s="706">
        <v>0</v>
      </c>
      <c r="BQ136" s="706">
        <v>19.848094009744912</v>
      </c>
      <c r="BR136" s="705">
        <v>0</v>
      </c>
      <c r="BS136" s="705">
        <v>377.92586223368681</v>
      </c>
      <c r="BT136" s="704">
        <v>9517.8895576573996</v>
      </c>
    </row>
    <row r="137" spans="1:72">
      <c r="A137" s="665" t="s">
        <v>1040</v>
      </c>
      <c r="B137" s="665"/>
      <c r="C137" s="665"/>
      <c r="D137" s="665"/>
      <c r="E137" s="665"/>
      <c r="F137" s="664" t="s">
        <v>1039</v>
      </c>
      <c r="G137" s="664"/>
      <c r="H137" s="663">
        <v>2270.2302474443486</v>
      </c>
      <c r="I137" s="660">
        <v>57.036400114646028</v>
      </c>
      <c r="J137" s="662">
        <v>0</v>
      </c>
      <c r="K137" s="662">
        <v>0</v>
      </c>
      <c r="L137" s="662">
        <v>57.036400114646028</v>
      </c>
      <c r="M137" s="662">
        <v>0</v>
      </c>
      <c r="N137" s="662">
        <v>0</v>
      </c>
      <c r="O137" s="662">
        <v>0</v>
      </c>
      <c r="P137" s="662">
        <v>0</v>
      </c>
      <c r="Q137" s="662">
        <v>0</v>
      </c>
      <c r="R137" s="662">
        <v>0</v>
      </c>
      <c r="S137" s="662">
        <v>0</v>
      </c>
      <c r="T137" s="662">
        <v>0</v>
      </c>
      <c r="U137" s="662">
        <v>0</v>
      </c>
      <c r="V137" s="662">
        <v>0</v>
      </c>
      <c r="W137" s="660">
        <v>1821.5104614502723</v>
      </c>
      <c r="X137" s="662">
        <v>0</v>
      </c>
      <c r="Y137" s="662">
        <v>0</v>
      </c>
      <c r="Z137" s="662"/>
      <c r="AA137" s="662"/>
      <c r="AB137" s="662"/>
      <c r="AC137" s="662">
        <v>0</v>
      </c>
      <c r="AD137" s="662">
        <v>235.62147702302474</v>
      </c>
      <c r="AE137" s="662">
        <v>737.7233209133467</v>
      </c>
      <c r="AF137" s="662">
        <v>0</v>
      </c>
      <c r="AG137" s="662">
        <v>0</v>
      </c>
      <c r="AH137" s="662">
        <v>0</v>
      </c>
      <c r="AI137" s="662">
        <v>0</v>
      </c>
      <c r="AJ137" s="662">
        <v>0</v>
      </c>
      <c r="AK137" s="662">
        <v>0</v>
      </c>
      <c r="AL137" s="662">
        <v>0</v>
      </c>
      <c r="AM137" s="662">
        <v>0</v>
      </c>
      <c r="AN137" s="662">
        <v>13.542562338779019</v>
      </c>
      <c r="AO137" s="662">
        <v>37.116652335912867</v>
      </c>
      <c r="AP137" s="662">
        <v>358.62711378618513</v>
      </c>
      <c r="AQ137" s="662">
        <v>405.44090952517433</v>
      </c>
      <c r="AR137" s="662">
        <v>0</v>
      </c>
      <c r="AS137" s="662">
        <v>33.438425527849432</v>
      </c>
      <c r="AT137" s="660">
        <v>391.65950128976783</v>
      </c>
      <c r="AU137" s="662">
        <v>391.65950128976783</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c r="A140" s="680" t="s">
        <v>968</v>
      </c>
      <c r="B140" s="679" t="s">
        <v>1034</v>
      </c>
      <c r="C140" s="679"/>
      <c r="D140" s="679"/>
      <c r="E140" s="679"/>
      <c r="F140" s="678" t="s">
        <v>1033</v>
      </c>
      <c r="G140" s="678"/>
      <c r="H140" s="677">
        <v>2213.1699627400399</v>
      </c>
      <c r="I140" s="674"/>
      <c r="J140" s="676"/>
      <c r="K140" s="676"/>
      <c r="L140" s="676"/>
      <c r="M140" s="676"/>
      <c r="N140" s="676"/>
      <c r="O140" s="676"/>
      <c r="P140" s="676"/>
      <c r="Q140" s="676"/>
      <c r="R140" s="676"/>
      <c r="S140" s="676"/>
      <c r="T140" s="676"/>
      <c r="U140" s="676"/>
      <c r="V140" s="676"/>
      <c r="W140" s="674">
        <v>1821.5104614502723</v>
      </c>
      <c r="X140" s="676">
        <v>0</v>
      </c>
      <c r="Y140" s="676">
        <v>0</v>
      </c>
      <c r="Z140" s="676"/>
      <c r="AA140" s="676"/>
      <c r="AB140" s="676"/>
      <c r="AC140" s="676">
        <v>0</v>
      </c>
      <c r="AD140" s="676">
        <v>235.62147702302474</v>
      </c>
      <c r="AE140" s="676">
        <v>737.7233209133467</v>
      </c>
      <c r="AF140" s="676">
        <v>0</v>
      </c>
      <c r="AG140" s="676">
        <v>0</v>
      </c>
      <c r="AH140" s="676">
        <v>0</v>
      </c>
      <c r="AI140" s="676">
        <v>0</v>
      </c>
      <c r="AJ140" s="676">
        <v>0</v>
      </c>
      <c r="AK140" s="676">
        <v>0</v>
      </c>
      <c r="AL140" s="676">
        <v>0</v>
      </c>
      <c r="AM140" s="676">
        <v>0</v>
      </c>
      <c r="AN140" s="676">
        <v>13.542562338779019</v>
      </c>
      <c r="AO140" s="676">
        <v>37.116652335912867</v>
      </c>
      <c r="AP140" s="676">
        <v>358.62711378618513</v>
      </c>
      <c r="AQ140" s="676">
        <v>405.44090952517433</v>
      </c>
      <c r="AR140" s="676">
        <v>0</v>
      </c>
      <c r="AS140" s="676">
        <v>33.438425527849432</v>
      </c>
      <c r="AT140" s="674">
        <v>391.65950128976783</v>
      </c>
      <c r="AU140" s="676">
        <v>391.65950128976783</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1362.4964173115504</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970.83691602178271</v>
      </c>
      <c r="X141" s="699"/>
      <c r="Y141" s="699"/>
      <c r="Z141" s="699"/>
      <c r="AA141" s="699"/>
      <c r="AB141" s="699"/>
      <c r="AC141" s="699"/>
      <c r="AD141" s="699">
        <v>235.62147702302474</v>
      </c>
      <c r="AE141" s="699">
        <v>705.78962453425049</v>
      </c>
      <c r="AF141" s="699"/>
      <c r="AG141" s="699"/>
      <c r="AH141" s="699"/>
      <c r="AI141" s="699"/>
      <c r="AJ141" s="699"/>
      <c r="AK141" s="699"/>
      <c r="AL141" s="699"/>
      <c r="AM141" s="699">
        <v>0</v>
      </c>
      <c r="AN141" s="699">
        <v>13.542562338779019</v>
      </c>
      <c r="AO141" s="699"/>
      <c r="AP141" s="699"/>
      <c r="AQ141" s="699">
        <v>15.883252125728479</v>
      </c>
      <c r="AR141" s="699"/>
      <c r="AS141" s="699"/>
      <c r="AT141" s="697">
        <v>391.65950128976783</v>
      </c>
      <c r="AU141" s="699">
        <v>391.65950128976783</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c r="A144" s="695" t="s">
        <v>968</v>
      </c>
      <c r="B144" s="694" t="s">
        <v>1026</v>
      </c>
      <c r="C144" s="694"/>
      <c r="D144" s="694"/>
      <c r="E144" s="694"/>
      <c r="F144" s="693" t="s">
        <v>1025</v>
      </c>
      <c r="G144" s="693"/>
      <c r="H144" s="692">
        <v>57.036400114646028</v>
      </c>
      <c r="I144" s="689">
        <v>57.036400114646028</v>
      </c>
      <c r="J144" s="691">
        <v>0</v>
      </c>
      <c r="K144" s="691">
        <v>0</v>
      </c>
      <c r="L144" s="691">
        <v>57.036400114646028</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c r="A145" s="665" t="s">
        <v>1024</v>
      </c>
      <c r="B145" s="665"/>
      <c r="C145" s="665"/>
      <c r="D145" s="665"/>
      <c r="E145" s="665"/>
      <c r="F145" s="664" t="s">
        <v>1023</v>
      </c>
      <c r="G145" s="664"/>
      <c r="H145" s="663">
        <v>18792.108531575428</v>
      </c>
      <c r="I145" s="660">
        <v>602.91869685678796</v>
      </c>
      <c r="J145" s="662">
        <v>0</v>
      </c>
      <c r="K145" s="662">
        <v>0</v>
      </c>
      <c r="L145" s="662">
        <v>428.20292347377472</v>
      </c>
      <c r="M145" s="662">
        <v>0</v>
      </c>
      <c r="N145" s="662">
        <v>0</v>
      </c>
      <c r="O145" s="662">
        <v>0</v>
      </c>
      <c r="P145" s="662">
        <v>174.71577338301327</v>
      </c>
      <c r="Q145" s="662">
        <v>0</v>
      </c>
      <c r="R145" s="662">
        <v>0</v>
      </c>
      <c r="S145" s="662">
        <v>0</v>
      </c>
      <c r="T145" s="662">
        <v>0</v>
      </c>
      <c r="U145" s="662">
        <v>0</v>
      </c>
      <c r="V145" s="662">
        <v>0</v>
      </c>
      <c r="W145" s="660">
        <v>6686.9207987006776</v>
      </c>
      <c r="X145" s="662"/>
      <c r="Y145" s="662"/>
      <c r="Z145" s="662"/>
      <c r="AA145" s="662"/>
      <c r="AB145" s="662"/>
      <c r="AC145" s="662"/>
      <c r="AD145" s="662">
        <v>234.52278589853825</v>
      </c>
      <c r="AE145" s="662">
        <v>204.81035635807777</v>
      </c>
      <c r="AF145" s="662">
        <v>1036.997229387599</v>
      </c>
      <c r="AG145" s="662">
        <v>2.1018438903219643</v>
      </c>
      <c r="AH145" s="662"/>
      <c r="AI145" s="662">
        <v>832.80787236075275</v>
      </c>
      <c r="AJ145" s="662">
        <v>34.990923855928152</v>
      </c>
      <c r="AK145" s="662"/>
      <c r="AL145" s="662">
        <v>4230.9400974491255</v>
      </c>
      <c r="AM145" s="662">
        <v>88.850673545428492</v>
      </c>
      <c r="AN145" s="662"/>
      <c r="AO145" s="662"/>
      <c r="AP145" s="662"/>
      <c r="AQ145" s="662">
        <v>20.899015954905895</v>
      </c>
      <c r="AR145" s="662"/>
      <c r="AS145" s="662"/>
      <c r="AT145" s="660">
        <v>412.82124773096399</v>
      </c>
      <c r="AU145" s="662">
        <v>344.46355211617464</v>
      </c>
      <c r="AV145" s="662">
        <v>0</v>
      </c>
      <c r="AW145" s="662">
        <v>68.357695614789336</v>
      </c>
      <c r="AX145" s="662">
        <v>0</v>
      </c>
      <c r="AY145" s="662">
        <v>0</v>
      </c>
      <c r="AZ145" s="660">
        <v>1166.4994745390275</v>
      </c>
      <c r="BA145" s="662"/>
      <c r="BB145" s="662"/>
      <c r="BC145" s="662"/>
      <c r="BD145" s="662">
        <v>0</v>
      </c>
      <c r="BE145" s="662"/>
      <c r="BF145" s="662">
        <v>999.02073182382719</v>
      </c>
      <c r="BG145" s="662">
        <v>0</v>
      </c>
      <c r="BH145" s="662">
        <v>15.357791153147987</v>
      </c>
      <c r="BI145" s="662">
        <v>19.848094009744912</v>
      </c>
      <c r="BJ145" s="662">
        <v>8.9567211235310982</v>
      </c>
      <c r="BK145" s="662">
        <v>120.42610107958345</v>
      </c>
      <c r="BL145" s="662">
        <v>0</v>
      </c>
      <c r="BM145" s="662">
        <v>2.8900353491927007</v>
      </c>
      <c r="BN145" s="662">
        <v>0</v>
      </c>
      <c r="BO145" s="660">
        <v>19.848094009744912</v>
      </c>
      <c r="BP145" s="662">
        <v>0</v>
      </c>
      <c r="BQ145" s="662">
        <v>19.848094009744912</v>
      </c>
      <c r="BR145" s="661"/>
      <c r="BS145" s="661">
        <v>377.92586223368681</v>
      </c>
      <c r="BT145" s="660">
        <v>9525.1982420942004</v>
      </c>
    </row>
    <row r="146" spans="1:72">
      <c r="A146" s="688" t="s">
        <v>968</v>
      </c>
      <c r="B146" s="687" t="s">
        <v>1022</v>
      </c>
      <c r="C146" s="687"/>
      <c r="D146" s="687"/>
      <c r="E146" s="687"/>
      <c r="F146" s="686" t="s">
        <v>1021</v>
      </c>
      <c r="G146" s="686"/>
      <c r="H146" s="685">
        <v>5898.9920703162315</v>
      </c>
      <c r="I146" s="682">
        <v>602.91869685678796</v>
      </c>
      <c r="J146" s="684">
        <v>0</v>
      </c>
      <c r="K146" s="684">
        <v>0</v>
      </c>
      <c r="L146" s="684">
        <v>428.20292347377472</v>
      </c>
      <c r="M146" s="684">
        <v>0</v>
      </c>
      <c r="N146" s="684">
        <v>0</v>
      </c>
      <c r="O146" s="684">
        <v>0</v>
      </c>
      <c r="P146" s="684">
        <v>174.71577338301327</v>
      </c>
      <c r="Q146" s="684">
        <v>0</v>
      </c>
      <c r="R146" s="684">
        <v>0</v>
      </c>
      <c r="S146" s="684">
        <v>0</v>
      </c>
      <c r="T146" s="684">
        <v>0</v>
      </c>
      <c r="U146" s="684">
        <v>0</v>
      </c>
      <c r="V146" s="684">
        <v>0</v>
      </c>
      <c r="W146" s="682">
        <v>863.30849336008407</v>
      </c>
      <c r="X146" s="684"/>
      <c r="Y146" s="684"/>
      <c r="Z146" s="684"/>
      <c r="AA146" s="684"/>
      <c r="AB146" s="684"/>
      <c r="AC146" s="684"/>
      <c r="AD146" s="684">
        <v>234.52278589853825</v>
      </c>
      <c r="AE146" s="684">
        <v>175.07404222795452</v>
      </c>
      <c r="AF146" s="684"/>
      <c r="AG146" s="684"/>
      <c r="AH146" s="684"/>
      <c r="AI146" s="684"/>
      <c r="AJ146" s="684">
        <v>1.0270373554982324</v>
      </c>
      <c r="AK146" s="684"/>
      <c r="AL146" s="684">
        <v>391.18180949651281</v>
      </c>
      <c r="AM146" s="684">
        <v>43.947644979459248</v>
      </c>
      <c r="AN146" s="684"/>
      <c r="AO146" s="684"/>
      <c r="AP146" s="684"/>
      <c r="AQ146" s="684">
        <v>17.55517340212095</v>
      </c>
      <c r="AR146" s="684"/>
      <c r="AS146" s="684"/>
      <c r="AT146" s="682">
        <v>293.1594535205885</v>
      </c>
      <c r="AU146" s="684">
        <v>224.80175790579918</v>
      </c>
      <c r="AV146" s="684">
        <v>0</v>
      </c>
      <c r="AW146" s="684">
        <v>68.357695614789336</v>
      </c>
      <c r="AX146" s="684">
        <v>0</v>
      </c>
      <c r="AY146" s="684">
        <v>0</v>
      </c>
      <c r="AZ146" s="682">
        <v>340.73755612878568</v>
      </c>
      <c r="BA146" s="684"/>
      <c r="BB146" s="684"/>
      <c r="BC146" s="684"/>
      <c r="BD146" s="684">
        <v>0</v>
      </c>
      <c r="BE146" s="684"/>
      <c r="BF146" s="684">
        <v>316.4708130314321</v>
      </c>
      <c r="BG146" s="684">
        <v>0</v>
      </c>
      <c r="BH146" s="684">
        <v>4.4186490876086744</v>
      </c>
      <c r="BI146" s="684">
        <v>19.848094009744912</v>
      </c>
      <c r="BJ146" s="684">
        <v>0</v>
      </c>
      <c r="BK146" s="684">
        <v>0</v>
      </c>
      <c r="BL146" s="684">
        <v>0</v>
      </c>
      <c r="BM146" s="684">
        <v>0</v>
      </c>
      <c r="BN146" s="684">
        <v>0</v>
      </c>
      <c r="BO146" s="682">
        <v>19.848094009744912</v>
      </c>
      <c r="BP146" s="684">
        <v>0</v>
      </c>
      <c r="BQ146" s="684">
        <v>19.848094009744912</v>
      </c>
      <c r="BR146" s="683"/>
      <c r="BS146" s="683">
        <v>39.624534250501576</v>
      </c>
      <c r="BT146" s="682">
        <v>3739.3713576000764</v>
      </c>
    </row>
    <row r="147" spans="1:72">
      <c r="A147" s="681"/>
      <c r="B147" s="680" t="s">
        <v>968</v>
      </c>
      <c r="C147" s="679" t="s">
        <v>1020</v>
      </c>
      <c r="D147" s="679"/>
      <c r="E147" s="679"/>
      <c r="F147" s="678" t="s">
        <v>1019</v>
      </c>
      <c r="G147" s="678"/>
      <c r="H147" s="677">
        <v>793.51772236552972</v>
      </c>
      <c r="I147" s="674">
        <v>294.04318333811023</v>
      </c>
      <c r="J147" s="676">
        <v>0</v>
      </c>
      <c r="K147" s="676">
        <v>0</v>
      </c>
      <c r="L147" s="676">
        <v>176.50711760771949</v>
      </c>
      <c r="M147" s="676">
        <v>0</v>
      </c>
      <c r="N147" s="676">
        <v>0</v>
      </c>
      <c r="O147" s="676">
        <v>0</v>
      </c>
      <c r="P147" s="676">
        <v>117.53606573039075</v>
      </c>
      <c r="Q147" s="676">
        <v>0</v>
      </c>
      <c r="R147" s="676">
        <v>0</v>
      </c>
      <c r="S147" s="676">
        <v>0</v>
      </c>
      <c r="T147" s="676">
        <v>0</v>
      </c>
      <c r="U147" s="676">
        <v>0</v>
      </c>
      <c r="V147" s="676">
        <v>0</v>
      </c>
      <c r="W147" s="674">
        <v>13.590331518104518</v>
      </c>
      <c r="X147" s="676"/>
      <c r="Y147" s="676"/>
      <c r="Z147" s="676"/>
      <c r="AA147" s="676"/>
      <c r="AB147" s="676"/>
      <c r="AC147" s="676"/>
      <c r="AD147" s="676"/>
      <c r="AE147" s="676">
        <v>2.1973822489729624</v>
      </c>
      <c r="AF147" s="676"/>
      <c r="AG147" s="676"/>
      <c r="AH147" s="676"/>
      <c r="AI147" s="676"/>
      <c r="AJ147" s="676"/>
      <c r="AK147" s="676"/>
      <c r="AL147" s="676">
        <v>7.2131460781503769</v>
      </c>
      <c r="AM147" s="676">
        <v>0</v>
      </c>
      <c r="AN147" s="676"/>
      <c r="AO147" s="676"/>
      <c r="AP147" s="676"/>
      <c r="AQ147" s="676">
        <v>4.179803190981179</v>
      </c>
      <c r="AR147" s="676"/>
      <c r="AS147" s="676"/>
      <c r="AT147" s="674">
        <v>48.915639629311165</v>
      </c>
      <c r="AU147" s="676">
        <v>0.95538358650998367</v>
      </c>
      <c r="AV147" s="676">
        <v>0</v>
      </c>
      <c r="AW147" s="676">
        <v>47.960256042801184</v>
      </c>
      <c r="AX147" s="676">
        <v>0</v>
      </c>
      <c r="AY147" s="676">
        <v>0</v>
      </c>
      <c r="AZ147" s="674">
        <v>2.698958631890704</v>
      </c>
      <c r="BA147" s="676"/>
      <c r="BB147" s="676"/>
      <c r="BC147" s="676"/>
      <c r="BD147" s="676">
        <v>0</v>
      </c>
      <c r="BE147" s="676"/>
      <c r="BF147" s="676">
        <v>2.698958631890704</v>
      </c>
      <c r="BG147" s="676">
        <v>0</v>
      </c>
      <c r="BH147" s="676">
        <v>0</v>
      </c>
      <c r="BI147" s="676">
        <v>0</v>
      </c>
      <c r="BJ147" s="676">
        <v>0</v>
      </c>
      <c r="BK147" s="676">
        <v>0</v>
      </c>
      <c r="BL147" s="676">
        <v>0</v>
      </c>
      <c r="BM147" s="676">
        <v>0</v>
      </c>
      <c r="BN147" s="676">
        <v>0</v>
      </c>
      <c r="BO147" s="674">
        <v>0</v>
      </c>
      <c r="BP147" s="676">
        <v>0</v>
      </c>
      <c r="BQ147" s="676">
        <v>0</v>
      </c>
      <c r="BR147" s="675"/>
      <c r="BS147" s="675">
        <v>0.21496130696474633</v>
      </c>
      <c r="BT147" s="674">
        <v>434.05464794114835</v>
      </c>
    </row>
    <row r="148" spans="1:72">
      <c r="A148" s="681"/>
      <c r="B148" s="680" t="s">
        <v>968</v>
      </c>
      <c r="C148" s="679" t="s">
        <v>1018</v>
      </c>
      <c r="D148" s="679"/>
      <c r="E148" s="679"/>
      <c r="F148" s="678" t="s">
        <v>1017</v>
      </c>
      <c r="G148" s="678"/>
      <c r="H148" s="677">
        <v>1355.1638482850865</v>
      </c>
      <c r="I148" s="674">
        <v>222.81933696379096</v>
      </c>
      <c r="J148" s="676">
        <v>0</v>
      </c>
      <c r="K148" s="676">
        <v>0</v>
      </c>
      <c r="L148" s="676">
        <v>175.16958058660552</v>
      </c>
      <c r="M148" s="676">
        <v>0</v>
      </c>
      <c r="N148" s="676">
        <v>0</v>
      </c>
      <c r="O148" s="676">
        <v>0</v>
      </c>
      <c r="P148" s="676">
        <v>47.64975637718544</v>
      </c>
      <c r="Q148" s="676">
        <v>0</v>
      </c>
      <c r="R148" s="676">
        <v>0</v>
      </c>
      <c r="S148" s="676">
        <v>0</v>
      </c>
      <c r="T148" s="676">
        <v>0</v>
      </c>
      <c r="U148" s="676">
        <v>0</v>
      </c>
      <c r="V148" s="676">
        <v>0</v>
      </c>
      <c r="W148" s="674">
        <v>359.74968950033434</v>
      </c>
      <c r="X148" s="676"/>
      <c r="Y148" s="676"/>
      <c r="Z148" s="676"/>
      <c r="AA148" s="676"/>
      <c r="AB148" s="676"/>
      <c r="AC148" s="676"/>
      <c r="AD148" s="676">
        <v>234.52278589853825</v>
      </c>
      <c r="AE148" s="676">
        <v>63.867392758192409</v>
      </c>
      <c r="AF148" s="676"/>
      <c r="AG148" s="676"/>
      <c r="AH148" s="676"/>
      <c r="AI148" s="676"/>
      <c r="AJ148" s="676"/>
      <c r="AK148" s="676"/>
      <c r="AL148" s="676">
        <v>49.417216012228906</v>
      </c>
      <c r="AM148" s="676">
        <v>8.5984522785898534</v>
      </c>
      <c r="AN148" s="676"/>
      <c r="AO148" s="676"/>
      <c r="AP148" s="676"/>
      <c r="AQ148" s="676">
        <v>3.3438425527849431</v>
      </c>
      <c r="AR148" s="676"/>
      <c r="AS148" s="676"/>
      <c r="AT148" s="674">
        <v>100.86462214579153</v>
      </c>
      <c r="AU148" s="676">
        <v>85.363523454667046</v>
      </c>
      <c r="AV148" s="676">
        <v>0</v>
      </c>
      <c r="AW148" s="676">
        <v>15.501098691124486</v>
      </c>
      <c r="AX148" s="676">
        <v>0</v>
      </c>
      <c r="AY148" s="676">
        <v>0</v>
      </c>
      <c r="AZ148" s="674">
        <v>35.182000573230148</v>
      </c>
      <c r="BA148" s="676"/>
      <c r="BB148" s="676"/>
      <c r="BC148" s="676"/>
      <c r="BD148" s="676">
        <v>0</v>
      </c>
      <c r="BE148" s="676"/>
      <c r="BF148" s="676">
        <v>32.244196044711948</v>
      </c>
      <c r="BG148" s="676">
        <v>0</v>
      </c>
      <c r="BH148" s="676">
        <v>0</v>
      </c>
      <c r="BI148" s="676">
        <v>2.9378045285181997</v>
      </c>
      <c r="BJ148" s="676">
        <v>0</v>
      </c>
      <c r="BK148" s="676">
        <v>0</v>
      </c>
      <c r="BL148" s="676">
        <v>0</v>
      </c>
      <c r="BM148" s="676">
        <v>0</v>
      </c>
      <c r="BN148" s="676">
        <v>0</v>
      </c>
      <c r="BO148" s="674">
        <v>2.9378045285181997</v>
      </c>
      <c r="BP148" s="676">
        <v>0</v>
      </c>
      <c r="BQ148" s="676">
        <v>2.9378045285181997</v>
      </c>
      <c r="BR148" s="675"/>
      <c r="BS148" s="675">
        <v>10.055412248017578</v>
      </c>
      <c r="BT148" s="674">
        <v>623.55498232540367</v>
      </c>
    </row>
    <row r="149" spans="1:72">
      <c r="A149" s="681"/>
      <c r="B149" s="680" t="s">
        <v>968</v>
      </c>
      <c r="C149" s="679" t="s">
        <v>1016</v>
      </c>
      <c r="D149" s="679"/>
      <c r="E149" s="679"/>
      <c r="F149" s="678" t="s">
        <v>1015</v>
      </c>
      <c r="G149" s="678"/>
      <c r="H149" s="677">
        <v>1695.9730581828603</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23.526320817808347</v>
      </c>
      <c r="X149" s="676"/>
      <c r="Y149" s="676"/>
      <c r="Z149" s="676"/>
      <c r="AA149" s="676"/>
      <c r="AB149" s="676"/>
      <c r="AC149" s="676"/>
      <c r="AD149" s="676"/>
      <c r="AE149" s="676">
        <v>16.52813604662272</v>
      </c>
      <c r="AF149" s="676"/>
      <c r="AG149" s="676"/>
      <c r="AH149" s="676"/>
      <c r="AI149" s="676"/>
      <c r="AJ149" s="676"/>
      <c r="AK149" s="676"/>
      <c r="AL149" s="676">
        <v>6.1861087226521443</v>
      </c>
      <c r="AM149" s="676">
        <v>0</v>
      </c>
      <c r="AN149" s="676"/>
      <c r="AO149" s="676"/>
      <c r="AP149" s="676"/>
      <c r="AQ149" s="676">
        <v>0.83596063819623578</v>
      </c>
      <c r="AR149" s="676"/>
      <c r="AS149" s="676"/>
      <c r="AT149" s="674">
        <v>34.704308779975158</v>
      </c>
      <c r="AU149" s="676">
        <v>34.704308779975158</v>
      </c>
      <c r="AV149" s="676">
        <v>0</v>
      </c>
      <c r="AW149" s="676">
        <v>0</v>
      </c>
      <c r="AX149" s="676">
        <v>0</v>
      </c>
      <c r="AY149" s="676">
        <v>0</v>
      </c>
      <c r="AZ149" s="674">
        <v>0</v>
      </c>
      <c r="BA149" s="676"/>
      <c r="BB149" s="676"/>
      <c r="BC149" s="676"/>
      <c r="BD149" s="676">
        <v>0</v>
      </c>
      <c r="BE149" s="676"/>
      <c r="BF149" s="676">
        <v>0</v>
      </c>
      <c r="BG149" s="676">
        <v>0</v>
      </c>
      <c r="BH149" s="676">
        <v>0</v>
      </c>
      <c r="BI149" s="676">
        <v>0</v>
      </c>
      <c r="BJ149" s="676">
        <v>0</v>
      </c>
      <c r="BK149" s="676">
        <v>0</v>
      </c>
      <c r="BL149" s="676">
        <v>0</v>
      </c>
      <c r="BM149" s="676">
        <v>0</v>
      </c>
      <c r="BN149" s="676">
        <v>0</v>
      </c>
      <c r="BO149" s="674">
        <v>0</v>
      </c>
      <c r="BP149" s="676">
        <v>0</v>
      </c>
      <c r="BQ149" s="676">
        <v>0</v>
      </c>
      <c r="BR149" s="675"/>
      <c r="BS149" s="675">
        <v>1.5524983280787235</v>
      </c>
      <c r="BT149" s="674">
        <v>1636.1899302569982</v>
      </c>
    </row>
    <row r="150" spans="1:72">
      <c r="A150" s="681"/>
      <c r="B150" s="680" t="s">
        <v>968</v>
      </c>
      <c r="C150" s="679" t="s">
        <v>1014</v>
      </c>
      <c r="D150" s="679"/>
      <c r="E150" s="679"/>
      <c r="F150" s="678" t="s">
        <v>1013</v>
      </c>
      <c r="G150" s="678"/>
      <c r="H150" s="677">
        <v>308.99493646699148</v>
      </c>
      <c r="I150" s="674">
        <v>86.032291965224033</v>
      </c>
      <c r="J150" s="676">
        <v>0</v>
      </c>
      <c r="K150" s="676">
        <v>0</v>
      </c>
      <c r="L150" s="676">
        <v>76.502340689786948</v>
      </c>
      <c r="M150" s="676">
        <v>0</v>
      </c>
      <c r="N150" s="676">
        <v>0</v>
      </c>
      <c r="O150" s="676">
        <v>0</v>
      </c>
      <c r="P150" s="676">
        <v>9.529951275437087</v>
      </c>
      <c r="Q150" s="676">
        <v>0</v>
      </c>
      <c r="R150" s="676">
        <v>0</v>
      </c>
      <c r="S150" s="676">
        <v>0</v>
      </c>
      <c r="T150" s="676">
        <v>0</v>
      </c>
      <c r="U150" s="676">
        <v>0</v>
      </c>
      <c r="V150" s="676">
        <v>0</v>
      </c>
      <c r="W150" s="674">
        <v>58.636667622050247</v>
      </c>
      <c r="X150" s="676"/>
      <c r="Y150" s="676"/>
      <c r="Z150" s="676"/>
      <c r="AA150" s="676"/>
      <c r="AB150" s="676"/>
      <c r="AC150" s="676"/>
      <c r="AD150" s="676"/>
      <c r="AE150" s="676">
        <v>31.933696379096205</v>
      </c>
      <c r="AF150" s="676"/>
      <c r="AG150" s="676"/>
      <c r="AH150" s="676"/>
      <c r="AI150" s="676"/>
      <c r="AJ150" s="676"/>
      <c r="AK150" s="676"/>
      <c r="AL150" s="676">
        <v>17.507404222795451</v>
      </c>
      <c r="AM150" s="676">
        <v>0</v>
      </c>
      <c r="AN150" s="676"/>
      <c r="AO150" s="676"/>
      <c r="AP150" s="676"/>
      <c r="AQ150" s="676">
        <v>9.1955670201585935</v>
      </c>
      <c r="AR150" s="676"/>
      <c r="AS150" s="676"/>
      <c r="AT150" s="674">
        <v>48.796216680997418</v>
      </c>
      <c r="AU150" s="676">
        <v>43.899875800133749</v>
      </c>
      <c r="AV150" s="676">
        <v>0</v>
      </c>
      <c r="AW150" s="676">
        <v>4.8963408808636668</v>
      </c>
      <c r="AX150" s="676">
        <v>0</v>
      </c>
      <c r="AY150" s="676">
        <v>0</v>
      </c>
      <c r="AZ150" s="674">
        <v>27.252316805197285</v>
      </c>
      <c r="BA150" s="676"/>
      <c r="BB150" s="676"/>
      <c r="BC150" s="676"/>
      <c r="BD150" s="676">
        <v>0</v>
      </c>
      <c r="BE150" s="676"/>
      <c r="BF150" s="676">
        <v>11.225757141492309</v>
      </c>
      <c r="BG150" s="676">
        <v>0</v>
      </c>
      <c r="BH150" s="676">
        <v>0</v>
      </c>
      <c r="BI150" s="676">
        <v>16.026559663704976</v>
      </c>
      <c r="BJ150" s="676">
        <v>0</v>
      </c>
      <c r="BK150" s="676">
        <v>0</v>
      </c>
      <c r="BL150" s="676">
        <v>0</v>
      </c>
      <c r="BM150" s="676">
        <v>0</v>
      </c>
      <c r="BN150" s="676">
        <v>0</v>
      </c>
      <c r="BO150" s="674">
        <v>16.026559663704976</v>
      </c>
      <c r="BP150" s="676">
        <v>0</v>
      </c>
      <c r="BQ150" s="676">
        <v>16.026559663704976</v>
      </c>
      <c r="BR150" s="675"/>
      <c r="BS150" s="675">
        <v>0.38215343460399348</v>
      </c>
      <c r="BT150" s="674">
        <v>71.892614884876281</v>
      </c>
    </row>
    <row r="151" spans="1:72">
      <c r="A151" s="681"/>
      <c r="B151" s="680" t="s">
        <v>968</v>
      </c>
      <c r="C151" s="679" t="s">
        <v>1012</v>
      </c>
      <c r="D151" s="679"/>
      <c r="E151" s="679"/>
      <c r="F151" s="678" t="s">
        <v>1011</v>
      </c>
      <c r="G151" s="678"/>
      <c r="H151" s="677">
        <v>58.947167287665998</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10.58087322059807</v>
      </c>
      <c r="X151" s="676"/>
      <c r="Y151" s="676"/>
      <c r="Z151" s="676"/>
      <c r="AA151" s="676"/>
      <c r="AB151" s="676"/>
      <c r="AC151" s="676"/>
      <c r="AD151" s="676"/>
      <c r="AE151" s="676">
        <v>4.3947644979459248</v>
      </c>
      <c r="AF151" s="676"/>
      <c r="AG151" s="676"/>
      <c r="AH151" s="676"/>
      <c r="AI151" s="676"/>
      <c r="AJ151" s="676"/>
      <c r="AK151" s="676"/>
      <c r="AL151" s="676">
        <v>6.1861087226521443</v>
      </c>
      <c r="AM151" s="676">
        <v>0</v>
      </c>
      <c r="AN151" s="676"/>
      <c r="AO151" s="676"/>
      <c r="AP151" s="676"/>
      <c r="AQ151" s="676"/>
      <c r="AR151" s="676"/>
      <c r="AS151" s="676"/>
      <c r="AT151" s="674">
        <v>2.0779593006592147</v>
      </c>
      <c r="AU151" s="676">
        <v>2.0779593006592147</v>
      </c>
      <c r="AV151" s="676">
        <v>0</v>
      </c>
      <c r="AW151" s="676">
        <v>0</v>
      </c>
      <c r="AX151" s="676">
        <v>0</v>
      </c>
      <c r="AY151" s="676">
        <v>0</v>
      </c>
      <c r="AZ151" s="674">
        <v>0.11942294831374796</v>
      </c>
      <c r="BA151" s="676"/>
      <c r="BB151" s="676"/>
      <c r="BC151" s="676"/>
      <c r="BD151" s="676">
        <v>0</v>
      </c>
      <c r="BE151" s="676"/>
      <c r="BF151" s="676">
        <v>0.11942294831374796</v>
      </c>
      <c r="BG151" s="676">
        <v>0</v>
      </c>
      <c r="BH151" s="676">
        <v>0</v>
      </c>
      <c r="BI151" s="676">
        <v>0</v>
      </c>
      <c r="BJ151" s="676">
        <v>0</v>
      </c>
      <c r="BK151" s="676">
        <v>0</v>
      </c>
      <c r="BL151" s="676">
        <v>0</v>
      </c>
      <c r="BM151" s="676">
        <v>0</v>
      </c>
      <c r="BN151" s="676">
        <v>0</v>
      </c>
      <c r="BO151" s="674">
        <v>0</v>
      </c>
      <c r="BP151" s="676">
        <v>0</v>
      </c>
      <c r="BQ151" s="676">
        <v>0</v>
      </c>
      <c r="BR151" s="675"/>
      <c r="BS151" s="675">
        <v>3.3438425527849431</v>
      </c>
      <c r="BT151" s="674">
        <v>42.82506926531002</v>
      </c>
    </row>
    <row r="152" spans="1:72">
      <c r="A152" s="681"/>
      <c r="B152" s="680" t="s">
        <v>968</v>
      </c>
      <c r="C152" s="679" t="s">
        <v>1010</v>
      </c>
      <c r="D152" s="679"/>
      <c r="E152" s="679"/>
      <c r="F152" s="678" t="s">
        <v>1009</v>
      </c>
      <c r="G152" s="678"/>
      <c r="H152" s="677">
        <v>118.41979554791249</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14.61736887360275</v>
      </c>
      <c r="X152" s="676"/>
      <c r="Y152" s="676"/>
      <c r="Z152" s="676"/>
      <c r="AA152" s="676"/>
      <c r="AB152" s="676"/>
      <c r="AC152" s="676"/>
      <c r="AD152" s="676"/>
      <c r="AE152" s="676">
        <v>3.2960733734594436</v>
      </c>
      <c r="AF152" s="676"/>
      <c r="AG152" s="676"/>
      <c r="AH152" s="676"/>
      <c r="AI152" s="676"/>
      <c r="AJ152" s="676"/>
      <c r="AK152" s="676"/>
      <c r="AL152" s="676">
        <v>11.321295500143307</v>
      </c>
      <c r="AM152" s="676">
        <v>0</v>
      </c>
      <c r="AN152" s="676"/>
      <c r="AO152" s="676"/>
      <c r="AP152" s="676"/>
      <c r="AQ152" s="676"/>
      <c r="AR152" s="676"/>
      <c r="AS152" s="676"/>
      <c r="AT152" s="674">
        <v>4.4186490876086744</v>
      </c>
      <c r="AU152" s="676">
        <v>4.4186490876086744</v>
      </c>
      <c r="AV152" s="676">
        <v>0</v>
      </c>
      <c r="AW152" s="676">
        <v>0</v>
      </c>
      <c r="AX152" s="676">
        <v>0</v>
      </c>
      <c r="AY152" s="676">
        <v>0</v>
      </c>
      <c r="AZ152" s="674">
        <v>7.1653768988248781E-2</v>
      </c>
      <c r="BA152" s="676"/>
      <c r="BB152" s="676"/>
      <c r="BC152" s="676"/>
      <c r="BD152" s="676">
        <v>0</v>
      </c>
      <c r="BE152" s="676"/>
      <c r="BF152" s="676">
        <v>7.1653768988248781E-2</v>
      </c>
      <c r="BG152" s="676">
        <v>0</v>
      </c>
      <c r="BH152" s="676">
        <v>0</v>
      </c>
      <c r="BI152" s="676">
        <v>0</v>
      </c>
      <c r="BJ152" s="676">
        <v>0</v>
      </c>
      <c r="BK152" s="676">
        <v>0</v>
      </c>
      <c r="BL152" s="676">
        <v>0</v>
      </c>
      <c r="BM152" s="676">
        <v>0</v>
      </c>
      <c r="BN152" s="676">
        <v>0</v>
      </c>
      <c r="BO152" s="674">
        <v>0</v>
      </c>
      <c r="BP152" s="676">
        <v>0</v>
      </c>
      <c r="BQ152" s="676">
        <v>0</v>
      </c>
      <c r="BR152" s="675"/>
      <c r="BS152" s="675">
        <v>3.9409572943536828</v>
      </c>
      <c r="BT152" s="674">
        <v>95.347281933696379</v>
      </c>
    </row>
    <row r="153" spans="1:72">
      <c r="A153" s="681"/>
      <c r="B153" s="680" t="s">
        <v>968</v>
      </c>
      <c r="C153" s="679" t="s">
        <v>1008</v>
      </c>
      <c r="D153" s="679"/>
      <c r="E153" s="679"/>
      <c r="F153" s="678" t="s">
        <v>1007</v>
      </c>
      <c r="G153" s="678"/>
      <c r="H153" s="677">
        <v>124.31928919461163</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70.149039839495558</v>
      </c>
      <c r="X153" s="676"/>
      <c r="Y153" s="676"/>
      <c r="Z153" s="676"/>
      <c r="AA153" s="676"/>
      <c r="AB153" s="676"/>
      <c r="AC153" s="676"/>
      <c r="AD153" s="676"/>
      <c r="AE153" s="676">
        <v>2.1973822489729624</v>
      </c>
      <c r="AF153" s="676"/>
      <c r="AG153" s="676"/>
      <c r="AH153" s="676"/>
      <c r="AI153" s="676"/>
      <c r="AJ153" s="676">
        <v>1.0270373554982324</v>
      </c>
      <c r="AK153" s="676"/>
      <c r="AL153" s="676">
        <v>66.924620235024364</v>
      </c>
      <c r="AM153" s="676">
        <v>0</v>
      </c>
      <c r="AN153" s="676"/>
      <c r="AO153" s="676"/>
      <c r="AP153" s="676"/>
      <c r="AQ153" s="676"/>
      <c r="AR153" s="676"/>
      <c r="AS153" s="676"/>
      <c r="AT153" s="674">
        <v>3.630457628737938</v>
      </c>
      <c r="AU153" s="676">
        <v>3.630457628737938</v>
      </c>
      <c r="AV153" s="676">
        <v>0</v>
      </c>
      <c r="AW153" s="676">
        <v>0</v>
      </c>
      <c r="AX153" s="676">
        <v>0</v>
      </c>
      <c r="AY153" s="676">
        <v>0</v>
      </c>
      <c r="AZ153" s="674">
        <v>1.0270373554982324</v>
      </c>
      <c r="BA153" s="676"/>
      <c r="BB153" s="676"/>
      <c r="BC153" s="676"/>
      <c r="BD153" s="676">
        <v>0</v>
      </c>
      <c r="BE153" s="676"/>
      <c r="BF153" s="676">
        <v>1.0270373554982324</v>
      </c>
      <c r="BG153" s="676">
        <v>0</v>
      </c>
      <c r="BH153" s="676">
        <v>0</v>
      </c>
      <c r="BI153" s="676">
        <v>0</v>
      </c>
      <c r="BJ153" s="676">
        <v>0</v>
      </c>
      <c r="BK153" s="676">
        <v>0</v>
      </c>
      <c r="BL153" s="676">
        <v>0</v>
      </c>
      <c r="BM153" s="676">
        <v>0</v>
      </c>
      <c r="BN153" s="676">
        <v>0</v>
      </c>
      <c r="BO153" s="674">
        <v>0</v>
      </c>
      <c r="BP153" s="676">
        <v>0</v>
      </c>
      <c r="BQ153" s="676">
        <v>0</v>
      </c>
      <c r="BR153" s="675"/>
      <c r="BS153" s="675">
        <v>0.16719212763924715</v>
      </c>
      <c r="BT153" s="674">
        <v>49.345562243240657</v>
      </c>
    </row>
    <row r="154" spans="1:72">
      <c r="A154" s="681"/>
      <c r="B154" s="680" t="s">
        <v>968</v>
      </c>
      <c r="C154" s="679" t="s">
        <v>1006</v>
      </c>
      <c r="D154" s="679"/>
      <c r="E154" s="679"/>
      <c r="F154" s="678" t="s">
        <v>1005</v>
      </c>
      <c r="G154" s="678"/>
      <c r="H154" s="677">
        <v>359.20034393809112</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91.215247922040689</v>
      </c>
      <c r="X154" s="676"/>
      <c r="Y154" s="676"/>
      <c r="Z154" s="676"/>
      <c r="AA154" s="676"/>
      <c r="AB154" s="676"/>
      <c r="AC154" s="676"/>
      <c r="AD154" s="676"/>
      <c r="AE154" s="676">
        <v>25.31766504251457</v>
      </c>
      <c r="AF154" s="676"/>
      <c r="AG154" s="676"/>
      <c r="AH154" s="676"/>
      <c r="AI154" s="676"/>
      <c r="AJ154" s="676"/>
      <c r="AK154" s="676"/>
      <c r="AL154" s="676">
        <v>65.87369828986337</v>
      </c>
      <c r="AM154" s="676">
        <v>0</v>
      </c>
      <c r="AN154" s="676"/>
      <c r="AO154" s="676"/>
      <c r="AP154" s="676"/>
      <c r="AQ154" s="676"/>
      <c r="AR154" s="676"/>
      <c r="AS154" s="676"/>
      <c r="AT154" s="674">
        <v>35.731346135473387</v>
      </c>
      <c r="AU154" s="676">
        <v>35.731346135473387</v>
      </c>
      <c r="AV154" s="676">
        <v>0</v>
      </c>
      <c r="AW154" s="676">
        <v>0</v>
      </c>
      <c r="AX154" s="676">
        <v>0</v>
      </c>
      <c r="AY154" s="676">
        <v>0</v>
      </c>
      <c r="AZ154" s="674">
        <v>2.698958631890704</v>
      </c>
      <c r="BA154" s="676"/>
      <c r="BB154" s="676"/>
      <c r="BC154" s="676"/>
      <c r="BD154" s="676">
        <v>0</v>
      </c>
      <c r="BE154" s="676"/>
      <c r="BF154" s="676">
        <v>1.815228814368969</v>
      </c>
      <c r="BG154" s="676">
        <v>0</v>
      </c>
      <c r="BH154" s="676">
        <v>0</v>
      </c>
      <c r="BI154" s="676">
        <v>0.88372981752173496</v>
      </c>
      <c r="BJ154" s="676">
        <v>0</v>
      </c>
      <c r="BK154" s="676">
        <v>0</v>
      </c>
      <c r="BL154" s="676">
        <v>0</v>
      </c>
      <c r="BM154" s="676">
        <v>0</v>
      </c>
      <c r="BN154" s="676">
        <v>0</v>
      </c>
      <c r="BO154" s="674">
        <v>0.88372981752173496</v>
      </c>
      <c r="BP154" s="676">
        <v>0</v>
      </c>
      <c r="BQ154" s="676">
        <v>0.88372981752173496</v>
      </c>
      <c r="BR154" s="675"/>
      <c r="BS154" s="675">
        <v>12.181140728002292</v>
      </c>
      <c r="BT154" s="674">
        <v>216.51380529282505</v>
      </c>
    </row>
    <row r="155" spans="1:72">
      <c r="A155" s="681"/>
      <c r="B155" s="680" t="s">
        <v>968</v>
      </c>
      <c r="C155" s="679" t="s">
        <v>1004</v>
      </c>
      <c r="D155" s="679"/>
      <c r="E155" s="679"/>
      <c r="F155" s="678" t="s">
        <v>1003</v>
      </c>
      <c r="G155" s="678"/>
      <c r="H155" s="677">
        <v>589.28059615935797</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38.50195853635234</v>
      </c>
      <c r="X155" s="676"/>
      <c r="Y155" s="676"/>
      <c r="Z155" s="676"/>
      <c r="AA155" s="676"/>
      <c r="AB155" s="676"/>
      <c r="AC155" s="676"/>
      <c r="AD155" s="676"/>
      <c r="AE155" s="676">
        <v>1.0986911244864812</v>
      </c>
      <c r="AF155" s="676"/>
      <c r="AG155" s="676"/>
      <c r="AH155" s="676"/>
      <c r="AI155" s="676"/>
      <c r="AJ155" s="676"/>
      <c r="AK155" s="676"/>
      <c r="AL155" s="676">
        <v>2.0540747109964648</v>
      </c>
      <c r="AM155" s="676">
        <v>35.349192700869395</v>
      </c>
      <c r="AN155" s="676"/>
      <c r="AO155" s="676"/>
      <c r="AP155" s="676"/>
      <c r="AQ155" s="676"/>
      <c r="AR155" s="676"/>
      <c r="AS155" s="676"/>
      <c r="AT155" s="674">
        <v>5.0635330085029135</v>
      </c>
      <c r="AU155" s="676">
        <v>5.0635330085029135</v>
      </c>
      <c r="AV155" s="676">
        <v>0</v>
      </c>
      <c r="AW155" s="676">
        <v>0</v>
      </c>
      <c r="AX155" s="676">
        <v>0</v>
      </c>
      <c r="AY155" s="676">
        <v>0</v>
      </c>
      <c r="AZ155" s="674">
        <v>188.32998949078055</v>
      </c>
      <c r="BA155" s="676"/>
      <c r="BB155" s="676"/>
      <c r="BC155" s="676"/>
      <c r="BD155" s="676">
        <v>0</v>
      </c>
      <c r="BE155" s="676"/>
      <c r="BF155" s="676">
        <v>183.91134040317186</v>
      </c>
      <c r="BG155" s="676">
        <v>0</v>
      </c>
      <c r="BH155" s="676">
        <v>4.4186490876086744</v>
      </c>
      <c r="BI155" s="676">
        <v>0</v>
      </c>
      <c r="BJ155" s="676">
        <v>0</v>
      </c>
      <c r="BK155" s="676">
        <v>0</v>
      </c>
      <c r="BL155" s="676">
        <v>0</v>
      </c>
      <c r="BM155" s="676">
        <v>0</v>
      </c>
      <c r="BN155" s="676">
        <v>0</v>
      </c>
      <c r="BO155" s="674">
        <v>0</v>
      </c>
      <c r="BP155" s="676">
        <v>0</v>
      </c>
      <c r="BQ155" s="676">
        <v>0</v>
      </c>
      <c r="BR155" s="675"/>
      <c r="BS155" s="675">
        <v>0.11942294831374796</v>
      </c>
      <c r="BT155" s="674">
        <v>357.26569217540839</v>
      </c>
    </row>
    <row r="156" spans="1:72">
      <c r="A156" s="681"/>
      <c r="B156" s="680" t="s">
        <v>968</v>
      </c>
      <c r="C156" s="679" t="s">
        <v>1002</v>
      </c>
      <c r="D156" s="679"/>
      <c r="E156" s="679"/>
      <c r="F156" s="678" t="s">
        <v>1001</v>
      </c>
      <c r="G156" s="678"/>
      <c r="H156" s="677">
        <v>156.08579344606858</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11.536256807108053</v>
      </c>
      <c r="X156" s="676"/>
      <c r="Y156" s="676"/>
      <c r="Z156" s="676"/>
      <c r="AA156" s="676"/>
      <c r="AB156" s="676"/>
      <c r="AC156" s="676"/>
      <c r="AD156" s="676"/>
      <c r="AE156" s="676">
        <v>3.2960733734594436</v>
      </c>
      <c r="AF156" s="676"/>
      <c r="AG156" s="676"/>
      <c r="AH156" s="676"/>
      <c r="AI156" s="676"/>
      <c r="AJ156" s="676"/>
      <c r="AK156" s="676"/>
      <c r="AL156" s="676">
        <v>8.2401834336486104</v>
      </c>
      <c r="AM156" s="676">
        <v>0</v>
      </c>
      <c r="AN156" s="676"/>
      <c r="AO156" s="676"/>
      <c r="AP156" s="676"/>
      <c r="AQ156" s="676"/>
      <c r="AR156" s="676"/>
      <c r="AS156" s="676"/>
      <c r="AT156" s="674">
        <v>4.3947644979459248</v>
      </c>
      <c r="AU156" s="676">
        <v>4.3947644979459248</v>
      </c>
      <c r="AV156" s="676">
        <v>0</v>
      </c>
      <c r="AW156" s="676">
        <v>0</v>
      </c>
      <c r="AX156" s="676">
        <v>0</v>
      </c>
      <c r="AY156" s="676">
        <v>0</v>
      </c>
      <c r="AZ156" s="674">
        <v>76.191841024171197</v>
      </c>
      <c r="BA156" s="676"/>
      <c r="BB156" s="676"/>
      <c r="BC156" s="676"/>
      <c r="BD156" s="676">
        <v>0</v>
      </c>
      <c r="BE156" s="676"/>
      <c r="BF156" s="676">
        <v>76.191841024171197</v>
      </c>
      <c r="BG156" s="676">
        <v>0</v>
      </c>
      <c r="BH156" s="676">
        <v>0</v>
      </c>
      <c r="BI156" s="676">
        <v>0</v>
      </c>
      <c r="BJ156" s="676">
        <v>0</v>
      </c>
      <c r="BK156" s="676">
        <v>0</v>
      </c>
      <c r="BL156" s="676">
        <v>0</v>
      </c>
      <c r="BM156" s="676">
        <v>0</v>
      </c>
      <c r="BN156" s="676">
        <v>0</v>
      </c>
      <c r="BO156" s="674">
        <v>0</v>
      </c>
      <c r="BP156" s="676">
        <v>0</v>
      </c>
      <c r="BQ156" s="676">
        <v>0</v>
      </c>
      <c r="BR156" s="675"/>
      <c r="BS156" s="675">
        <v>7.3803382057896245</v>
      </c>
      <c r="BT156" s="674">
        <v>56.582592911053787</v>
      </c>
    </row>
    <row r="157" spans="1:72">
      <c r="A157" s="681"/>
      <c r="B157" s="680" t="s">
        <v>968</v>
      </c>
      <c r="C157" s="679" t="s">
        <v>1000</v>
      </c>
      <c r="D157" s="679"/>
      <c r="E157" s="679"/>
      <c r="F157" s="678" t="s">
        <v>999</v>
      </c>
      <c r="G157" s="678"/>
      <c r="H157" s="677">
        <v>268.20005732301519</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156.80233113595108</v>
      </c>
      <c r="X157" s="676"/>
      <c r="Y157" s="676"/>
      <c r="Z157" s="676"/>
      <c r="AA157" s="676"/>
      <c r="AB157" s="676"/>
      <c r="AC157" s="676"/>
      <c r="AD157" s="676"/>
      <c r="AE157" s="676">
        <v>20.922900544568645</v>
      </c>
      <c r="AF157" s="676"/>
      <c r="AG157" s="676"/>
      <c r="AH157" s="676"/>
      <c r="AI157" s="676"/>
      <c r="AJ157" s="676"/>
      <c r="AK157" s="676"/>
      <c r="AL157" s="676">
        <v>135.87943059138243</v>
      </c>
      <c r="AM157" s="676">
        <v>0</v>
      </c>
      <c r="AN157" s="676"/>
      <c r="AO157" s="676"/>
      <c r="AP157" s="676"/>
      <c r="AQ157" s="676"/>
      <c r="AR157" s="676"/>
      <c r="AS157" s="676"/>
      <c r="AT157" s="674">
        <v>0.76430686920798696</v>
      </c>
      <c r="AU157" s="676">
        <v>0.76430686920798696</v>
      </c>
      <c r="AV157" s="676">
        <v>0</v>
      </c>
      <c r="AW157" s="676">
        <v>0</v>
      </c>
      <c r="AX157" s="676">
        <v>0</v>
      </c>
      <c r="AY157" s="676">
        <v>0</v>
      </c>
      <c r="AZ157" s="674">
        <v>4.3708799082831753</v>
      </c>
      <c r="BA157" s="676"/>
      <c r="BB157" s="676"/>
      <c r="BC157" s="676"/>
      <c r="BD157" s="676">
        <v>0</v>
      </c>
      <c r="BE157" s="676"/>
      <c r="BF157" s="676">
        <v>4.3708799082831753</v>
      </c>
      <c r="BG157" s="676">
        <v>0</v>
      </c>
      <c r="BH157" s="676">
        <v>0</v>
      </c>
      <c r="BI157" s="676">
        <v>0</v>
      </c>
      <c r="BJ157" s="676">
        <v>0</v>
      </c>
      <c r="BK157" s="676">
        <v>0</v>
      </c>
      <c r="BL157" s="676">
        <v>0</v>
      </c>
      <c r="BM157" s="676">
        <v>0</v>
      </c>
      <c r="BN157" s="676">
        <v>0</v>
      </c>
      <c r="BO157" s="674">
        <v>0</v>
      </c>
      <c r="BP157" s="676">
        <v>0</v>
      </c>
      <c r="BQ157" s="676">
        <v>0</v>
      </c>
      <c r="BR157" s="675"/>
      <c r="BS157" s="675">
        <v>0</v>
      </c>
      <c r="BT157" s="674">
        <v>106.28642399923569</v>
      </c>
    </row>
    <row r="158" spans="1:72">
      <c r="A158" s="681"/>
      <c r="B158" s="680" t="s">
        <v>968</v>
      </c>
      <c r="C158" s="679" t="s">
        <v>998</v>
      </c>
      <c r="D158" s="679"/>
      <c r="E158" s="679"/>
      <c r="F158" s="678" t="s">
        <v>997</v>
      </c>
      <c r="G158" s="678"/>
      <c r="H158" s="677">
        <v>8.2401834336486104</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0</v>
      </c>
      <c r="X158" s="676"/>
      <c r="Y158" s="676"/>
      <c r="Z158" s="676"/>
      <c r="AA158" s="676"/>
      <c r="AB158" s="676"/>
      <c r="AC158" s="676"/>
      <c r="AD158" s="676"/>
      <c r="AE158" s="676"/>
      <c r="AF158" s="676"/>
      <c r="AG158" s="676"/>
      <c r="AH158" s="676"/>
      <c r="AI158" s="676"/>
      <c r="AJ158" s="676"/>
      <c r="AK158" s="676"/>
      <c r="AL158" s="676"/>
      <c r="AM158" s="676">
        <v>0</v>
      </c>
      <c r="AN158" s="676"/>
      <c r="AO158" s="676"/>
      <c r="AP158" s="676"/>
      <c r="AQ158" s="676"/>
      <c r="AR158" s="676"/>
      <c r="AS158" s="676"/>
      <c r="AT158" s="674">
        <v>0.47769179325499184</v>
      </c>
      <c r="AU158" s="676">
        <v>0.47769179325499184</v>
      </c>
      <c r="AV158" s="676">
        <v>0</v>
      </c>
      <c r="AW158" s="676">
        <v>0</v>
      </c>
      <c r="AX158" s="676">
        <v>0</v>
      </c>
      <c r="AY158" s="676">
        <v>0</v>
      </c>
      <c r="AZ158" s="674">
        <v>2.3884589662749593E-2</v>
      </c>
      <c r="BA158" s="676"/>
      <c r="BB158" s="676"/>
      <c r="BC158" s="676"/>
      <c r="BD158" s="676">
        <v>0</v>
      </c>
      <c r="BE158" s="676"/>
      <c r="BF158" s="676">
        <v>2.3884589662749593E-2</v>
      </c>
      <c r="BG158" s="676">
        <v>0</v>
      </c>
      <c r="BH158" s="676">
        <v>0</v>
      </c>
      <c r="BI158" s="676">
        <v>0</v>
      </c>
      <c r="BJ158" s="676">
        <v>0</v>
      </c>
      <c r="BK158" s="676">
        <v>0</v>
      </c>
      <c r="BL158" s="676">
        <v>0</v>
      </c>
      <c r="BM158" s="676">
        <v>0</v>
      </c>
      <c r="BN158" s="676">
        <v>0</v>
      </c>
      <c r="BO158" s="674">
        <v>0</v>
      </c>
      <c r="BP158" s="676">
        <v>0</v>
      </c>
      <c r="BQ158" s="676">
        <v>0</v>
      </c>
      <c r="BR158" s="675"/>
      <c r="BS158" s="675">
        <v>0</v>
      </c>
      <c r="BT158" s="674">
        <v>7.7386070507308684</v>
      </c>
    </row>
    <row r="159" spans="1:72">
      <c r="A159" s="681"/>
      <c r="B159" s="680" t="s">
        <v>968</v>
      </c>
      <c r="C159" s="679" t="s">
        <v>996</v>
      </c>
      <c r="D159" s="679"/>
      <c r="E159" s="679"/>
      <c r="F159" s="678" t="s">
        <v>995</v>
      </c>
      <c r="G159" s="678"/>
      <c r="H159" s="677">
        <v>62.601509506066684</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14.402407566638004</v>
      </c>
      <c r="X159" s="676"/>
      <c r="Y159" s="676"/>
      <c r="Z159" s="676"/>
      <c r="AA159" s="676"/>
      <c r="AB159" s="676"/>
      <c r="AC159" s="676"/>
      <c r="AD159" s="676"/>
      <c r="AE159" s="676"/>
      <c r="AF159" s="676"/>
      <c r="AG159" s="676"/>
      <c r="AH159" s="676"/>
      <c r="AI159" s="676"/>
      <c r="AJ159" s="676"/>
      <c r="AK159" s="676"/>
      <c r="AL159" s="676">
        <v>14.402407566638004</v>
      </c>
      <c r="AM159" s="676">
        <v>0</v>
      </c>
      <c r="AN159" s="676"/>
      <c r="AO159" s="676"/>
      <c r="AP159" s="676"/>
      <c r="AQ159" s="676"/>
      <c r="AR159" s="676"/>
      <c r="AS159" s="676"/>
      <c r="AT159" s="674">
        <v>3.3438425527849431</v>
      </c>
      <c r="AU159" s="676">
        <v>3.3438425527849431</v>
      </c>
      <c r="AV159" s="676">
        <v>0</v>
      </c>
      <c r="AW159" s="676">
        <v>0</v>
      </c>
      <c r="AX159" s="676">
        <v>0</v>
      </c>
      <c r="AY159" s="676">
        <v>0</v>
      </c>
      <c r="AZ159" s="674">
        <v>2.7706124008789526</v>
      </c>
      <c r="BA159" s="676"/>
      <c r="BB159" s="676"/>
      <c r="BC159" s="676"/>
      <c r="BD159" s="676">
        <v>0</v>
      </c>
      <c r="BE159" s="676"/>
      <c r="BF159" s="676">
        <v>2.7706124008789526</v>
      </c>
      <c r="BG159" s="676">
        <v>0</v>
      </c>
      <c r="BH159" s="676">
        <v>0</v>
      </c>
      <c r="BI159" s="676">
        <v>0</v>
      </c>
      <c r="BJ159" s="676">
        <v>0</v>
      </c>
      <c r="BK159" s="676">
        <v>0</v>
      </c>
      <c r="BL159" s="676">
        <v>0</v>
      </c>
      <c r="BM159" s="676">
        <v>0</v>
      </c>
      <c r="BN159" s="676">
        <v>0</v>
      </c>
      <c r="BO159" s="674">
        <v>0</v>
      </c>
      <c r="BP159" s="676">
        <v>0</v>
      </c>
      <c r="BQ159" s="676">
        <v>0</v>
      </c>
      <c r="BR159" s="675"/>
      <c r="BS159" s="675">
        <v>0.28661507595299512</v>
      </c>
      <c r="BT159" s="674">
        <v>41.79803190981179</v>
      </c>
    </row>
    <row r="160" spans="1:72">
      <c r="A160" s="680" t="s">
        <v>968</v>
      </c>
      <c r="B160" s="679" t="s">
        <v>994</v>
      </c>
      <c r="C160" s="679"/>
      <c r="D160" s="679"/>
      <c r="E160" s="679"/>
      <c r="F160" s="678" t="s">
        <v>993</v>
      </c>
      <c r="G160" s="678"/>
      <c r="H160" s="677">
        <v>5046.1927964077577</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4768.3194802713288</v>
      </c>
      <c r="X160" s="676"/>
      <c r="Y160" s="676"/>
      <c r="Z160" s="676"/>
      <c r="AA160" s="676"/>
      <c r="AB160" s="676"/>
      <c r="AC160" s="676"/>
      <c r="AD160" s="676"/>
      <c r="AE160" s="676">
        <v>2.1973822489729624</v>
      </c>
      <c r="AF160" s="676">
        <v>1012.873793828222</v>
      </c>
      <c r="AG160" s="676">
        <v>2.1018438903219643</v>
      </c>
      <c r="AH160" s="676"/>
      <c r="AI160" s="676">
        <v>799.87102321582108</v>
      </c>
      <c r="AJ160" s="676"/>
      <c r="AK160" s="676"/>
      <c r="AL160" s="676">
        <v>2910.1939428680612</v>
      </c>
      <c r="AM160" s="676">
        <v>41.081494219929297</v>
      </c>
      <c r="AN160" s="676"/>
      <c r="AO160" s="676"/>
      <c r="AP160" s="676"/>
      <c r="AQ160" s="676"/>
      <c r="AR160" s="676"/>
      <c r="AS160" s="676"/>
      <c r="AT160" s="674">
        <v>78.556415400783408</v>
      </c>
      <c r="AU160" s="676">
        <v>78.556415400783408</v>
      </c>
      <c r="AV160" s="676">
        <v>0</v>
      </c>
      <c r="AW160" s="676">
        <v>0</v>
      </c>
      <c r="AX160" s="676">
        <v>0</v>
      </c>
      <c r="AY160" s="676">
        <v>0</v>
      </c>
      <c r="AZ160" s="674">
        <v>133.29989490780548</v>
      </c>
      <c r="BA160" s="676"/>
      <c r="BB160" s="676"/>
      <c r="BC160" s="676"/>
      <c r="BD160" s="676">
        <v>0</v>
      </c>
      <c r="BE160" s="676"/>
      <c r="BF160" s="676">
        <v>0</v>
      </c>
      <c r="BG160" s="676">
        <v>0</v>
      </c>
      <c r="BH160" s="676">
        <v>1.0270373554982324</v>
      </c>
      <c r="BI160" s="676">
        <v>0</v>
      </c>
      <c r="BJ160" s="676">
        <v>8.9567211235310982</v>
      </c>
      <c r="BK160" s="676">
        <v>120.42610107958345</v>
      </c>
      <c r="BL160" s="676">
        <v>0</v>
      </c>
      <c r="BM160" s="676">
        <v>2.8900353491927007</v>
      </c>
      <c r="BN160" s="676">
        <v>0</v>
      </c>
      <c r="BO160" s="674">
        <v>0</v>
      </c>
      <c r="BP160" s="676">
        <v>0</v>
      </c>
      <c r="BQ160" s="676">
        <v>0</v>
      </c>
      <c r="BR160" s="675"/>
      <c r="BS160" s="675"/>
      <c r="BT160" s="674">
        <v>66.040890417502624</v>
      </c>
    </row>
    <row r="161" spans="1:72">
      <c r="A161" s="681"/>
      <c r="B161" s="680" t="s">
        <v>968</v>
      </c>
      <c r="C161" s="679" t="s">
        <v>992</v>
      </c>
      <c r="D161" s="679"/>
      <c r="E161" s="679"/>
      <c r="F161" s="678" t="s">
        <v>991</v>
      </c>
      <c r="G161" s="678"/>
      <c r="H161" s="677">
        <v>78.81914588707366</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13.375370211139773</v>
      </c>
      <c r="X161" s="676"/>
      <c r="Y161" s="676"/>
      <c r="Z161" s="676"/>
      <c r="AA161" s="676"/>
      <c r="AB161" s="676"/>
      <c r="AC161" s="676"/>
      <c r="AD161" s="676"/>
      <c r="AE161" s="676"/>
      <c r="AF161" s="676"/>
      <c r="AG161" s="676"/>
      <c r="AH161" s="676"/>
      <c r="AI161" s="676"/>
      <c r="AJ161" s="676"/>
      <c r="AK161" s="676"/>
      <c r="AL161" s="676">
        <v>13.375370211139773</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65.443775675933878</v>
      </c>
    </row>
    <row r="162" spans="1:72">
      <c r="A162" s="681"/>
      <c r="B162" s="680" t="s">
        <v>968</v>
      </c>
      <c r="C162" s="679" t="s">
        <v>990</v>
      </c>
      <c r="D162" s="679"/>
      <c r="E162" s="679"/>
      <c r="F162" s="678" t="s">
        <v>989</v>
      </c>
      <c r="G162" s="678"/>
      <c r="H162" s="677">
        <v>3290.6038024266741</v>
      </c>
      <c r="I162" s="674"/>
      <c r="J162" s="676"/>
      <c r="K162" s="676"/>
      <c r="L162" s="676"/>
      <c r="M162" s="676"/>
      <c r="N162" s="676"/>
      <c r="O162" s="676"/>
      <c r="P162" s="676"/>
      <c r="Q162" s="676"/>
      <c r="R162" s="676"/>
      <c r="S162" s="676"/>
      <c r="T162" s="676"/>
      <c r="U162" s="676"/>
      <c r="V162" s="676"/>
      <c r="W162" s="674">
        <v>3146.2692270946782</v>
      </c>
      <c r="X162" s="676"/>
      <c r="Y162" s="676"/>
      <c r="Z162" s="676"/>
      <c r="AA162" s="676"/>
      <c r="AB162" s="676"/>
      <c r="AC162" s="676"/>
      <c r="AD162" s="676"/>
      <c r="AE162" s="676">
        <v>2.1973822489729624</v>
      </c>
      <c r="AF162" s="676">
        <v>971.98337632559469</v>
      </c>
      <c r="AG162" s="676"/>
      <c r="AH162" s="676"/>
      <c r="AI162" s="676"/>
      <c r="AJ162" s="676"/>
      <c r="AK162" s="676"/>
      <c r="AL162" s="676">
        <v>2172.0884685201108</v>
      </c>
      <c r="AM162" s="676">
        <v>0</v>
      </c>
      <c r="AN162" s="676"/>
      <c r="AO162" s="676"/>
      <c r="AP162" s="676"/>
      <c r="AQ162" s="676"/>
      <c r="AR162" s="676"/>
      <c r="AS162" s="676"/>
      <c r="AT162" s="674">
        <v>10.413681092958823</v>
      </c>
      <c r="AU162" s="676">
        <v>10.413681092958823</v>
      </c>
      <c r="AV162" s="676"/>
      <c r="AW162" s="676"/>
      <c r="AX162" s="676"/>
      <c r="AY162" s="676"/>
      <c r="AZ162" s="674">
        <v>133.29989490780548</v>
      </c>
      <c r="BA162" s="676"/>
      <c r="BB162" s="676"/>
      <c r="BC162" s="676"/>
      <c r="BD162" s="676">
        <v>0</v>
      </c>
      <c r="BE162" s="676"/>
      <c r="BF162" s="676">
        <v>0</v>
      </c>
      <c r="BG162" s="676">
        <v>0</v>
      </c>
      <c r="BH162" s="676">
        <v>1.0270373554982324</v>
      </c>
      <c r="BI162" s="676">
        <v>0</v>
      </c>
      <c r="BJ162" s="676">
        <v>8.9567211235310982</v>
      </c>
      <c r="BK162" s="676">
        <v>120.42610107958345</v>
      </c>
      <c r="BL162" s="676">
        <v>0</v>
      </c>
      <c r="BM162" s="676">
        <v>2.8900353491927007</v>
      </c>
      <c r="BN162" s="676">
        <v>0</v>
      </c>
      <c r="BO162" s="674">
        <v>0</v>
      </c>
      <c r="BP162" s="676">
        <v>0</v>
      </c>
      <c r="BQ162" s="676">
        <v>0</v>
      </c>
      <c r="BR162" s="675"/>
      <c r="BS162" s="675"/>
      <c r="BT162" s="674">
        <v>0.59711474156873978</v>
      </c>
    </row>
    <row r="163" spans="1:72">
      <c r="A163" s="681"/>
      <c r="B163" s="680" t="s">
        <v>968</v>
      </c>
      <c r="C163" s="679" t="s">
        <v>988</v>
      </c>
      <c r="D163" s="679"/>
      <c r="E163" s="679"/>
      <c r="F163" s="678" t="s">
        <v>987</v>
      </c>
      <c r="G163" s="678"/>
      <c r="H163" s="677">
        <v>403.53014235215437</v>
      </c>
      <c r="I163" s="674"/>
      <c r="J163" s="676"/>
      <c r="K163" s="676"/>
      <c r="L163" s="676"/>
      <c r="M163" s="676"/>
      <c r="N163" s="676"/>
      <c r="O163" s="676"/>
      <c r="P163" s="676"/>
      <c r="Q163" s="676"/>
      <c r="R163" s="676"/>
      <c r="S163" s="676"/>
      <c r="T163" s="676"/>
      <c r="U163" s="676"/>
      <c r="V163" s="676"/>
      <c r="W163" s="674">
        <v>403.53014235215437</v>
      </c>
      <c r="X163" s="676"/>
      <c r="Y163" s="676"/>
      <c r="Z163" s="676"/>
      <c r="AA163" s="676"/>
      <c r="AB163" s="676"/>
      <c r="AC163" s="676"/>
      <c r="AD163" s="676"/>
      <c r="AE163" s="676"/>
      <c r="AF163" s="676"/>
      <c r="AG163" s="676"/>
      <c r="AH163" s="676"/>
      <c r="AI163" s="676">
        <v>403.53014235215437</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c r="A164" s="681"/>
      <c r="B164" s="680" t="s">
        <v>968</v>
      </c>
      <c r="C164" s="679" t="s">
        <v>986</v>
      </c>
      <c r="D164" s="679"/>
      <c r="E164" s="679"/>
      <c r="F164" s="678" t="s">
        <v>985</v>
      </c>
      <c r="G164" s="678"/>
      <c r="H164" s="677">
        <v>398.41884016432596</v>
      </c>
      <c r="I164" s="674"/>
      <c r="J164" s="676"/>
      <c r="K164" s="676"/>
      <c r="L164" s="676"/>
      <c r="M164" s="676"/>
      <c r="N164" s="676"/>
      <c r="O164" s="676"/>
      <c r="P164" s="676"/>
      <c r="Q164" s="676"/>
      <c r="R164" s="676"/>
      <c r="S164" s="676"/>
      <c r="T164" s="676"/>
      <c r="U164" s="676"/>
      <c r="V164" s="676"/>
      <c r="W164" s="674">
        <v>398.41884016432596</v>
      </c>
      <c r="X164" s="676"/>
      <c r="Y164" s="676"/>
      <c r="Z164" s="676"/>
      <c r="AA164" s="676"/>
      <c r="AB164" s="676"/>
      <c r="AC164" s="676"/>
      <c r="AD164" s="676"/>
      <c r="AE164" s="676"/>
      <c r="AF164" s="676"/>
      <c r="AG164" s="676">
        <v>2.1018438903219643</v>
      </c>
      <c r="AH164" s="676"/>
      <c r="AI164" s="676">
        <v>396.34088086366677</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c r="A165" s="681"/>
      <c r="B165" s="680" t="s">
        <v>968</v>
      </c>
      <c r="C165" s="679" t="s">
        <v>984</v>
      </c>
      <c r="D165" s="679"/>
      <c r="E165" s="679"/>
      <c r="F165" s="678" t="s">
        <v>983</v>
      </c>
      <c r="G165" s="678"/>
      <c r="H165" s="677">
        <v>806.67813126970475</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806.67813126970475</v>
      </c>
      <c r="X165" s="676"/>
      <c r="Y165" s="676"/>
      <c r="Z165" s="676"/>
      <c r="AA165" s="676"/>
      <c r="AB165" s="676"/>
      <c r="AC165" s="676"/>
      <c r="AD165" s="676"/>
      <c r="AE165" s="676"/>
      <c r="AF165" s="676">
        <v>40.890417502627301</v>
      </c>
      <c r="AG165" s="676"/>
      <c r="AH165" s="676"/>
      <c r="AI165" s="676"/>
      <c r="AJ165" s="676"/>
      <c r="AK165" s="676"/>
      <c r="AL165" s="676">
        <v>724.70621954714818</v>
      </c>
      <c r="AM165" s="676">
        <v>41.081494219929297</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c r="A167" s="681"/>
      <c r="B167" s="680" t="s">
        <v>968</v>
      </c>
      <c r="C167" s="679" t="s">
        <v>980</v>
      </c>
      <c r="D167" s="679"/>
      <c r="E167" s="679"/>
      <c r="F167" s="678" t="s">
        <v>979</v>
      </c>
      <c r="G167" s="678"/>
      <c r="H167" s="677">
        <v>68.11884971816184</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68.11884971816184</v>
      </c>
      <c r="AU167" s="676">
        <v>68.11884971816184</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c r="A168" s="680" t="s">
        <v>968</v>
      </c>
      <c r="B168" s="679" t="s">
        <v>978</v>
      </c>
      <c r="C168" s="679"/>
      <c r="D168" s="679"/>
      <c r="E168" s="679"/>
      <c r="F168" s="678" t="s">
        <v>977</v>
      </c>
      <c r="G168" s="678"/>
      <c r="H168" s="677">
        <v>7846.923664851437</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1055.2928250692653</v>
      </c>
      <c r="X168" s="676"/>
      <c r="Y168" s="676"/>
      <c r="Z168" s="676"/>
      <c r="AA168" s="676"/>
      <c r="AB168" s="676"/>
      <c r="AC168" s="676"/>
      <c r="AD168" s="676"/>
      <c r="AE168" s="676">
        <v>27.51504729148753</v>
      </c>
      <c r="AF168" s="676">
        <v>24.123435559377089</v>
      </c>
      <c r="AG168" s="676"/>
      <c r="AH168" s="676"/>
      <c r="AI168" s="676">
        <v>32.936849144931685</v>
      </c>
      <c r="AJ168" s="676">
        <v>33.963886500429922</v>
      </c>
      <c r="AK168" s="676"/>
      <c r="AL168" s="676">
        <v>929.56434508455141</v>
      </c>
      <c r="AM168" s="676">
        <v>3.8215343460399347</v>
      </c>
      <c r="AN168" s="676"/>
      <c r="AO168" s="676"/>
      <c r="AP168" s="676"/>
      <c r="AQ168" s="676">
        <v>3.3438425527849431</v>
      </c>
      <c r="AR168" s="676"/>
      <c r="AS168" s="676"/>
      <c r="AT168" s="674">
        <v>41.105378809592047</v>
      </c>
      <c r="AU168" s="676">
        <v>41.105378809592047</v>
      </c>
      <c r="AV168" s="676">
        <v>0</v>
      </c>
      <c r="AW168" s="676">
        <v>0</v>
      </c>
      <c r="AX168" s="676">
        <v>0</v>
      </c>
      <c r="AY168" s="676">
        <v>0</v>
      </c>
      <c r="AZ168" s="674">
        <v>692.46202350243618</v>
      </c>
      <c r="BA168" s="676"/>
      <c r="BB168" s="676"/>
      <c r="BC168" s="676"/>
      <c r="BD168" s="676">
        <v>0</v>
      </c>
      <c r="BE168" s="676"/>
      <c r="BF168" s="676">
        <v>682.54991879239515</v>
      </c>
      <c r="BG168" s="676">
        <v>0</v>
      </c>
      <c r="BH168" s="676">
        <v>9.9121047100410813</v>
      </c>
      <c r="BI168" s="676">
        <v>0</v>
      </c>
      <c r="BJ168" s="676">
        <v>0</v>
      </c>
      <c r="BK168" s="676">
        <v>0</v>
      </c>
      <c r="BL168" s="676">
        <v>0</v>
      </c>
      <c r="BM168" s="676">
        <v>0</v>
      </c>
      <c r="BN168" s="676">
        <v>0</v>
      </c>
      <c r="BO168" s="674">
        <v>0</v>
      </c>
      <c r="BP168" s="676">
        <v>0</v>
      </c>
      <c r="BQ168" s="676">
        <v>0</v>
      </c>
      <c r="BR168" s="675"/>
      <c r="BS168" s="675">
        <v>338.30132798318522</v>
      </c>
      <c r="BT168" s="674">
        <v>5719.7859940766211</v>
      </c>
    </row>
    <row r="169" spans="1:72">
      <c r="A169" s="681"/>
      <c r="B169" s="680" t="s">
        <v>968</v>
      </c>
      <c r="C169" s="679" t="s">
        <v>976</v>
      </c>
      <c r="D169" s="679"/>
      <c r="E169" s="679"/>
      <c r="F169" s="678" t="s">
        <v>975</v>
      </c>
      <c r="G169" s="678"/>
      <c r="H169" s="677">
        <v>2768.3433648609916</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206.55393140345848</v>
      </c>
      <c r="X169" s="676"/>
      <c r="Y169" s="676"/>
      <c r="Z169" s="676"/>
      <c r="AA169" s="676"/>
      <c r="AB169" s="676"/>
      <c r="AC169" s="676"/>
      <c r="AD169" s="676"/>
      <c r="AE169" s="676">
        <v>8.8134135855545992</v>
      </c>
      <c r="AF169" s="676"/>
      <c r="AG169" s="676"/>
      <c r="AH169" s="676"/>
      <c r="AI169" s="676"/>
      <c r="AJ169" s="676">
        <v>10.294258144645074</v>
      </c>
      <c r="AK169" s="676"/>
      <c r="AL169" s="676">
        <v>182.21553453711664</v>
      </c>
      <c r="AM169" s="676">
        <v>1.9107671730199673</v>
      </c>
      <c r="AN169" s="676"/>
      <c r="AO169" s="676"/>
      <c r="AP169" s="676"/>
      <c r="AQ169" s="676">
        <v>3.3438425527849431</v>
      </c>
      <c r="AR169" s="676"/>
      <c r="AS169" s="676"/>
      <c r="AT169" s="674">
        <v>20.827362185917647</v>
      </c>
      <c r="AU169" s="676">
        <v>20.827362185917647</v>
      </c>
      <c r="AV169" s="676">
        <v>0</v>
      </c>
      <c r="AW169" s="676">
        <v>0</v>
      </c>
      <c r="AX169" s="676">
        <v>0</v>
      </c>
      <c r="AY169" s="676">
        <v>0</v>
      </c>
      <c r="AZ169" s="674">
        <v>33.820578962453425</v>
      </c>
      <c r="BA169" s="676"/>
      <c r="BB169" s="676"/>
      <c r="BC169" s="676"/>
      <c r="BD169" s="676">
        <v>0</v>
      </c>
      <c r="BE169" s="676"/>
      <c r="BF169" s="676">
        <v>23.908474252412343</v>
      </c>
      <c r="BG169" s="676">
        <v>0</v>
      </c>
      <c r="BH169" s="676">
        <v>9.9121047100410813</v>
      </c>
      <c r="BI169" s="676">
        <v>0</v>
      </c>
      <c r="BJ169" s="676">
        <v>0</v>
      </c>
      <c r="BK169" s="676">
        <v>0</v>
      </c>
      <c r="BL169" s="676">
        <v>0</v>
      </c>
      <c r="BM169" s="676">
        <v>0</v>
      </c>
      <c r="BN169" s="676">
        <v>0</v>
      </c>
      <c r="BO169" s="674">
        <v>0</v>
      </c>
      <c r="BP169" s="676">
        <v>0</v>
      </c>
      <c r="BQ169" s="676">
        <v>0</v>
      </c>
      <c r="BR169" s="675"/>
      <c r="BS169" s="675">
        <v>256.13833954332665</v>
      </c>
      <c r="BT169" s="674">
        <v>2250.9792681761728</v>
      </c>
    </row>
    <row r="170" spans="1:72">
      <c r="A170" s="681"/>
      <c r="B170" s="680" t="s">
        <v>968</v>
      </c>
      <c r="C170" s="679" t="s">
        <v>974</v>
      </c>
      <c r="D170" s="679"/>
      <c r="E170" s="679"/>
      <c r="F170" s="678" t="s">
        <v>973</v>
      </c>
      <c r="G170" s="678"/>
      <c r="H170" s="677">
        <v>4145.5049202254704</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117.48829655106525</v>
      </c>
      <c r="X170" s="676"/>
      <c r="Y170" s="676"/>
      <c r="Z170" s="676"/>
      <c r="AA170" s="676"/>
      <c r="AB170" s="676"/>
      <c r="AC170" s="676"/>
      <c r="AD170" s="676"/>
      <c r="AE170" s="676">
        <v>13.208178083500524</v>
      </c>
      <c r="AF170" s="676">
        <v>16.766981943250215</v>
      </c>
      <c r="AG170" s="676"/>
      <c r="AH170" s="676"/>
      <c r="AI170" s="676"/>
      <c r="AJ170" s="676">
        <v>23.669628355784848</v>
      </c>
      <c r="AK170" s="676"/>
      <c r="AL170" s="676">
        <v>63.81962357886691</v>
      </c>
      <c r="AM170" s="676">
        <v>0</v>
      </c>
      <c r="AN170" s="676"/>
      <c r="AO170" s="676"/>
      <c r="AP170" s="676"/>
      <c r="AQ170" s="676"/>
      <c r="AR170" s="676"/>
      <c r="AS170" s="676"/>
      <c r="AT170" s="674">
        <v>3.176650425145696</v>
      </c>
      <c r="AU170" s="676">
        <v>3.176650425145696</v>
      </c>
      <c r="AV170" s="676">
        <v>0</v>
      </c>
      <c r="AW170" s="676">
        <v>0</v>
      </c>
      <c r="AX170" s="676">
        <v>0</v>
      </c>
      <c r="AY170" s="676">
        <v>0</v>
      </c>
      <c r="AZ170" s="674">
        <v>653.96006496608391</v>
      </c>
      <c r="BA170" s="676"/>
      <c r="BB170" s="676"/>
      <c r="BC170" s="676"/>
      <c r="BD170" s="676">
        <v>0</v>
      </c>
      <c r="BE170" s="676"/>
      <c r="BF170" s="676">
        <v>653.96006496608391</v>
      </c>
      <c r="BG170" s="676">
        <v>0</v>
      </c>
      <c r="BH170" s="676">
        <v>0</v>
      </c>
      <c r="BI170" s="676">
        <v>0</v>
      </c>
      <c r="BJ170" s="676">
        <v>0</v>
      </c>
      <c r="BK170" s="676">
        <v>0</v>
      </c>
      <c r="BL170" s="676">
        <v>0</v>
      </c>
      <c r="BM170" s="676">
        <v>0</v>
      </c>
      <c r="BN170" s="676">
        <v>0</v>
      </c>
      <c r="BO170" s="674">
        <v>0</v>
      </c>
      <c r="BP170" s="676">
        <v>0</v>
      </c>
      <c r="BQ170" s="676">
        <v>0</v>
      </c>
      <c r="BR170" s="675"/>
      <c r="BS170" s="675">
        <v>81.70918123626636</v>
      </c>
      <c r="BT170" s="674">
        <v>3289.1707270469092</v>
      </c>
    </row>
    <row r="171" spans="1:72">
      <c r="A171" s="681"/>
      <c r="B171" s="680" t="s">
        <v>968</v>
      </c>
      <c r="C171" s="679" t="s">
        <v>972</v>
      </c>
      <c r="D171" s="679"/>
      <c r="E171" s="679"/>
      <c r="F171" s="678" t="s">
        <v>971</v>
      </c>
      <c r="G171" s="678"/>
      <c r="H171" s="677">
        <v>324.30495844081395</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141.39677080347758</v>
      </c>
      <c r="X171" s="676"/>
      <c r="Y171" s="676"/>
      <c r="Z171" s="676"/>
      <c r="AA171" s="676"/>
      <c r="AB171" s="676"/>
      <c r="AC171" s="676"/>
      <c r="AD171" s="676"/>
      <c r="AE171" s="676">
        <v>5.493455622432406</v>
      </c>
      <c r="AF171" s="676"/>
      <c r="AG171" s="676"/>
      <c r="AH171" s="676"/>
      <c r="AI171" s="676"/>
      <c r="AJ171" s="676"/>
      <c r="AK171" s="676"/>
      <c r="AL171" s="676">
        <v>135.87943059138243</v>
      </c>
      <c r="AM171" s="676">
        <v>0</v>
      </c>
      <c r="AN171" s="676"/>
      <c r="AO171" s="676"/>
      <c r="AP171" s="676"/>
      <c r="AQ171" s="676"/>
      <c r="AR171" s="676"/>
      <c r="AS171" s="676"/>
      <c r="AT171" s="674">
        <v>15.429444922136238</v>
      </c>
      <c r="AU171" s="676">
        <v>15.429444922136238</v>
      </c>
      <c r="AV171" s="676">
        <v>0</v>
      </c>
      <c r="AW171" s="676">
        <v>0</v>
      </c>
      <c r="AX171" s="676">
        <v>0</v>
      </c>
      <c r="AY171" s="676">
        <v>0</v>
      </c>
      <c r="AZ171" s="674">
        <v>4.6813795738989201</v>
      </c>
      <c r="BA171" s="676"/>
      <c r="BB171" s="676"/>
      <c r="BC171" s="676"/>
      <c r="BD171" s="676">
        <v>0</v>
      </c>
      <c r="BE171" s="676"/>
      <c r="BF171" s="676">
        <v>4.6813795738989201</v>
      </c>
      <c r="BG171" s="676">
        <v>0</v>
      </c>
      <c r="BH171" s="676">
        <v>0</v>
      </c>
      <c r="BI171" s="676">
        <v>0</v>
      </c>
      <c r="BJ171" s="676">
        <v>0</v>
      </c>
      <c r="BK171" s="676">
        <v>0</v>
      </c>
      <c r="BL171" s="676">
        <v>0</v>
      </c>
      <c r="BM171" s="676">
        <v>0</v>
      </c>
      <c r="BN171" s="676">
        <v>0</v>
      </c>
      <c r="BO171" s="674">
        <v>0</v>
      </c>
      <c r="BP171" s="676">
        <v>0</v>
      </c>
      <c r="BQ171" s="676">
        <v>0</v>
      </c>
      <c r="BR171" s="675"/>
      <c r="BS171" s="675">
        <v>0.45380720359224225</v>
      </c>
      <c r="BT171" s="674">
        <v>162.34355593770897</v>
      </c>
    </row>
    <row r="172" spans="1:72">
      <c r="A172" s="681"/>
      <c r="B172" s="680" t="s">
        <v>968</v>
      </c>
      <c r="C172" s="679" t="s">
        <v>970</v>
      </c>
      <c r="D172" s="679"/>
      <c r="E172" s="679"/>
      <c r="F172" s="678" t="s">
        <v>969</v>
      </c>
      <c r="G172" s="678"/>
      <c r="H172" s="677">
        <v>524.74443489060855</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507.47587656444063</v>
      </c>
      <c r="X172" s="676"/>
      <c r="Y172" s="676"/>
      <c r="Z172" s="676"/>
      <c r="AA172" s="676"/>
      <c r="AB172" s="676"/>
      <c r="AC172" s="676"/>
      <c r="AD172" s="676"/>
      <c r="AE172" s="676"/>
      <c r="AF172" s="676">
        <v>6.2816470813031433</v>
      </c>
      <c r="AG172" s="676"/>
      <c r="AH172" s="676"/>
      <c r="AI172" s="676"/>
      <c r="AJ172" s="676"/>
      <c r="AK172" s="676"/>
      <c r="AL172" s="676">
        <v>499.2834623101175</v>
      </c>
      <c r="AM172" s="676">
        <v>1.9107671730199673</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c r="A173" s="673"/>
      <c r="B173" s="672" t="s">
        <v>968</v>
      </c>
      <c r="C173" s="671" t="s">
        <v>967</v>
      </c>
      <c r="D173" s="671"/>
      <c r="E173" s="671"/>
      <c r="F173" s="670" t="s">
        <v>966</v>
      </c>
      <c r="G173" s="670"/>
      <c r="H173" s="669">
        <v>84.025986433553072</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82.377949746823347</v>
      </c>
      <c r="X173" s="668"/>
      <c r="Y173" s="668"/>
      <c r="Z173" s="668"/>
      <c r="AA173" s="668"/>
      <c r="AB173" s="668"/>
      <c r="AC173" s="668"/>
      <c r="AD173" s="668"/>
      <c r="AE173" s="668"/>
      <c r="AF173" s="668">
        <v>1.0509219451609821</v>
      </c>
      <c r="AG173" s="668"/>
      <c r="AH173" s="668"/>
      <c r="AI173" s="668">
        <v>32.936849144931685</v>
      </c>
      <c r="AJ173" s="668"/>
      <c r="AK173" s="668"/>
      <c r="AL173" s="668">
        <v>48.390178656730676</v>
      </c>
      <c r="AM173" s="668">
        <v>0</v>
      </c>
      <c r="AN173" s="668"/>
      <c r="AO173" s="668"/>
      <c r="AP173" s="668"/>
      <c r="AQ173" s="668"/>
      <c r="AR173" s="668"/>
      <c r="AS173" s="668"/>
      <c r="AT173" s="666">
        <v>1.6480366867297218</v>
      </c>
      <c r="AU173" s="668">
        <v>1.6480366867297218</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3102.2976975255565</v>
      </c>
      <c r="I174" s="660">
        <v>54.361326072418073</v>
      </c>
      <c r="J174" s="662">
        <v>0</v>
      </c>
      <c r="K174" s="662">
        <v>0</v>
      </c>
      <c r="L174" s="662">
        <v>6.0428011846756471</v>
      </c>
      <c r="M174" s="662">
        <v>0</v>
      </c>
      <c r="N174" s="662">
        <v>0</v>
      </c>
      <c r="O174" s="662">
        <v>0</v>
      </c>
      <c r="P174" s="662">
        <v>48.342409477405177</v>
      </c>
      <c r="Q174" s="662">
        <v>0</v>
      </c>
      <c r="R174" s="662">
        <v>0</v>
      </c>
      <c r="S174" s="662">
        <v>0</v>
      </c>
      <c r="T174" s="662">
        <v>0</v>
      </c>
      <c r="U174" s="662">
        <v>0</v>
      </c>
      <c r="V174" s="662">
        <v>0</v>
      </c>
      <c r="W174" s="660">
        <v>3193.9906372408523</v>
      </c>
      <c r="X174" s="662">
        <v>124.98805770516861</v>
      </c>
      <c r="Y174" s="662">
        <v>0</v>
      </c>
      <c r="Z174" s="662">
        <v>43.446068596541508</v>
      </c>
      <c r="AA174" s="662">
        <v>0</v>
      </c>
      <c r="AB174" s="662"/>
      <c r="AC174" s="662">
        <v>18.582210757619183</v>
      </c>
      <c r="AD174" s="662">
        <v>674.95461927964072</v>
      </c>
      <c r="AE174" s="662">
        <v>278.56596923664853</v>
      </c>
      <c r="AF174" s="662">
        <v>436.18037642113308</v>
      </c>
      <c r="AG174" s="662">
        <v>-2.1018438903219643</v>
      </c>
      <c r="AH174" s="662">
        <v>0</v>
      </c>
      <c r="AI174" s="662">
        <v>-42.204069934078532</v>
      </c>
      <c r="AJ174" s="662">
        <v>-50.444253367727143</v>
      </c>
      <c r="AK174" s="662">
        <v>1962.8594630744242</v>
      </c>
      <c r="AL174" s="662">
        <v>543.54160695519249</v>
      </c>
      <c r="AM174" s="662">
        <v>-302.85659692366482</v>
      </c>
      <c r="AN174" s="662">
        <v>1.0509219451609821</v>
      </c>
      <c r="AO174" s="662">
        <v>1.0031527658354829</v>
      </c>
      <c r="AP174" s="662">
        <v>0</v>
      </c>
      <c r="AQ174" s="662">
        <v>-249.95223082067449</v>
      </c>
      <c r="AR174" s="662">
        <v>0</v>
      </c>
      <c r="AS174" s="662">
        <v>-243.62281456004584</v>
      </c>
      <c r="AT174" s="660">
        <v>-155.17817903888411</v>
      </c>
      <c r="AU174" s="662">
        <v>-155.17817903888411</v>
      </c>
      <c r="AV174" s="662">
        <v>0</v>
      </c>
      <c r="AW174" s="662">
        <v>0</v>
      </c>
      <c r="AX174" s="662">
        <v>0</v>
      </c>
      <c r="AY174" s="662">
        <v>0</v>
      </c>
      <c r="AZ174" s="660">
        <v>16.432597687971718</v>
      </c>
      <c r="BA174" s="662">
        <v>0</v>
      </c>
      <c r="BB174" s="662">
        <v>0</v>
      </c>
      <c r="BC174" s="662">
        <v>0</v>
      </c>
      <c r="BD174" s="662">
        <v>0</v>
      </c>
      <c r="BE174" s="662">
        <v>0</v>
      </c>
      <c r="BF174" s="662">
        <v>9.2433361994840926</v>
      </c>
      <c r="BG174" s="662">
        <v>0</v>
      </c>
      <c r="BH174" s="662">
        <v>6.854877233209133</v>
      </c>
      <c r="BI174" s="662">
        <v>0</v>
      </c>
      <c r="BJ174" s="662">
        <v>0.19107671730199674</v>
      </c>
      <c r="BK174" s="662">
        <v>0.14330753797649756</v>
      </c>
      <c r="BL174" s="662">
        <v>0</v>
      </c>
      <c r="BM174" s="662">
        <v>0</v>
      </c>
      <c r="BN174" s="662">
        <v>0</v>
      </c>
      <c r="BO174" s="660">
        <v>0</v>
      </c>
      <c r="BP174" s="662">
        <v>0</v>
      </c>
      <c r="BQ174" s="662">
        <v>0</v>
      </c>
      <c r="BR174" s="661">
        <v>0</v>
      </c>
      <c r="BS174" s="661">
        <v>0</v>
      </c>
      <c r="BT174" s="660">
        <v>-7.308684436801375</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9.1477978408330944</v>
      </c>
      <c r="BK179" s="752">
        <v>120.5455240278972</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pageSetUpPr fitToPage="1"/>
  </sheetPr>
  <dimension ref="A1:BU179"/>
  <sheetViews>
    <sheetView zoomScaleNormal="100" workbookViewId="0">
      <pane xSplit="7" ySplit="2" topLeftCell="H3" activePane="bottomRight" state="frozen"/>
      <selection activeCell="D27" sqref="D27"/>
      <selection pane="topRight" activeCell="D27" sqref="D27"/>
      <selection pane="bottomLeft" activeCell="D27" sqref="D27"/>
      <selection pane="bottomRight" activeCell="H19" sqref="H19"/>
    </sheetView>
  </sheetViews>
  <sheetFormatPr baseColWidth="10" defaultColWidth="8.5" defaultRowHeight="11"/>
  <cols>
    <col min="1" max="3" width="2" style="654" customWidth="1"/>
    <col min="4" max="4" width="2.5" style="654" customWidth="1"/>
    <col min="5" max="5" width="45.5" style="654" customWidth="1"/>
    <col min="6" max="6" width="7.1640625" style="655" customWidth="1"/>
    <col min="7" max="7" width="0.5" style="655" customWidth="1"/>
    <col min="8" max="22" width="10.5" style="655" customWidth="1"/>
    <col min="23" max="45" width="10.5" style="654" customWidth="1"/>
    <col min="46" max="51" width="9.5" style="654" customWidth="1"/>
    <col min="52" max="52" width="10.5" style="655" customWidth="1"/>
    <col min="53" max="57" width="9.5" style="654" customWidth="1"/>
    <col min="58" max="256" width="8.5" style="654"/>
    <col min="257" max="259" width="2" style="654" customWidth="1"/>
    <col min="260" max="260" width="2.5" style="654" customWidth="1"/>
    <col min="261" max="261" width="45.5" style="654" customWidth="1"/>
    <col min="262" max="262" width="7.1640625" style="654" customWidth="1"/>
    <col min="263" max="263" width="0.5" style="654" customWidth="1"/>
    <col min="264" max="301" width="10.5" style="654" customWidth="1"/>
    <col min="302" max="307" width="9.5" style="654" customWidth="1"/>
    <col min="308" max="308" width="10.5" style="654" customWidth="1"/>
    <col min="309" max="313" width="9.5" style="654" customWidth="1"/>
    <col min="314" max="512" width="8.5" style="654"/>
    <col min="513" max="515" width="2" style="654" customWidth="1"/>
    <col min="516" max="516" width="2.5" style="654" customWidth="1"/>
    <col min="517" max="517" width="45.5" style="654" customWidth="1"/>
    <col min="518" max="518" width="7.1640625" style="654" customWidth="1"/>
    <col min="519" max="519" width="0.5" style="654" customWidth="1"/>
    <col min="520" max="557" width="10.5" style="654" customWidth="1"/>
    <col min="558" max="563" width="9.5" style="654" customWidth="1"/>
    <col min="564" max="564" width="10.5" style="654" customWidth="1"/>
    <col min="565" max="569" width="9.5" style="654" customWidth="1"/>
    <col min="570" max="768" width="8.5" style="654"/>
    <col min="769" max="771" width="2" style="654" customWidth="1"/>
    <col min="772" max="772" width="2.5" style="654" customWidth="1"/>
    <col min="773" max="773" width="45.5" style="654" customWidth="1"/>
    <col min="774" max="774" width="7.1640625" style="654" customWidth="1"/>
    <col min="775" max="775" width="0.5" style="654" customWidth="1"/>
    <col min="776" max="813" width="10.5" style="654" customWidth="1"/>
    <col min="814" max="819" width="9.5" style="654" customWidth="1"/>
    <col min="820" max="820" width="10.5" style="654" customWidth="1"/>
    <col min="821" max="825" width="9.5" style="654" customWidth="1"/>
    <col min="826" max="1024" width="8.5" style="654"/>
    <col min="1025" max="1027" width="2" style="654" customWidth="1"/>
    <col min="1028" max="1028" width="2.5" style="654" customWidth="1"/>
    <col min="1029" max="1029" width="45.5" style="654" customWidth="1"/>
    <col min="1030" max="1030" width="7.1640625" style="654" customWidth="1"/>
    <col min="1031" max="1031" width="0.5" style="654" customWidth="1"/>
    <col min="1032" max="1069" width="10.5" style="654" customWidth="1"/>
    <col min="1070" max="1075" width="9.5" style="654" customWidth="1"/>
    <col min="1076" max="1076" width="10.5" style="654" customWidth="1"/>
    <col min="1077" max="1081" width="9.5" style="654" customWidth="1"/>
    <col min="1082" max="1280" width="8.5" style="654"/>
    <col min="1281" max="1283" width="2" style="654" customWidth="1"/>
    <col min="1284" max="1284" width="2.5" style="654" customWidth="1"/>
    <col min="1285" max="1285" width="45.5" style="654" customWidth="1"/>
    <col min="1286" max="1286" width="7.1640625" style="654" customWidth="1"/>
    <col min="1287" max="1287" width="0.5" style="654" customWidth="1"/>
    <col min="1288" max="1325" width="10.5" style="654" customWidth="1"/>
    <col min="1326" max="1331" width="9.5" style="654" customWidth="1"/>
    <col min="1332" max="1332" width="10.5" style="654" customWidth="1"/>
    <col min="1333" max="1337" width="9.5" style="654" customWidth="1"/>
    <col min="1338" max="1536" width="8.5" style="654"/>
    <col min="1537" max="1539" width="2" style="654" customWidth="1"/>
    <col min="1540" max="1540" width="2.5" style="654" customWidth="1"/>
    <col min="1541" max="1541" width="45.5" style="654" customWidth="1"/>
    <col min="1542" max="1542" width="7.1640625" style="654" customWidth="1"/>
    <col min="1543" max="1543" width="0.5" style="654" customWidth="1"/>
    <col min="1544" max="1581" width="10.5" style="654" customWidth="1"/>
    <col min="1582" max="1587" width="9.5" style="654" customWidth="1"/>
    <col min="1588" max="1588" width="10.5" style="654" customWidth="1"/>
    <col min="1589" max="1593" width="9.5" style="654" customWidth="1"/>
    <col min="1594" max="1792" width="8.5" style="654"/>
    <col min="1793" max="1795" width="2" style="654" customWidth="1"/>
    <col min="1796" max="1796" width="2.5" style="654" customWidth="1"/>
    <col min="1797" max="1797" width="45.5" style="654" customWidth="1"/>
    <col min="1798" max="1798" width="7.1640625" style="654" customWidth="1"/>
    <col min="1799" max="1799" width="0.5" style="654" customWidth="1"/>
    <col min="1800" max="1837" width="10.5" style="654" customWidth="1"/>
    <col min="1838" max="1843" width="9.5" style="654" customWidth="1"/>
    <col min="1844" max="1844" width="10.5" style="654" customWidth="1"/>
    <col min="1845" max="1849" width="9.5" style="654" customWidth="1"/>
    <col min="1850" max="2048" width="8.5" style="654"/>
    <col min="2049" max="2051" width="2" style="654" customWidth="1"/>
    <col min="2052" max="2052" width="2.5" style="654" customWidth="1"/>
    <col min="2053" max="2053" width="45.5" style="654" customWidth="1"/>
    <col min="2054" max="2054" width="7.1640625" style="654" customWidth="1"/>
    <col min="2055" max="2055" width="0.5" style="654" customWidth="1"/>
    <col min="2056" max="2093" width="10.5" style="654" customWidth="1"/>
    <col min="2094" max="2099" width="9.5" style="654" customWidth="1"/>
    <col min="2100" max="2100" width="10.5" style="654" customWidth="1"/>
    <col min="2101" max="2105" width="9.5" style="654" customWidth="1"/>
    <col min="2106" max="2304" width="8.5" style="654"/>
    <col min="2305" max="2307" width="2" style="654" customWidth="1"/>
    <col min="2308" max="2308" width="2.5" style="654" customWidth="1"/>
    <col min="2309" max="2309" width="45.5" style="654" customWidth="1"/>
    <col min="2310" max="2310" width="7.1640625" style="654" customWidth="1"/>
    <col min="2311" max="2311" width="0.5" style="654" customWidth="1"/>
    <col min="2312" max="2349" width="10.5" style="654" customWidth="1"/>
    <col min="2350" max="2355" width="9.5" style="654" customWidth="1"/>
    <col min="2356" max="2356" width="10.5" style="654" customWidth="1"/>
    <col min="2357" max="2361" width="9.5" style="654" customWidth="1"/>
    <col min="2362" max="2560" width="8.5" style="654"/>
    <col min="2561" max="2563" width="2" style="654" customWidth="1"/>
    <col min="2564" max="2564" width="2.5" style="654" customWidth="1"/>
    <col min="2565" max="2565" width="45.5" style="654" customWidth="1"/>
    <col min="2566" max="2566" width="7.1640625" style="654" customWidth="1"/>
    <col min="2567" max="2567" width="0.5" style="654" customWidth="1"/>
    <col min="2568" max="2605" width="10.5" style="654" customWidth="1"/>
    <col min="2606" max="2611" width="9.5" style="654" customWidth="1"/>
    <col min="2612" max="2612" width="10.5" style="654" customWidth="1"/>
    <col min="2613" max="2617" width="9.5" style="654" customWidth="1"/>
    <col min="2618" max="2816" width="8.5" style="654"/>
    <col min="2817" max="2819" width="2" style="654" customWidth="1"/>
    <col min="2820" max="2820" width="2.5" style="654" customWidth="1"/>
    <col min="2821" max="2821" width="45.5" style="654" customWidth="1"/>
    <col min="2822" max="2822" width="7.1640625" style="654" customWidth="1"/>
    <col min="2823" max="2823" width="0.5" style="654" customWidth="1"/>
    <col min="2824" max="2861" width="10.5" style="654" customWidth="1"/>
    <col min="2862" max="2867" width="9.5" style="654" customWidth="1"/>
    <col min="2868" max="2868" width="10.5" style="654" customWidth="1"/>
    <col min="2869" max="2873" width="9.5" style="654" customWidth="1"/>
    <col min="2874" max="3072" width="8.5" style="654"/>
    <col min="3073" max="3075" width="2" style="654" customWidth="1"/>
    <col min="3076" max="3076" width="2.5" style="654" customWidth="1"/>
    <col min="3077" max="3077" width="45.5" style="654" customWidth="1"/>
    <col min="3078" max="3078" width="7.1640625" style="654" customWidth="1"/>
    <col min="3079" max="3079" width="0.5" style="654" customWidth="1"/>
    <col min="3080" max="3117" width="10.5" style="654" customWidth="1"/>
    <col min="3118" max="3123" width="9.5" style="654" customWidth="1"/>
    <col min="3124" max="3124" width="10.5" style="654" customWidth="1"/>
    <col min="3125" max="3129" width="9.5" style="654" customWidth="1"/>
    <col min="3130" max="3328" width="8.5" style="654"/>
    <col min="3329" max="3331" width="2" style="654" customWidth="1"/>
    <col min="3332" max="3332" width="2.5" style="654" customWidth="1"/>
    <col min="3333" max="3333" width="45.5" style="654" customWidth="1"/>
    <col min="3334" max="3334" width="7.1640625" style="654" customWidth="1"/>
    <col min="3335" max="3335" width="0.5" style="654" customWidth="1"/>
    <col min="3336" max="3373" width="10.5" style="654" customWidth="1"/>
    <col min="3374" max="3379" width="9.5" style="654" customWidth="1"/>
    <col min="3380" max="3380" width="10.5" style="654" customWidth="1"/>
    <col min="3381" max="3385" width="9.5" style="654" customWidth="1"/>
    <col min="3386" max="3584" width="8.5" style="654"/>
    <col min="3585" max="3587" width="2" style="654" customWidth="1"/>
    <col min="3588" max="3588" width="2.5" style="654" customWidth="1"/>
    <col min="3589" max="3589" width="45.5" style="654" customWidth="1"/>
    <col min="3590" max="3590" width="7.1640625" style="654" customWidth="1"/>
    <col min="3591" max="3591" width="0.5" style="654" customWidth="1"/>
    <col min="3592" max="3629" width="10.5" style="654" customWidth="1"/>
    <col min="3630" max="3635" width="9.5" style="654" customWidth="1"/>
    <col min="3636" max="3636" width="10.5" style="654" customWidth="1"/>
    <col min="3637" max="3641" width="9.5" style="654" customWidth="1"/>
    <col min="3642" max="3840" width="8.5" style="654"/>
    <col min="3841" max="3843" width="2" style="654" customWidth="1"/>
    <col min="3844" max="3844" width="2.5" style="654" customWidth="1"/>
    <col min="3845" max="3845" width="45.5" style="654" customWidth="1"/>
    <col min="3846" max="3846" width="7.1640625" style="654" customWidth="1"/>
    <col min="3847" max="3847" width="0.5" style="654" customWidth="1"/>
    <col min="3848" max="3885" width="10.5" style="654" customWidth="1"/>
    <col min="3886" max="3891" width="9.5" style="654" customWidth="1"/>
    <col min="3892" max="3892" width="10.5" style="654" customWidth="1"/>
    <col min="3893" max="3897" width="9.5" style="654" customWidth="1"/>
    <col min="3898" max="4096" width="8.5" style="654"/>
    <col min="4097" max="4099" width="2" style="654" customWidth="1"/>
    <col min="4100" max="4100" width="2.5" style="654" customWidth="1"/>
    <col min="4101" max="4101" width="45.5" style="654" customWidth="1"/>
    <col min="4102" max="4102" width="7.1640625" style="654" customWidth="1"/>
    <col min="4103" max="4103" width="0.5" style="654" customWidth="1"/>
    <col min="4104" max="4141" width="10.5" style="654" customWidth="1"/>
    <col min="4142" max="4147" width="9.5" style="654" customWidth="1"/>
    <col min="4148" max="4148" width="10.5" style="654" customWidth="1"/>
    <col min="4149" max="4153" width="9.5" style="654" customWidth="1"/>
    <col min="4154" max="4352" width="8.5" style="654"/>
    <col min="4353" max="4355" width="2" style="654" customWidth="1"/>
    <col min="4356" max="4356" width="2.5" style="654" customWidth="1"/>
    <col min="4357" max="4357" width="45.5" style="654" customWidth="1"/>
    <col min="4358" max="4358" width="7.1640625" style="654" customWidth="1"/>
    <col min="4359" max="4359" width="0.5" style="654" customWidth="1"/>
    <col min="4360" max="4397" width="10.5" style="654" customWidth="1"/>
    <col min="4398" max="4403" width="9.5" style="654" customWidth="1"/>
    <col min="4404" max="4404" width="10.5" style="654" customWidth="1"/>
    <col min="4405" max="4409" width="9.5" style="654" customWidth="1"/>
    <col min="4410" max="4608" width="8.5" style="654"/>
    <col min="4609" max="4611" width="2" style="654" customWidth="1"/>
    <col min="4612" max="4612" width="2.5" style="654" customWidth="1"/>
    <col min="4613" max="4613" width="45.5" style="654" customWidth="1"/>
    <col min="4614" max="4614" width="7.1640625" style="654" customWidth="1"/>
    <col min="4615" max="4615" width="0.5" style="654" customWidth="1"/>
    <col min="4616" max="4653" width="10.5" style="654" customWidth="1"/>
    <col min="4654" max="4659" width="9.5" style="654" customWidth="1"/>
    <col min="4660" max="4660" width="10.5" style="654" customWidth="1"/>
    <col min="4661" max="4665" width="9.5" style="654" customWidth="1"/>
    <col min="4666" max="4864" width="8.5" style="654"/>
    <col min="4865" max="4867" width="2" style="654" customWidth="1"/>
    <col min="4868" max="4868" width="2.5" style="654" customWidth="1"/>
    <col min="4869" max="4869" width="45.5" style="654" customWidth="1"/>
    <col min="4870" max="4870" width="7.1640625" style="654" customWidth="1"/>
    <col min="4871" max="4871" width="0.5" style="654" customWidth="1"/>
    <col min="4872" max="4909" width="10.5" style="654" customWidth="1"/>
    <col min="4910" max="4915" width="9.5" style="654" customWidth="1"/>
    <col min="4916" max="4916" width="10.5" style="654" customWidth="1"/>
    <col min="4917" max="4921" width="9.5" style="654" customWidth="1"/>
    <col min="4922" max="5120" width="8.5" style="654"/>
    <col min="5121" max="5123" width="2" style="654" customWidth="1"/>
    <col min="5124" max="5124" width="2.5" style="654" customWidth="1"/>
    <col min="5125" max="5125" width="45.5" style="654" customWidth="1"/>
    <col min="5126" max="5126" width="7.1640625" style="654" customWidth="1"/>
    <col min="5127" max="5127" width="0.5" style="654" customWidth="1"/>
    <col min="5128" max="5165" width="10.5" style="654" customWidth="1"/>
    <col min="5166" max="5171" width="9.5" style="654" customWidth="1"/>
    <col min="5172" max="5172" width="10.5" style="654" customWidth="1"/>
    <col min="5173" max="5177" width="9.5" style="654" customWidth="1"/>
    <col min="5178" max="5376" width="8.5" style="654"/>
    <col min="5377" max="5379" width="2" style="654" customWidth="1"/>
    <col min="5380" max="5380" width="2.5" style="654" customWidth="1"/>
    <col min="5381" max="5381" width="45.5" style="654" customWidth="1"/>
    <col min="5382" max="5382" width="7.1640625" style="654" customWidth="1"/>
    <col min="5383" max="5383" width="0.5" style="654" customWidth="1"/>
    <col min="5384" max="5421" width="10.5" style="654" customWidth="1"/>
    <col min="5422" max="5427" width="9.5" style="654" customWidth="1"/>
    <col min="5428" max="5428" width="10.5" style="654" customWidth="1"/>
    <col min="5429" max="5433" width="9.5" style="654" customWidth="1"/>
    <col min="5434" max="5632" width="8.5" style="654"/>
    <col min="5633" max="5635" width="2" style="654" customWidth="1"/>
    <col min="5636" max="5636" width="2.5" style="654" customWidth="1"/>
    <col min="5637" max="5637" width="45.5" style="654" customWidth="1"/>
    <col min="5638" max="5638" width="7.1640625" style="654" customWidth="1"/>
    <col min="5639" max="5639" width="0.5" style="654" customWidth="1"/>
    <col min="5640" max="5677" width="10.5" style="654" customWidth="1"/>
    <col min="5678" max="5683" width="9.5" style="654" customWidth="1"/>
    <col min="5684" max="5684" width="10.5" style="654" customWidth="1"/>
    <col min="5685" max="5689" width="9.5" style="654" customWidth="1"/>
    <col min="5690" max="5888" width="8.5" style="654"/>
    <col min="5889" max="5891" width="2" style="654" customWidth="1"/>
    <col min="5892" max="5892" width="2.5" style="654" customWidth="1"/>
    <col min="5893" max="5893" width="45.5" style="654" customWidth="1"/>
    <col min="5894" max="5894" width="7.1640625" style="654" customWidth="1"/>
    <col min="5895" max="5895" width="0.5" style="654" customWidth="1"/>
    <col min="5896" max="5933" width="10.5" style="654" customWidth="1"/>
    <col min="5934" max="5939" width="9.5" style="654" customWidth="1"/>
    <col min="5940" max="5940" width="10.5" style="654" customWidth="1"/>
    <col min="5941" max="5945" width="9.5" style="654" customWidth="1"/>
    <col min="5946" max="6144" width="8.5" style="654"/>
    <col min="6145" max="6147" width="2" style="654" customWidth="1"/>
    <col min="6148" max="6148" width="2.5" style="654" customWidth="1"/>
    <col min="6149" max="6149" width="45.5" style="654" customWidth="1"/>
    <col min="6150" max="6150" width="7.1640625" style="654" customWidth="1"/>
    <col min="6151" max="6151" width="0.5" style="654" customWidth="1"/>
    <col min="6152" max="6189" width="10.5" style="654" customWidth="1"/>
    <col min="6190" max="6195" width="9.5" style="654" customWidth="1"/>
    <col min="6196" max="6196" width="10.5" style="654" customWidth="1"/>
    <col min="6197" max="6201" width="9.5" style="654" customWidth="1"/>
    <col min="6202" max="6400" width="8.5" style="654"/>
    <col min="6401" max="6403" width="2" style="654" customWidth="1"/>
    <col min="6404" max="6404" width="2.5" style="654" customWidth="1"/>
    <col min="6405" max="6405" width="45.5" style="654" customWidth="1"/>
    <col min="6406" max="6406" width="7.1640625" style="654" customWidth="1"/>
    <col min="6407" max="6407" width="0.5" style="654" customWidth="1"/>
    <col min="6408" max="6445" width="10.5" style="654" customWidth="1"/>
    <col min="6446" max="6451" width="9.5" style="654" customWidth="1"/>
    <col min="6452" max="6452" width="10.5" style="654" customWidth="1"/>
    <col min="6453" max="6457" width="9.5" style="654" customWidth="1"/>
    <col min="6458" max="6656" width="8.5" style="654"/>
    <col min="6657" max="6659" width="2" style="654" customWidth="1"/>
    <col min="6660" max="6660" width="2.5" style="654" customWidth="1"/>
    <col min="6661" max="6661" width="45.5" style="654" customWidth="1"/>
    <col min="6662" max="6662" width="7.1640625" style="654" customWidth="1"/>
    <col min="6663" max="6663" width="0.5" style="654" customWidth="1"/>
    <col min="6664" max="6701" width="10.5" style="654" customWidth="1"/>
    <col min="6702" max="6707" width="9.5" style="654" customWidth="1"/>
    <col min="6708" max="6708" width="10.5" style="654" customWidth="1"/>
    <col min="6709" max="6713" width="9.5" style="654" customWidth="1"/>
    <col min="6714" max="6912" width="8.5" style="654"/>
    <col min="6913" max="6915" width="2" style="654" customWidth="1"/>
    <col min="6916" max="6916" width="2.5" style="654" customWidth="1"/>
    <col min="6917" max="6917" width="45.5" style="654" customWidth="1"/>
    <col min="6918" max="6918" width="7.1640625" style="654" customWidth="1"/>
    <col min="6919" max="6919" width="0.5" style="654" customWidth="1"/>
    <col min="6920" max="6957" width="10.5" style="654" customWidth="1"/>
    <col min="6958" max="6963" width="9.5" style="654" customWidth="1"/>
    <col min="6964" max="6964" width="10.5" style="654" customWidth="1"/>
    <col min="6965" max="6969" width="9.5" style="654" customWidth="1"/>
    <col min="6970" max="7168" width="8.5" style="654"/>
    <col min="7169" max="7171" width="2" style="654" customWidth="1"/>
    <col min="7172" max="7172" width="2.5" style="654" customWidth="1"/>
    <col min="7173" max="7173" width="45.5" style="654" customWidth="1"/>
    <col min="7174" max="7174" width="7.1640625" style="654" customWidth="1"/>
    <col min="7175" max="7175" width="0.5" style="654" customWidth="1"/>
    <col min="7176" max="7213" width="10.5" style="654" customWidth="1"/>
    <col min="7214" max="7219" width="9.5" style="654" customWidth="1"/>
    <col min="7220" max="7220" width="10.5" style="654" customWidth="1"/>
    <col min="7221" max="7225" width="9.5" style="654" customWidth="1"/>
    <col min="7226" max="7424" width="8.5" style="654"/>
    <col min="7425" max="7427" width="2" style="654" customWidth="1"/>
    <col min="7428" max="7428" width="2.5" style="654" customWidth="1"/>
    <col min="7429" max="7429" width="45.5" style="654" customWidth="1"/>
    <col min="7430" max="7430" width="7.1640625" style="654" customWidth="1"/>
    <col min="7431" max="7431" width="0.5" style="654" customWidth="1"/>
    <col min="7432" max="7469" width="10.5" style="654" customWidth="1"/>
    <col min="7470" max="7475" width="9.5" style="654" customWidth="1"/>
    <col min="7476" max="7476" width="10.5" style="654" customWidth="1"/>
    <col min="7477" max="7481" width="9.5" style="654" customWidth="1"/>
    <col min="7482" max="7680" width="8.5" style="654"/>
    <col min="7681" max="7683" width="2" style="654" customWidth="1"/>
    <col min="7684" max="7684" width="2.5" style="654" customWidth="1"/>
    <col min="7685" max="7685" width="45.5" style="654" customWidth="1"/>
    <col min="7686" max="7686" width="7.1640625" style="654" customWidth="1"/>
    <col min="7687" max="7687" width="0.5" style="654" customWidth="1"/>
    <col min="7688" max="7725" width="10.5" style="654" customWidth="1"/>
    <col min="7726" max="7731" width="9.5" style="654" customWidth="1"/>
    <col min="7732" max="7732" width="10.5" style="654" customWidth="1"/>
    <col min="7733" max="7737" width="9.5" style="654" customWidth="1"/>
    <col min="7738" max="7936" width="8.5" style="654"/>
    <col min="7937" max="7939" width="2" style="654" customWidth="1"/>
    <col min="7940" max="7940" width="2.5" style="654" customWidth="1"/>
    <col min="7941" max="7941" width="45.5" style="654" customWidth="1"/>
    <col min="7942" max="7942" width="7.1640625" style="654" customWidth="1"/>
    <col min="7943" max="7943" width="0.5" style="654" customWidth="1"/>
    <col min="7944" max="7981" width="10.5" style="654" customWidth="1"/>
    <col min="7982" max="7987" width="9.5" style="654" customWidth="1"/>
    <col min="7988" max="7988" width="10.5" style="654" customWidth="1"/>
    <col min="7989" max="7993" width="9.5" style="654" customWidth="1"/>
    <col min="7994" max="8192" width="8.5" style="654"/>
    <col min="8193" max="8195" width="2" style="654" customWidth="1"/>
    <col min="8196" max="8196" width="2.5" style="654" customWidth="1"/>
    <col min="8197" max="8197" width="45.5" style="654" customWidth="1"/>
    <col min="8198" max="8198" width="7.1640625" style="654" customWidth="1"/>
    <col min="8199" max="8199" width="0.5" style="654" customWidth="1"/>
    <col min="8200" max="8237" width="10.5" style="654" customWidth="1"/>
    <col min="8238" max="8243" width="9.5" style="654" customWidth="1"/>
    <col min="8244" max="8244" width="10.5" style="654" customWidth="1"/>
    <col min="8245" max="8249" width="9.5" style="654" customWidth="1"/>
    <col min="8250" max="8448" width="8.5" style="654"/>
    <col min="8449" max="8451" width="2" style="654" customWidth="1"/>
    <col min="8452" max="8452" width="2.5" style="654" customWidth="1"/>
    <col min="8453" max="8453" width="45.5" style="654" customWidth="1"/>
    <col min="8454" max="8454" width="7.1640625" style="654" customWidth="1"/>
    <col min="8455" max="8455" width="0.5" style="654" customWidth="1"/>
    <col min="8456" max="8493" width="10.5" style="654" customWidth="1"/>
    <col min="8494" max="8499" width="9.5" style="654" customWidth="1"/>
    <col min="8500" max="8500" width="10.5" style="654" customWidth="1"/>
    <col min="8501" max="8505" width="9.5" style="654" customWidth="1"/>
    <col min="8506" max="8704" width="8.5" style="654"/>
    <col min="8705" max="8707" width="2" style="654" customWidth="1"/>
    <col min="8708" max="8708" width="2.5" style="654" customWidth="1"/>
    <col min="8709" max="8709" width="45.5" style="654" customWidth="1"/>
    <col min="8710" max="8710" width="7.1640625" style="654" customWidth="1"/>
    <col min="8711" max="8711" width="0.5" style="654" customWidth="1"/>
    <col min="8712" max="8749" width="10.5" style="654" customWidth="1"/>
    <col min="8750" max="8755" width="9.5" style="654" customWidth="1"/>
    <col min="8756" max="8756" width="10.5" style="654" customWidth="1"/>
    <col min="8757" max="8761" width="9.5" style="654" customWidth="1"/>
    <col min="8762" max="8960" width="8.5" style="654"/>
    <col min="8961" max="8963" width="2" style="654" customWidth="1"/>
    <col min="8964" max="8964" width="2.5" style="654" customWidth="1"/>
    <col min="8965" max="8965" width="45.5" style="654" customWidth="1"/>
    <col min="8966" max="8966" width="7.1640625" style="654" customWidth="1"/>
    <col min="8967" max="8967" width="0.5" style="654" customWidth="1"/>
    <col min="8968" max="9005" width="10.5" style="654" customWidth="1"/>
    <col min="9006" max="9011" width="9.5" style="654" customWidth="1"/>
    <col min="9012" max="9012" width="10.5" style="654" customWidth="1"/>
    <col min="9013" max="9017" width="9.5" style="654" customWidth="1"/>
    <col min="9018" max="9216" width="8.5" style="654"/>
    <col min="9217" max="9219" width="2" style="654" customWidth="1"/>
    <col min="9220" max="9220" width="2.5" style="654" customWidth="1"/>
    <col min="9221" max="9221" width="45.5" style="654" customWidth="1"/>
    <col min="9222" max="9222" width="7.1640625" style="654" customWidth="1"/>
    <col min="9223" max="9223" width="0.5" style="654" customWidth="1"/>
    <col min="9224" max="9261" width="10.5" style="654" customWidth="1"/>
    <col min="9262" max="9267" width="9.5" style="654" customWidth="1"/>
    <col min="9268" max="9268" width="10.5" style="654" customWidth="1"/>
    <col min="9269" max="9273" width="9.5" style="654" customWidth="1"/>
    <col min="9274" max="9472" width="8.5" style="654"/>
    <col min="9473" max="9475" width="2" style="654" customWidth="1"/>
    <col min="9476" max="9476" width="2.5" style="654" customWidth="1"/>
    <col min="9477" max="9477" width="45.5" style="654" customWidth="1"/>
    <col min="9478" max="9478" width="7.1640625" style="654" customWidth="1"/>
    <col min="9479" max="9479" width="0.5" style="654" customWidth="1"/>
    <col min="9480" max="9517" width="10.5" style="654" customWidth="1"/>
    <col min="9518" max="9523" width="9.5" style="654" customWidth="1"/>
    <col min="9524" max="9524" width="10.5" style="654" customWidth="1"/>
    <col min="9525" max="9529" width="9.5" style="654" customWidth="1"/>
    <col min="9530" max="9728" width="8.5" style="654"/>
    <col min="9729" max="9731" width="2" style="654" customWidth="1"/>
    <col min="9732" max="9732" width="2.5" style="654" customWidth="1"/>
    <col min="9733" max="9733" width="45.5" style="654" customWidth="1"/>
    <col min="9734" max="9734" width="7.1640625" style="654" customWidth="1"/>
    <col min="9735" max="9735" width="0.5" style="654" customWidth="1"/>
    <col min="9736" max="9773" width="10.5" style="654" customWidth="1"/>
    <col min="9774" max="9779" width="9.5" style="654" customWidth="1"/>
    <col min="9780" max="9780" width="10.5" style="654" customWidth="1"/>
    <col min="9781" max="9785" width="9.5" style="654" customWidth="1"/>
    <col min="9786" max="9984" width="8.5" style="654"/>
    <col min="9985" max="9987" width="2" style="654" customWidth="1"/>
    <col min="9988" max="9988" width="2.5" style="654" customWidth="1"/>
    <col min="9989" max="9989" width="45.5" style="654" customWidth="1"/>
    <col min="9990" max="9990" width="7.1640625" style="654" customWidth="1"/>
    <col min="9991" max="9991" width="0.5" style="654" customWidth="1"/>
    <col min="9992" max="10029" width="10.5" style="654" customWidth="1"/>
    <col min="10030" max="10035" width="9.5" style="654" customWidth="1"/>
    <col min="10036" max="10036" width="10.5" style="654" customWidth="1"/>
    <col min="10037" max="10041" width="9.5" style="654" customWidth="1"/>
    <col min="10042" max="10240" width="8.5" style="654"/>
    <col min="10241" max="10243" width="2" style="654" customWidth="1"/>
    <col min="10244" max="10244" width="2.5" style="654" customWidth="1"/>
    <col min="10245" max="10245" width="45.5" style="654" customWidth="1"/>
    <col min="10246" max="10246" width="7.1640625" style="654" customWidth="1"/>
    <col min="10247" max="10247" width="0.5" style="654" customWidth="1"/>
    <col min="10248" max="10285" width="10.5" style="654" customWidth="1"/>
    <col min="10286" max="10291" width="9.5" style="654" customWidth="1"/>
    <col min="10292" max="10292" width="10.5" style="654" customWidth="1"/>
    <col min="10293" max="10297" width="9.5" style="654" customWidth="1"/>
    <col min="10298" max="10496" width="8.5" style="654"/>
    <col min="10497" max="10499" width="2" style="654" customWidth="1"/>
    <col min="10500" max="10500" width="2.5" style="654" customWidth="1"/>
    <col min="10501" max="10501" width="45.5" style="654" customWidth="1"/>
    <col min="10502" max="10502" width="7.1640625" style="654" customWidth="1"/>
    <col min="10503" max="10503" width="0.5" style="654" customWidth="1"/>
    <col min="10504" max="10541" width="10.5" style="654" customWidth="1"/>
    <col min="10542" max="10547" width="9.5" style="654" customWidth="1"/>
    <col min="10548" max="10548" width="10.5" style="654" customWidth="1"/>
    <col min="10549" max="10553" width="9.5" style="654" customWidth="1"/>
    <col min="10554" max="10752" width="8.5" style="654"/>
    <col min="10753" max="10755" width="2" style="654" customWidth="1"/>
    <col min="10756" max="10756" width="2.5" style="654" customWidth="1"/>
    <col min="10757" max="10757" width="45.5" style="654" customWidth="1"/>
    <col min="10758" max="10758" width="7.1640625" style="654" customWidth="1"/>
    <col min="10759" max="10759" width="0.5" style="654" customWidth="1"/>
    <col min="10760" max="10797" width="10.5" style="654" customWidth="1"/>
    <col min="10798" max="10803" width="9.5" style="654" customWidth="1"/>
    <col min="10804" max="10804" width="10.5" style="654" customWidth="1"/>
    <col min="10805" max="10809" width="9.5" style="654" customWidth="1"/>
    <col min="10810" max="11008" width="8.5" style="654"/>
    <col min="11009" max="11011" width="2" style="654" customWidth="1"/>
    <col min="11012" max="11012" width="2.5" style="654" customWidth="1"/>
    <col min="11013" max="11013" width="45.5" style="654" customWidth="1"/>
    <col min="11014" max="11014" width="7.1640625" style="654" customWidth="1"/>
    <col min="11015" max="11015" width="0.5" style="654" customWidth="1"/>
    <col min="11016" max="11053" width="10.5" style="654" customWidth="1"/>
    <col min="11054" max="11059" width="9.5" style="654" customWidth="1"/>
    <col min="11060" max="11060" width="10.5" style="654" customWidth="1"/>
    <col min="11061" max="11065" width="9.5" style="654" customWidth="1"/>
    <col min="11066" max="11264" width="8.5" style="654"/>
    <col min="11265" max="11267" width="2" style="654" customWidth="1"/>
    <col min="11268" max="11268" width="2.5" style="654" customWidth="1"/>
    <col min="11269" max="11269" width="45.5" style="654" customWidth="1"/>
    <col min="11270" max="11270" width="7.1640625" style="654" customWidth="1"/>
    <col min="11271" max="11271" width="0.5" style="654" customWidth="1"/>
    <col min="11272" max="11309" width="10.5" style="654" customWidth="1"/>
    <col min="11310" max="11315" width="9.5" style="654" customWidth="1"/>
    <col min="11316" max="11316" width="10.5" style="654" customWidth="1"/>
    <col min="11317" max="11321" width="9.5" style="654" customWidth="1"/>
    <col min="11322" max="11520" width="8.5" style="654"/>
    <col min="11521" max="11523" width="2" style="654" customWidth="1"/>
    <col min="11524" max="11524" width="2.5" style="654" customWidth="1"/>
    <col min="11525" max="11525" width="45.5" style="654" customWidth="1"/>
    <col min="11526" max="11526" width="7.1640625" style="654" customWidth="1"/>
    <col min="11527" max="11527" width="0.5" style="654" customWidth="1"/>
    <col min="11528" max="11565" width="10.5" style="654" customWidth="1"/>
    <col min="11566" max="11571" width="9.5" style="654" customWidth="1"/>
    <col min="11572" max="11572" width="10.5" style="654" customWidth="1"/>
    <col min="11573" max="11577" width="9.5" style="654" customWidth="1"/>
    <col min="11578" max="11776" width="8.5" style="654"/>
    <col min="11777" max="11779" width="2" style="654" customWidth="1"/>
    <col min="11780" max="11780" width="2.5" style="654" customWidth="1"/>
    <col min="11781" max="11781" width="45.5" style="654" customWidth="1"/>
    <col min="11782" max="11782" width="7.1640625" style="654" customWidth="1"/>
    <col min="11783" max="11783" width="0.5" style="654" customWidth="1"/>
    <col min="11784" max="11821" width="10.5" style="654" customWidth="1"/>
    <col min="11822" max="11827" width="9.5" style="654" customWidth="1"/>
    <col min="11828" max="11828" width="10.5" style="654" customWidth="1"/>
    <col min="11829" max="11833" width="9.5" style="654" customWidth="1"/>
    <col min="11834" max="12032" width="8.5" style="654"/>
    <col min="12033" max="12035" width="2" style="654" customWidth="1"/>
    <col min="12036" max="12036" width="2.5" style="654" customWidth="1"/>
    <col min="12037" max="12037" width="45.5" style="654" customWidth="1"/>
    <col min="12038" max="12038" width="7.1640625" style="654" customWidth="1"/>
    <col min="12039" max="12039" width="0.5" style="654" customWidth="1"/>
    <col min="12040" max="12077" width="10.5" style="654" customWidth="1"/>
    <col min="12078" max="12083" width="9.5" style="654" customWidth="1"/>
    <col min="12084" max="12084" width="10.5" style="654" customWidth="1"/>
    <col min="12085" max="12089" width="9.5" style="654" customWidth="1"/>
    <col min="12090" max="12288" width="8.5" style="654"/>
    <col min="12289" max="12291" width="2" style="654" customWidth="1"/>
    <col min="12292" max="12292" width="2.5" style="654" customWidth="1"/>
    <col min="12293" max="12293" width="45.5" style="654" customWidth="1"/>
    <col min="12294" max="12294" width="7.1640625" style="654" customWidth="1"/>
    <col min="12295" max="12295" width="0.5" style="654" customWidth="1"/>
    <col min="12296" max="12333" width="10.5" style="654" customWidth="1"/>
    <col min="12334" max="12339" width="9.5" style="654" customWidth="1"/>
    <col min="12340" max="12340" width="10.5" style="654" customWidth="1"/>
    <col min="12341" max="12345" width="9.5" style="654" customWidth="1"/>
    <col min="12346" max="12544" width="8.5" style="654"/>
    <col min="12545" max="12547" width="2" style="654" customWidth="1"/>
    <col min="12548" max="12548" width="2.5" style="654" customWidth="1"/>
    <col min="12549" max="12549" width="45.5" style="654" customWidth="1"/>
    <col min="12550" max="12550" width="7.1640625" style="654" customWidth="1"/>
    <col min="12551" max="12551" width="0.5" style="654" customWidth="1"/>
    <col min="12552" max="12589" width="10.5" style="654" customWidth="1"/>
    <col min="12590" max="12595" width="9.5" style="654" customWidth="1"/>
    <col min="12596" max="12596" width="10.5" style="654" customWidth="1"/>
    <col min="12597" max="12601" width="9.5" style="654" customWidth="1"/>
    <col min="12602" max="12800" width="8.5" style="654"/>
    <col min="12801" max="12803" width="2" style="654" customWidth="1"/>
    <col min="12804" max="12804" width="2.5" style="654" customWidth="1"/>
    <col min="12805" max="12805" width="45.5" style="654" customWidth="1"/>
    <col min="12806" max="12806" width="7.1640625" style="654" customWidth="1"/>
    <col min="12807" max="12807" width="0.5" style="654" customWidth="1"/>
    <col min="12808" max="12845" width="10.5" style="654" customWidth="1"/>
    <col min="12846" max="12851" width="9.5" style="654" customWidth="1"/>
    <col min="12852" max="12852" width="10.5" style="654" customWidth="1"/>
    <col min="12853" max="12857" width="9.5" style="654" customWidth="1"/>
    <col min="12858" max="13056" width="8.5" style="654"/>
    <col min="13057" max="13059" width="2" style="654" customWidth="1"/>
    <col min="13060" max="13060" width="2.5" style="654" customWidth="1"/>
    <col min="13061" max="13061" width="45.5" style="654" customWidth="1"/>
    <col min="13062" max="13062" width="7.1640625" style="654" customWidth="1"/>
    <col min="13063" max="13063" width="0.5" style="654" customWidth="1"/>
    <col min="13064" max="13101" width="10.5" style="654" customWidth="1"/>
    <col min="13102" max="13107" width="9.5" style="654" customWidth="1"/>
    <col min="13108" max="13108" width="10.5" style="654" customWidth="1"/>
    <col min="13109" max="13113" width="9.5" style="654" customWidth="1"/>
    <col min="13114" max="13312" width="8.5" style="654"/>
    <col min="13313" max="13315" width="2" style="654" customWidth="1"/>
    <col min="13316" max="13316" width="2.5" style="654" customWidth="1"/>
    <col min="13317" max="13317" width="45.5" style="654" customWidth="1"/>
    <col min="13318" max="13318" width="7.1640625" style="654" customWidth="1"/>
    <col min="13319" max="13319" width="0.5" style="654" customWidth="1"/>
    <col min="13320" max="13357" width="10.5" style="654" customWidth="1"/>
    <col min="13358" max="13363" width="9.5" style="654" customWidth="1"/>
    <col min="13364" max="13364" width="10.5" style="654" customWidth="1"/>
    <col min="13365" max="13369" width="9.5" style="654" customWidth="1"/>
    <col min="13370" max="13568" width="8.5" style="654"/>
    <col min="13569" max="13571" width="2" style="654" customWidth="1"/>
    <col min="13572" max="13572" width="2.5" style="654" customWidth="1"/>
    <col min="13573" max="13573" width="45.5" style="654" customWidth="1"/>
    <col min="13574" max="13574" width="7.1640625" style="654" customWidth="1"/>
    <col min="13575" max="13575" width="0.5" style="654" customWidth="1"/>
    <col min="13576" max="13613" width="10.5" style="654" customWidth="1"/>
    <col min="13614" max="13619" width="9.5" style="654" customWidth="1"/>
    <col min="13620" max="13620" width="10.5" style="654" customWidth="1"/>
    <col min="13621" max="13625" width="9.5" style="654" customWidth="1"/>
    <col min="13626" max="13824" width="8.5" style="654"/>
    <col min="13825" max="13827" width="2" style="654" customWidth="1"/>
    <col min="13828" max="13828" width="2.5" style="654" customWidth="1"/>
    <col min="13829" max="13829" width="45.5" style="654" customWidth="1"/>
    <col min="13830" max="13830" width="7.1640625" style="654" customWidth="1"/>
    <col min="13831" max="13831" width="0.5" style="654" customWidth="1"/>
    <col min="13832" max="13869" width="10.5" style="654" customWidth="1"/>
    <col min="13870" max="13875" width="9.5" style="654" customWidth="1"/>
    <col min="13876" max="13876" width="10.5" style="654" customWidth="1"/>
    <col min="13877" max="13881" width="9.5" style="654" customWidth="1"/>
    <col min="13882" max="14080" width="8.5" style="654"/>
    <col min="14081" max="14083" width="2" style="654" customWidth="1"/>
    <col min="14084" max="14084" width="2.5" style="654" customWidth="1"/>
    <col min="14085" max="14085" width="45.5" style="654" customWidth="1"/>
    <col min="14086" max="14086" width="7.1640625" style="654" customWidth="1"/>
    <col min="14087" max="14087" width="0.5" style="654" customWidth="1"/>
    <col min="14088" max="14125" width="10.5" style="654" customWidth="1"/>
    <col min="14126" max="14131" width="9.5" style="654" customWidth="1"/>
    <col min="14132" max="14132" width="10.5" style="654" customWidth="1"/>
    <col min="14133" max="14137" width="9.5" style="654" customWidth="1"/>
    <col min="14138" max="14336" width="8.5" style="654"/>
    <col min="14337" max="14339" width="2" style="654" customWidth="1"/>
    <col min="14340" max="14340" width="2.5" style="654" customWidth="1"/>
    <col min="14341" max="14341" width="45.5" style="654" customWidth="1"/>
    <col min="14342" max="14342" width="7.1640625" style="654" customWidth="1"/>
    <col min="14343" max="14343" width="0.5" style="654" customWidth="1"/>
    <col min="14344" max="14381" width="10.5" style="654" customWidth="1"/>
    <col min="14382" max="14387" width="9.5" style="654" customWidth="1"/>
    <col min="14388" max="14388" width="10.5" style="654" customWidth="1"/>
    <col min="14389" max="14393" width="9.5" style="654" customWidth="1"/>
    <col min="14394" max="14592" width="8.5" style="654"/>
    <col min="14593" max="14595" width="2" style="654" customWidth="1"/>
    <col min="14596" max="14596" width="2.5" style="654" customWidth="1"/>
    <col min="14597" max="14597" width="45.5" style="654" customWidth="1"/>
    <col min="14598" max="14598" width="7.1640625" style="654" customWidth="1"/>
    <col min="14599" max="14599" width="0.5" style="654" customWidth="1"/>
    <col min="14600" max="14637" width="10.5" style="654" customWidth="1"/>
    <col min="14638" max="14643" width="9.5" style="654" customWidth="1"/>
    <col min="14644" max="14644" width="10.5" style="654" customWidth="1"/>
    <col min="14645" max="14649" width="9.5" style="654" customWidth="1"/>
    <col min="14650" max="14848" width="8.5" style="654"/>
    <col min="14849" max="14851" width="2" style="654" customWidth="1"/>
    <col min="14852" max="14852" width="2.5" style="654" customWidth="1"/>
    <col min="14853" max="14853" width="45.5" style="654" customWidth="1"/>
    <col min="14854" max="14854" width="7.1640625" style="654" customWidth="1"/>
    <col min="14855" max="14855" width="0.5" style="654" customWidth="1"/>
    <col min="14856" max="14893" width="10.5" style="654" customWidth="1"/>
    <col min="14894" max="14899" width="9.5" style="654" customWidth="1"/>
    <col min="14900" max="14900" width="10.5" style="654" customWidth="1"/>
    <col min="14901" max="14905" width="9.5" style="654" customWidth="1"/>
    <col min="14906" max="15104" width="8.5" style="654"/>
    <col min="15105" max="15107" width="2" style="654" customWidth="1"/>
    <col min="15108" max="15108" width="2.5" style="654" customWidth="1"/>
    <col min="15109" max="15109" width="45.5" style="654" customWidth="1"/>
    <col min="15110" max="15110" width="7.1640625" style="654" customWidth="1"/>
    <col min="15111" max="15111" width="0.5" style="654" customWidth="1"/>
    <col min="15112" max="15149" width="10.5" style="654" customWidth="1"/>
    <col min="15150" max="15155" width="9.5" style="654" customWidth="1"/>
    <col min="15156" max="15156" width="10.5" style="654" customWidth="1"/>
    <col min="15157" max="15161" width="9.5" style="654" customWidth="1"/>
    <col min="15162" max="15360" width="8.5" style="654"/>
    <col min="15361" max="15363" width="2" style="654" customWidth="1"/>
    <col min="15364" max="15364" width="2.5" style="654" customWidth="1"/>
    <col min="15365" max="15365" width="45.5" style="654" customWidth="1"/>
    <col min="15366" max="15366" width="7.1640625" style="654" customWidth="1"/>
    <col min="15367" max="15367" width="0.5" style="654" customWidth="1"/>
    <col min="15368" max="15405" width="10.5" style="654" customWidth="1"/>
    <col min="15406" max="15411" width="9.5" style="654" customWidth="1"/>
    <col min="15412" max="15412" width="10.5" style="654" customWidth="1"/>
    <col min="15413" max="15417" width="9.5" style="654" customWidth="1"/>
    <col min="15418" max="15616" width="8.5" style="654"/>
    <col min="15617" max="15619" width="2" style="654" customWidth="1"/>
    <col min="15620" max="15620" width="2.5" style="654" customWidth="1"/>
    <col min="15621" max="15621" width="45.5" style="654" customWidth="1"/>
    <col min="15622" max="15622" width="7.1640625" style="654" customWidth="1"/>
    <col min="15623" max="15623" width="0.5" style="654" customWidth="1"/>
    <col min="15624" max="15661" width="10.5" style="654" customWidth="1"/>
    <col min="15662" max="15667" width="9.5" style="654" customWidth="1"/>
    <col min="15668" max="15668" width="10.5" style="654" customWidth="1"/>
    <col min="15669" max="15673" width="9.5" style="654" customWidth="1"/>
    <col min="15674" max="15872" width="8.5" style="654"/>
    <col min="15873" max="15875" width="2" style="654" customWidth="1"/>
    <col min="15876" max="15876" width="2.5" style="654" customWidth="1"/>
    <col min="15877" max="15877" width="45.5" style="654" customWidth="1"/>
    <col min="15878" max="15878" width="7.1640625" style="654" customWidth="1"/>
    <col min="15879" max="15879" width="0.5" style="654" customWidth="1"/>
    <col min="15880" max="15917" width="10.5" style="654" customWidth="1"/>
    <col min="15918" max="15923" width="9.5" style="654" customWidth="1"/>
    <col min="15924" max="15924" width="10.5" style="654" customWidth="1"/>
    <col min="15925" max="15929" width="9.5" style="654" customWidth="1"/>
    <col min="15930" max="16128" width="8.5" style="654"/>
    <col min="16129" max="16131" width="2" style="654" customWidth="1"/>
    <col min="16132" max="16132" width="2.5" style="654" customWidth="1"/>
    <col min="16133" max="16133" width="45.5" style="654" customWidth="1"/>
    <col min="16134" max="16134" width="7.1640625" style="654" customWidth="1"/>
    <col min="16135" max="16135" width="0.5" style="654" customWidth="1"/>
    <col min="16136" max="16173" width="10.5" style="654" customWidth="1"/>
    <col min="16174" max="16179" width="9.5" style="654" customWidth="1"/>
    <col min="16180" max="16180" width="10.5" style="654" customWidth="1"/>
    <col min="16181" max="16185" width="9.5" style="654" customWidth="1"/>
    <col min="16186" max="16384" width="8.5" style="654"/>
  </cols>
  <sheetData>
    <row r="1" spans="1:73">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955</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193942.39036973345</v>
      </c>
      <c r="I4" s="723">
        <v>1245.0081207604853</v>
      </c>
      <c r="J4" s="725">
        <v>0</v>
      </c>
      <c r="K4" s="725">
        <v>0</v>
      </c>
      <c r="L4" s="725">
        <v>1245.0081207604853</v>
      </c>
      <c r="M4" s="725">
        <v>0</v>
      </c>
      <c r="N4" s="725">
        <v>0</v>
      </c>
      <c r="O4" s="725"/>
      <c r="P4" s="725"/>
      <c r="Q4" s="725"/>
      <c r="R4" s="725"/>
      <c r="S4" s="725"/>
      <c r="T4" s="725">
        <v>0</v>
      </c>
      <c r="U4" s="725"/>
      <c r="V4" s="725">
        <v>0</v>
      </c>
      <c r="W4" s="723">
        <v>84392.471577338292</v>
      </c>
      <c r="X4" s="725">
        <v>74917.980319098118</v>
      </c>
      <c r="Y4" s="725">
        <v>9395.4093818668189</v>
      </c>
      <c r="Z4" s="725"/>
      <c r="AA4" s="725">
        <v>79.105760963026654</v>
      </c>
      <c r="AB4" s="725"/>
      <c r="AC4" s="725"/>
      <c r="AD4" s="725"/>
      <c r="AE4" s="725"/>
      <c r="AF4" s="725"/>
      <c r="AG4" s="725"/>
      <c r="AH4" s="725"/>
      <c r="AI4" s="725"/>
      <c r="AJ4" s="725"/>
      <c r="AK4" s="725"/>
      <c r="AL4" s="725"/>
      <c r="AM4" s="725"/>
      <c r="AN4" s="725"/>
      <c r="AO4" s="725"/>
      <c r="AP4" s="725"/>
      <c r="AQ4" s="725"/>
      <c r="AR4" s="725"/>
      <c r="AS4" s="725"/>
      <c r="AT4" s="723">
        <v>95602.058851628928</v>
      </c>
      <c r="AU4" s="725">
        <v>95602.058851628928</v>
      </c>
      <c r="AV4" s="725"/>
      <c r="AW4" s="725"/>
      <c r="AX4" s="725"/>
      <c r="AY4" s="725"/>
      <c r="AZ4" s="723">
        <v>12498.232540364956</v>
      </c>
      <c r="BA4" s="725">
        <v>11019.250979268176</v>
      </c>
      <c r="BB4" s="725">
        <v>161.74644119614024</v>
      </c>
      <c r="BC4" s="725">
        <v>0</v>
      </c>
      <c r="BD4" s="725">
        <v>0</v>
      </c>
      <c r="BE4" s="725">
        <v>0</v>
      </c>
      <c r="BF4" s="725">
        <v>1054.2180185344416</v>
      </c>
      <c r="BG4" s="725"/>
      <c r="BH4" s="725">
        <v>26.392471577338299</v>
      </c>
      <c r="BI4" s="725">
        <v>201.87255182955957</v>
      </c>
      <c r="BJ4" s="725">
        <v>0</v>
      </c>
      <c r="BK4" s="725">
        <v>28.613738415974012</v>
      </c>
      <c r="BL4" s="725">
        <v>0</v>
      </c>
      <c r="BM4" s="725">
        <v>6.1622241329893948</v>
      </c>
      <c r="BN4" s="725">
        <v>0</v>
      </c>
      <c r="BO4" s="723">
        <v>204.61927964077577</v>
      </c>
      <c r="BP4" s="725">
        <v>2.6750740422279544</v>
      </c>
      <c r="BQ4" s="725">
        <v>201.9442055985478</v>
      </c>
      <c r="BR4" s="724">
        <v>0</v>
      </c>
      <c r="BS4" s="724"/>
      <c r="BT4" s="723"/>
    </row>
    <row r="5" spans="1:73">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c r="A12" s="680" t="s">
        <v>968</v>
      </c>
      <c r="B12" s="679" t="s">
        <v>164</v>
      </c>
      <c r="C12" s="679"/>
      <c r="D12" s="679"/>
      <c r="E12" s="679"/>
      <c r="F12" s="678" t="s">
        <v>1276</v>
      </c>
      <c r="G12" s="678"/>
      <c r="H12" s="677">
        <v>8456.6255851724454</v>
      </c>
      <c r="I12" s="674">
        <v>716.08388267889552</v>
      </c>
      <c r="J12" s="676">
        <v>0</v>
      </c>
      <c r="K12" s="676">
        <v>0</v>
      </c>
      <c r="L12" s="676">
        <v>432.21553453711664</v>
      </c>
      <c r="M12" s="676">
        <v>0</v>
      </c>
      <c r="N12" s="676">
        <v>0</v>
      </c>
      <c r="O12" s="676">
        <v>0</v>
      </c>
      <c r="P12" s="676">
        <v>283.84446355211617</v>
      </c>
      <c r="Q12" s="676">
        <v>0</v>
      </c>
      <c r="R12" s="676">
        <v>0</v>
      </c>
      <c r="S12" s="676">
        <v>0</v>
      </c>
      <c r="T12" s="676">
        <v>0</v>
      </c>
      <c r="U12" s="676">
        <v>0</v>
      </c>
      <c r="V12" s="676">
        <v>0</v>
      </c>
      <c r="W12" s="674">
        <v>6700.2006305531668</v>
      </c>
      <c r="X12" s="676">
        <v>1829.1296455526892</v>
      </c>
      <c r="Y12" s="676"/>
      <c r="Z12" s="676"/>
      <c r="AA12" s="676"/>
      <c r="AB12" s="676"/>
      <c r="AC12" s="676"/>
      <c r="AD12" s="676">
        <v>52.856596923664846</v>
      </c>
      <c r="AE12" s="676">
        <v>151.95375943441292</v>
      </c>
      <c r="AF12" s="676">
        <v>167.76535779115315</v>
      </c>
      <c r="AG12" s="676">
        <v>1.0509219451609821</v>
      </c>
      <c r="AH12" s="676"/>
      <c r="AI12" s="676">
        <v>445.73421228623289</v>
      </c>
      <c r="AJ12" s="676">
        <v>146.17368873602751</v>
      </c>
      <c r="AK12" s="676"/>
      <c r="AL12" s="676">
        <v>1324.8781885927199</v>
      </c>
      <c r="AM12" s="676">
        <v>1901.2133371548675</v>
      </c>
      <c r="AN12" s="676">
        <v>23.956243431737843</v>
      </c>
      <c r="AO12" s="676">
        <v>6.0189165950128976</v>
      </c>
      <c r="AP12" s="676">
        <v>342.79163083978216</v>
      </c>
      <c r="AQ12" s="676">
        <v>300.94582975064486</v>
      </c>
      <c r="AR12" s="676"/>
      <c r="AS12" s="676">
        <v>5.7323015190599023</v>
      </c>
      <c r="AT12" s="674">
        <v>0</v>
      </c>
      <c r="AU12" s="676">
        <v>0</v>
      </c>
      <c r="AV12" s="676"/>
      <c r="AW12" s="676"/>
      <c r="AX12" s="676"/>
      <c r="AY12" s="676"/>
      <c r="AZ12" s="674">
        <v>168.91181809496513</v>
      </c>
      <c r="BA12" s="676"/>
      <c r="BB12" s="676"/>
      <c r="BC12" s="676"/>
      <c r="BD12" s="676">
        <v>0</v>
      </c>
      <c r="BE12" s="676"/>
      <c r="BF12" s="676">
        <v>40.747109964650804</v>
      </c>
      <c r="BG12" s="676">
        <v>0</v>
      </c>
      <c r="BH12" s="676">
        <v>0</v>
      </c>
      <c r="BI12" s="676">
        <v>0</v>
      </c>
      <c r="BJ12" s="676">
        <v>10.819719117225565</v>
      </c>
      <c r="BK12" s="676">
        <v>114.88487627782554</v>
      </c>
      <c r="BL12" s="676">
        <v>0</v>
      </c>
      <c r="BM12" s="676">
        <v>2.4601127352632082</v>
      </c>
      <c r="BN12" s="676">
        <v>0</v>
      </c>
      <c r="BO12" s="674">
        <v>0</v>
      </c>
      <c r="BP12" s="676">
        <v>0</v>
      </c>
      <c r="BQ12" s="676">
        <v>0</v>
      </c>
      <c r="BR12" s="675"/>
      <c r="BS12" s="675">
        <v>0</v>
      </c>
      <c r="BT12" s="674">
        <v>871.45313843508166</v>
      </c>
    </row>
    <row r="13" spans="1:73">
      <c r="A13" s="680" t="s">
        <v>968</v>
      </c>
      <c r="B13" s="679" t="s">
        <v>1275</v>
      </c>
      <c r="C13" s="679"/>
      <c r="D13" s="679"/>
      <c r="E13" s="679"/>
      <c r="F13" s="678" t="s">
        <v>1274</v>
      </c>
      <c r="G13" s="678"/>
      <c r="H13" s="677">
        <v>37.976497563771851</v>
      </c>
      <c r="I13" s="674">
        <v>202.73239705741855</v>
      </c>
      <c r="J13" s="676">
        <v>0</v>
      </c>
      <c r="K13" s="676">
        <v>0</v>
      </c>
      <c r="L13" s="676">
        <v>199.3407853253081</v>
      </c>
      <c r="M13" s="676">
        <v>0</v>
      </c>
      <c r="N13" s="676">
        <v>0</v>
      </c>
      <c r="O13" s="676">
        <v>0</v>
      </c>
      <c r="P13" s="676">
        <v>3.3916117321104422</v>
      </c>
      <c r="Q13" s="676">
        <v>0</v>
      </c>
      <c r="R13" s="676">
        <v>0</v>
      </c>
      <c r="S13" s="676">
        <v>0</v>
      </c>
      <c r="T13" s="676">
        <v>0</v>
      </c>
      <c r="U13" s="676">
        <v>0</v>
      </c>
      <c r="V13" s="676">
        <v>0</v>
      </c>
      <c r="W13" s="674">
        <v>-154.65271806630361</v>
      </c>
      <c r="X13" s="676">
        <v>-56.41540078341454</v>
      </c>
      <c r="Y13" s="676"/>
      <c r="Z13" s="676"/>
      <c r="AA13" s="676"/>
      <c r="AB13" s="676"/>
      <c r="AC13" s="676"/>
      <c r="AD13" s="676">
        <v>-6.6160313365816368</v>
      </c>
      <c r="AE13" s="676">
        <v>29.736314130123244</v>
      </c>
      <c r="AF13" s="676">
        <v>-28.303238750358268</v>
      </c>
      <c r="AG13" s="676"/>
      <c r="AH13" s="676"/>
      <c r="AI13" s="676">
        <v>-9.2672207891468421</v>
      </c>
      <c r="AJ13" s="676">
        <v>-19.561478933791918</v>
      </c>
      <c r="AK13" s="676">
        <v>-29.354160695519248</v>
      </c>
      <c r="AL13" s="676">
        <v>-25.747587656444061</v>
      </c>
      <c r="AM13" s="676">
        <v>0.95538358650998367</v>
      </c>
      <c r="AN13" s="676">
        <v>1.0509219451609821</v>
      </c>
      <c r="AO13" s="676"/>
      <c r="AP13" s="676">
        <v>5.5889939810834051</v>
      </c>
      <c r="AQ13" s="676">
        <v>-16.719212763924716</v>
      </c>
      <c r="AR13" s="676"/>
      <c r="AS13" s="676"/>
      <c r="AT13" s="674">
        <v>-10.127066017005827</v>
      </c>
      <c r="AU13" s="676">
        <v>-10.127066017005827</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c r="A14" s="680" t="s">
        <v>1081</v>
      </c>
      <c r="B14" s="679" t="s">
        <v>170</v>
      </c>
      <c r="C14" s="679"/>
      <c r="D14" s="679"/>
      <c r="E14" s="679"/>
      <c r="F14" s="678" t="s">
        <v>1273</v>
      </c>
      <c r="G14" s="678"/>
      <c r="H14" s="677">
        <v>168425.21734976591</v>
      </c>
      <c r="I14" s="674">
        <v>1388.6261584025985</v>
      </c>
      <c r="J14" s="676">
        <v>0</v>
      </c>
      <c r="K14" s="676">
        <v>0</v>
      </c>
      <c r="L14" s="676">
        <v>1387.9573898920416</v>
      </c>
      <c r="M14" s="676">
        <v>0</v>
      </c>
      <c r="N14" s="676">
        <v>0</v>
      </c>
      <c r="O14" s="676">
        <v>0</v>
      </c>
      <c r="P14" s="676">
        <v>0.6687685105569886</v>
      </c>
      <c r="Q14" s="676">
        <v>0</v>
      </c>
      <c r="R14" s="676">
        <v>0</v>
      </c>
      <c r="S14" s="676">
        <v>0</v>
      </c>
      <c r="T14" s="676">
        <v>0</v>
      </c>
      <c r="U14" s="676">
        <v>0</v>
      </c>
      <c r="V14" s="676">
        <v>0</v>
      </c>
      <c r="W14" s="674">
        <v>75807.561861087219</v>
      </c>
      <c r="X14" s="676">
        <v>61141.03850195853</v>
      </c>
      <c r="Y14" s="676"/>
      <c r="Z14" s="676"/>
      <c r="AA14" s="676"/>
      <c r="AB14" s="676"/>
      <c r="AC14" s="676"/>
      <c r="AD14" s="676">
        <v>565.94535205885165</v>
      </c>
      <c r="AE14" s="676">
        <v>5162.9645552689399</v>
      </c>
      <c r="AF14" s="676">
        <v>2292.0846469857647</v>
      </c>
      <c r="AG14" s="676"/>
      <c r="AH14" s="676"/>
      <c r="AI14" s="676">
        <v>87.513136524314504</v>
      </c>
      <c r="AJ14" s="676">
        <v>283.08015668290818</v>
      </c>
      <c r="AK14" s="676">
        <v>1667.1682430495844</v>
      </c>
      <c r="AL14" s="676">
        <v>2736.2185917645934</v>
      </c>
      <c r="AM14" s="676">
        <v>1836.2472532721888</v>
      </c>
      <c r="AN14" s="676"/>
      <c r="AO14" s="676">
        <v>1.0031527658354829</v>
      </c>
      <c r="AP14" s="676"/>
      <c r="AQ14" s="676">
        <v>34.274386166045666</v>
      </c>
      <c r="AR14" s="676"/>
      <c r="AS14" s="676"/>
      <c r="AT14" s="674">
        <v>89856.42973153721</v>
      </c>
      <c r="AU14" s="676">
        <v>89856.42973153721</v>
      </c>
      <c r="AV14" s="676"/>
      <c r="AW14" s="676"/>
      <c r="AX14" s="676"/>
      <c r="AY14" s="676"/>
      <c r="AZ14" s="674">
        <v>70.722269991401546</v>
      </c>
      <c r="BA14" s="676"/>
      <c r="BB14" s="676"/>
      <c r="BC14" s="676"/>
      <c r="BD14" s="676">
        <v>0</v>
      </c>
      <c r="BE14" s="676"/>
      <c r="BF14" s="676">
        <v>42.108531575427534</v>
      </c>
      <c r="BG14" s="676">
        <v>0</v>
      </c>
      <c r="BH14" s="676">
        <v>0</v>
      </c>
      <c r="BI14" s="676">
        <v>0</v>
      </c>
      <c r="BJ14" s="676">
        <v>0</v>
      </c>
      <c r="BK14" s="676">
        <v>28.613738415974012</v>
      </c>
      <c r="BL14" s="676">
        <v>0</v>
      </c>
      <c r="BM14" s="676">
        <v>0</v>
      </c>
      <c r="BN14" s="676">
        <v>0</v>
      </c>
      <c r="BO14" s="674">
        <v>0</v>
      </c>
      <c r="BP14" s="676">
        <v>0</v>
      </c>
      <c r="BQ14" s="676">
        <v>0</v>
      </c>
      <c r="BR14" s="675"/>
      <c r="BS14" s="675">
        <v>0</v>
      </c>
      <c r="BT14" s="674">
        <v>1301.9012133371548</v>
      </c>
    </row>
    <row r="15" spans="1:73">
      <c r="A15" s="680" t="s">
        <v>1081</v>
      </c>
      <c r="B15" s="679" t="s">
        <v>1272</v>
      </c>
      <c r="C15" s="679"/>
      <c r="D15" s="679"/>
      <c r="E15" s="679"/>
      <c r="F15" s="678" t="s">
        <v>1271</v>
      </c>
      <c r="G15" s="678"/>
      <c r="H15" s="677">
        <v>357.83892232731438</v>
      </c>
      <c r="I15" s="674">
        <v>0</v>
      </c>
      <c r="J15" s="676">
        <v>0</v>
      </c>
      <c r="K15" s="676">
        <v>0</v>
      </c>
      <c r="L15" s="676">
        <v>0</v>
      </c>
      <c r="M15" s="676">
        <v>0</v>
      </c>
      <c r="N15" s="676">
        <v>0</v>
      </c>
      <c r="O15" s="676">
        <v>0</v>
      </c>
      <c r="P15" s="676">
        <v>0</v>
      </c>
      <c r="Q15" s="676">
        <v>0</v>
      </c>
      <c r="R15" s="676">
        <v>0</v>
      </c>
      <c r="S15" s="676">
        <v>0</v>
      </c>
      <c r="T15" s="676">
        <v>0</v>
      </c>
      <c r="U15" s="676">
        <v>0</v>
      </c>
      <c r="V15" s="676">
        <v>0</v>
      </c>
      <c r="W15" s="674">
        <v>357.83892232731438</v>
      </c>
      <c r="X15" s="676"/>
      <c r="Y15" s="676"/>
      <c r="Z15" s="676"/>
      <c r="AA15" s="676"/>
      <c r="AB15" s="676"/>
      <c r="AC15" s="676"/>
      <c r="AD15" s="676"/>
      <c r="AE15" s="676"/>
      <c r="AF15" s="676"/>
      <c r="AG15" s="676"/>
      <c r="AH15" s="676"/>
      <c r="AI15" s="676"/>
      <c r="AJ15" s="676"/>
      <c r="AK15" s="676"/>
      <c r="AL15" s="676">
        <v>180.13757523645742</v>
      </c>
      <c r="AM15" s="676">
        <v>177.70134709085698</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c r="A17" s="709" t="s">
        <v>1268</v>
      </c>
      <c r="B17" s="709"/>
      <c r="C17" s="709"/>
      <c r="D17" s="709"/>
      <c r="E17" s="709"/>
      <c r="F17" s="708" t="s">
        <v>1267</v>
      </c>
      <c r="G17" s="708"/>
      <c r="H17" s="707">
        <v>33653.936180376419</v>
      </c>
      <c r="I17" s="704">
        <v>775.17435750453808</v>
      </c>
      <c r="J17" s="706">
        <v>0</v>
      </c>
      <c r="K17" s="706">
        <v>0</v>
      </c>
      <c r="L17" s="706">
        <v>488.60705073086842</v>
      </c>
      <c r="M17" s="706">
        <v>0</v>
      </c>
      <c r="N17" s="706">
        <v>0</v>
      </c>
      <c r="O17" s="706">
        <v>0</v>
      </c>
      <c r="P17" s="706">
        <v>286.5673067736696</v>
      </c>
      <c r="Q17" s="706">
        <v>0</v>
      </c>
      <c r="R17" s="706">
        <v>0</v>
      </c>
      <c r="S17" s="706">
        <v>0</v>
      </c>
      <c r="T17" s="706">
        <v>0</v>
      </c>
      <c r="U17" s="706">
        <v>0</v>
      </c>
      <c r="V17" s="706">
        <v>0</v>
      </c>
      <c r="W17" s="704">
        <v>14772.618706410623</v>
      </c>
      <c r="X17" s="706">
        <v>15549.656061908856</v>
      </c>
      <c r="Y17" s="706">
        <v>9395.4093818668189</v>
      </c>
      <c r="Z17" s="706"/>
      <c r="AA17" s="706">
        <v>79.105760963026654</v>
      </c>
      <c r="AB17" s="706"/>
      <c r="AC17" s="706"/>
      <c r="AD17" s="706">
        <v>-519.70478647176844</v>
      </c>
      <c r="AE17" s="706">
        <v>-4981.274481704404</v>
      </c>
      <c r="AF17" s="706">
        <v>-2152.6464125346324</v>
      </c>
      <c r="AG17" s="706">
        <v>1.0509219451609821</v>
      </c>
      <c r="AH17" s="706"/>
      <c r="AI17" s="706">
        <v>348.97773956243429</v>
      </c>
      <c r="AJ17" s="706">
        <v>-156.46794688067257</v>
      </c>
      <c r="AK17" s="706">
        <v>-1696.5224037451035</v>
      </c>
      <c r="AL17" s="706">
        <v>-1617.225566064775</v>
      </c>
      <c r="AM17" s="706">
        <v>-111.7798796216681</v>
      </c>
      <c r="AN17" s="706">
        <v>24.983280787236072</v>
      </c>
      <c r="AO17" s="706">
        <v>5.0157638291774145</v>
      </c>
      <c r="AP17" s="706">
        <v>348.38062482086553</v>
      </c>
      <c r="AQ17" s="706">
        <v>249.95223082067449</v>
      </c>
      <c r="AR17" s="706"/>
      <c r="AS17" s="706">
        <v>5.7323015190599023</v>
      </c>
      <c r="AT17" s="704">
        <v>5735.5020540747109</v>
      </c>
      <c r="AU17" s="706">
        <v>5735.5020540747109</v>
      </c>
      <c r="AV17" s="706">
        <v>0</v>
      </c>
      <c r="AW17" s="706">
        <v>0</v>
      </c>
      <c r="AX17" s="706">
        <v>0</v>
      </c>
      <c r="AY17" s="706">
        <v>0</v>
      </c>
      <c r="AZ17" s="704">
        <v>12596.42208846852</v>
      </c>
      <c r="BA17" s="706">
        <v>11019.250979268176</v>
      </c>
      <c r="BB17" s="706">
        <v>161.74644119614024</v>
      </c>
      <c r="BC17" s="706">
        <v>0</v>
      </c>
      <c r="BD17" s="706">
        <v>0</v>
      </c>
      <c r="BE17" s="706">
        <v>0</v>
      </c>
      <c r="BF17" s="706">
        <v>1052.8565969236647</v>
      </c>
      <c r="BG17" s="706">
        <v>0</v>
      </c>
      <c r="BH17" s="706">
        <v>26.392471577338299</v>
      </c>
      <c r="BI17" s="706">
        <v>201.87255182955957</v>
      </c>
      <c r="BJ17" s="706">
        <v>10.819719117225565</v>
      </c>
      <c r="BK17" s="706">
        <v>114.88487627782554</v>
      </c>
      <c r="BL17" s="706">
        <v>0</v>
      </c>
      <c r="BM17" s="706">
        <v>8.6223368682526029</v>
      </c>
      <c r="BN17" s="706">
        <v>0</v>
      </c>
      <c r="BO17" s="704">
        <v>204.61927964077577</v>
      </c>
      <c r="BP17" s="706">
        <v>2.6750740422279544</v>
      </c>
      <c r="BQ17" s="706">
        <v>201.9442055985478</v>
      </c>
      <c r="BR17" s="705">
        <v>0</v>
      </c>
      <c r="BS17" s="705">
        <v>0</v>
      </c>
      <c r="BT17" s="704">
        <v>-430.44807490207319</v>
      </c>
    </row>
    <row r="18" spans="1:72">
      <c r="A18" s="709" t="s">
        <v>1266</v>
      </c>
      <c r="B18" s="709"/>
      <c r="C18" s="709"/>
      <c r="D18" s="709"/>
      <c r="E18" s="709"/>
      <c r="F18" s="708" t="s">
        <v>1265</v>
      </c>
      <c r="G18" s="708"/>
      <c r="H18" s="707">
        <v>17759.219451609821</v>
      </c>
      <c r="I18" s="704">
        <v>98.977739562434309</v>
      </c>
      <c r="J18" s="706">
        <v>0</v>
      </c>
      <c r="K18" s="706">
        <v>0</v>
      </c>
      <c r="L18" s="706">
        <v>16.766981943250215</v>
      </c>
      <c r="M18" s="706">
        <v>0</v>
      </c>
      <c r="N18" s="706">
        <v>0</v>
      </c>
      <c r="O18" s="706">
        <v>0</v>
      </c>
      <c r="P18" s="706">
        <v>82.210757619184093</v>
      </c>
      <c r="Q18" s="706">
        <v>0</v>
      </c>
      <c r="R18" s="706">
        <v>0</v>
      </c>
      <c r="S18" s="706">
        <v>0</v>
      </c>
      <c r="T18" s="706">
        <v>0</v>
      </c>
      <c r="U18" s="706">
        <v>0</v>
      </c>
      <c r="V18" s="706">
        <v>0</v>
      </c>
      <c r="W18" s="704">
        <v>16564.966083882679</v>
      </c>
      <c r="X18" s="706">
        <v>14623.005636763161</v>
      </c>
      <c r="Y18" s="706"/>
      <c r="Z18" s="706">
        <v>1839.7821725422757</v>
      </c>
      <c r="AA18" s="706">
        <v>79.105760963026654</v>
      </c>
      <c r="AB18" s="706"/>
      <c r="AC18" s="706"/>
      <c r="AD18" s="706"/>
      <c r="AE18" s="706">
        <v>6.6160313365816368</v>
      </c>
      <c r="AF18" s="706"/>
      <c r="AG18" s="706"/>
      <c r="AH18" s="706"/>
      <c r="AI18" s="706"/>
      <c r="AJ18" s="706"/>
      <c r="AK18" s="706"/>
      <c r="AL18" s="706">
        <v>16.480366867297221</v>
      </c>
      <c r="AM18" s="706">
        <v>0</v>
      </c>
      <c r="AN18" s="706"/>
      <c r="AO18" s="706"/>
      <c r="AP18" s="706"/>
      <c r="AQ18" s="706"/>
      <c r="AR18" s="706"/>
      <c r="AS18" s="706"/>
      <c r="AT18" s="704">
        <v>384.49412439094294</v>
      </c>
      <c r="AU18" s="706">
        <v>372.0980223559759</v>
      </c>
      <c r="AV18" s="706">
        <v>0</v>
      </c>
      <c r="AW18" s="706">
        <v>12.396102034967038</v>
      </c>
      <c r="AX18" s="706">
        <v>0</v>
      </c>
      <c r="AY18" s="706">
        <v>0</v>
      </c>
      <c r="AZ18" s="704">
        <v>354.80557944014521</v>
      </c>
      <c r="BA18" s="706"/>
      <c r="BB18" s="706"/>
      <c r="BC18" s="706"/>
      <c r="BD18" s="706">
        <v>0</v>
      </c>
      <c r="BE18" s="706"/>
      <c r="BF18" s="706">
        <v>155.58421706315085</v>
      </c>
      <c r="BG18" s="706">
        <v>0</v>
      </c>
      <c r="BH18" s="706">
        <v>4.3231107289576762</v>
      </c>
      <c r="BI18" s="706">
        <v>188.73602751504728</v>
      </c>
      <c r="BJ18" s="706">
        <v>0</v>
      </c>
      <c r="BK18" s="706">
        <v>0</v>
      </c>
      <c r="BL18" s="706">
        <v>0</v>
      </c>
      <c r="BM18" s="706">
        <v>6.1622241329893948</v>
      </c>
      <c r="BN18" s="706">
        <v>0</v>
      </c>
      <c r="BO18" s="704">
        <v>191.48275532626349</v>
      </c>
      <c r="BP18" s="706">
        <v>2.6750740422279544</v>
      </c>
      <c r="BQ18" s="706">
        <v>188.80768128403554</v>
      </c>
      <c r="BR18" s="705">
        <v>0</v>
      </c>
      <c r="BS18" s="705">
        <v>78.484761631795166</v>
      </c>
      <c r="BT18" s="704">
        <v>85.984522785898534</v>
      </c>
    </row>
    <row r="19" spans="1:72">
      <c r="A19" s="688" t="s">
        <v>968</v>
      </c>
      <c r="B19" s="687" t="s">
        <v>1222</v>
      </c>
      <c r="C19" s="687"/>
      <c r="D19" s="687"/>
      <c r="E19" s="687"/>
      <c r="F19" s="686" t="s">
        <v>1264</v>
      </c>
      <c r="G19" s="686"/>
      <c r="H19" s="685">
        <v>779.76019871978599</v>
      </c>
      <c r="I19" s="682">
        <v>16.766981943250215</v>
      </c>
      <c r="J19" s="684">
        <v>0</v>
      </c>
      <c r="K19" s="684">
        <v>0</v>
      </c>
      <c r="L19" s="684">
        <v>16.766981943250215</v>
      </c>
      <c r="M19" s="684">
        <v>0</v>
      </c>
      <c r="N19" s="684">
        <v>0</v>
      </c>
      <c r="O19" s="684">
        <v>0</v>
      </c>
      <c r="P19" s="684">
        <v>0</v>
      </c>
      <c r="Q19" s="684">
        <v>0</v>
      </c>
      <c r="R19" s="684">
        <v>0</v>
      </c>
      <c r="S19" s="684">
        <v>0</v>
      </c>
      <c r="T19" s="684">
        <v>0</v>
      </c>
      <c r="U19" s="684">
        <v>0</v>
      </c>
      <c r="V19" s="684">
        <v>0</v>
      </c>
      <c r="W19" s="682">
        <v>3.0811120664946974</v>
      </c>
      <c r="X19" s="684"/>
      <c r="Y19" s="684"/>
      <c r="Z19" s="684"/>
      <c r="AA19" s="684"/>
      <c r="AB19" s="684"/>
      <c r="AC19" s="684"/>
      <c r="AD19" s="684"/>
      <c r="AE19" s="684"/>
      <c r="AF19" s="684"/>
      <c r="AG19" s="684"/>
      <c r="AH19" s="684"/>
      <c r="AI19" s="684"/>
      <c r="AJ19" s="684"/>
      <c r="AK19" s="684"/>
      <c r="AL19" s="684">
        <v>3.0811120664946974</v>
      </c>
      <c r="AM19" s="684">
        <v>0</v>
      </c>
      <c r="AN19" s="684"/>
      <c r="AO19" s="684"/>
      <c r="AP19" s="684"/>
      <c r="AQ19" s="684"/>
      <c r="AR19" s="684"/>
      <c r="AS19" s="684"/>
      <c r="AT19" s="682">
        <v>371.5725613833954</v>
      </c>
      <c r="AU19" s="684">
        <v>359.46307442438138</v>
      </c>
      <c r="AV19" s="684">
        <v>0</v>
      </c>
      <c r="AW19" s="684">
        <v>12.109486959014044</v>
      </c>
      <c r="AX19" s="684">
        <v>0</v>
      </c>
      <c r="AY19" s="684">
        <v>0</v>
      </c>
      <c r="AZ19" s="682">
        <v>168.02808827744337</v>
      </c>
      <c r="BA19" s="684"/>
      <c r="BB19" s="684"/>
      <c r="BC19" s="684"/>
      <c r="BD19" s="684">
        <v>0</v>
      </c>
      <c r="BE19" s="684"/>
      <c r="BF19" s="684">
        <v>26.750740422279545</v>
      </c>
      <c r="BG19" s="684"/>
      <c r="BH19" s="684">
        <v>2.2212668386357119</v>
      </c>
      <c r="BI19" s="684">
        <v>139.05608101652814</v>
      </c>
      <c r="BJ19" s="684">
        <v>0</v>
      </c>
      <c r="BK19" s="684">
        <v>0</v>
      </c>
      <c r="BL19" s="684">
        <v>0</v>
      </c>
      <c r="BM19" s="684">
        <v>0</v>
      </c>
      <c r="BN19" s="684">
        <v>0</v>
      </c>
      <c r="BO19" s="682">
        <v>141.80280882774434</v>
      </c>
      <c r="BP19" s="684">
        <v>2.6750740422279544</v>
      </c>
      <c r="BQ19" s="684">
        <v>139.12773478551637</v>
      </c>
      <c r="BR19" s="683"/>
      <c r="BS19" s="683">
        <v>78.484761631795166</v>
      </c>
      <c r="BT19" s="682"/>
    </row>
    <row r="20" spans="1:72">
      <c r="A20" s="681"/>
      <c r="B20" s="680" t="s">
        <v>968</v>
      </c>
      <c r="C20" s="679" t="s">
        <v>1220</v>
      </c>
      <c r="D20" s="679"/>
      <c r="E20" s="679"/>
      <c r="F20" s="678" t="s">
        <v>1263</v>
      </c>
      <c r="G20" s="678"/>
      <c r="H20" s="677">
        <v>309.30543613260721</v>
      </c>
      <c r="I20" s="674">
        <v>16.766981943250215</v>
      </c>
      <c r="J20" s="676">
        <v>0</v>
      </c>
      <c r="K20" s="676">
        <v>0</v>
      </c>
      <c r="L20" s="676">
        <v>16.766981943250215</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12.109486959014044</v>
      </c>
      <c r="AU20" s="676">
        <v>0</v>
      </c>
      <c r="AV20" s="676">
        <v>0</v>
      </c>
      <c r="AW20" s="676">
        <v>12.109486959014044</v>
      </c>
      <c r="AX20" s="676">
        <v>0</v>
      </c>
      <c r="AY20" s="676">
        <v>0</v>
      </c>
      <c r="AZ20" s="674">
        <v>141.27734785516384</v>
      </c>
      <c r="BA20" s="676"/>
      <c r="BB20" s="676"/>
      <c r="BC20" s="676"/>
      <c r="BD20" s="676">
        <v>0</v>
      </c>
      <c r="BE20" s="676"/>
      <c r="BF20" s="676">
        <v>0</v>
      </c>
      <c r="BG20" s="676"/>
      <c r="BH20" s="676">
        <v>2.2212668386357119</v>
      </c>
      <c r="BI20" s="676">
        <v>139.05608101652814</v>
      </c>
      <c r="BJ20" s="676">
        <v>0</v>
      </c>
      <c r="BK20" s="676">
        <v>0</v>
      </c>
      <c r="BL20" s="676">
        <v>0</v>
      </c>
      <c r="BM20" s="676">
        <v>0</v>
      </c>
      <c r="BN20" s="676">
        <v>0</v>
      </c>
      <c r="BO20" s="674">
        <v>139.12773478551637</v>
      </c>
      <c r="BP20" s="676">
        <v>0</v>
      </c>
      <c r="BQ20" s="676">
        <v>139.12773478551637</v>
      </c>
      <c r="BR20" s="675"/>
      <c r="BS20" s="675"/>
      <c r="BT20" s="674"/>
    </row>
    <row r="21" spans="1:72">
      <c r="A21" s="681"/>
      <c r="B21" s="680"/>
      <c r="C21" s="680" t="s">
        <v>968</v>
      </c>
      <c r="D21" s="679" t="s">
        <v>1262</v>
      </c>
      <c r="E21" s="679"/>
      <c r="F21" s="678" t="s">
        <v>1261</v>
      </c>
      <c r="G21" s="678"/>
      <c r="H21" s="677">
        <v>13.924715773383012</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12.109486959014044</v>
      </c>
      <c r="AU21" s="676">
        <v>0</v>
      </c>
      <c r="AV21" s="676">
        <v>0</v>
      </c>
      <c r="AW21" s="676">
        <v>12.109486959014044</v>
      </c>
      <c r="AX21" s="676">
        <v>0</v>
      </c>
      <c r="AY21" s="676">
        <v>0</v>
      </c>
      <c r="AZ21" s="674">
        <v>1.815228814368969</v>
      </c>
      <c r="BA21" s="676"/>
      <c r="BB21" s="676"/>
      <c r="BC21" s="676"/>
      <c r="BD21" s="676">
        <v>0</v>
      </c>
      <c r="BE21" s="676"/>
      <c r="BF21" s="676">
        <v>0</v>
      </c>
      <c r="BG21" s="676"/>
      <c r="BH21" s="676">
        <v>1.815228814368969</v>
      </c>
      <c r="BI21" s="676">
        <v>0</v>
      </c>
      <c r="BJ21" s="676">
        <v>0</v>
      </c>
      <c r="BK21" s="676">
        <v>0</v>
      </c>
      <c r="BL21" s="676">
        <v>0</v>
      </c>
      <c r="BM21" s="676">
        <v>0</v>
      </c>
      <c r="BN21" s="676">
        <v>0</v>
      </c>
      <c r="BO21" s="674">
        <v>0</v>
      </c>
      <c r="BP21" s="676">
        <v>0</v>
      </c>
      <c r="BQ21" s="676">
        <v>0</v>
      </c>
      <c r="BR21" s="675"/>
      <c r="BS21" s="675"/>
      <c r="BT21" s="674"/>
    </row>
    <row r="22" spans="1:72">
      <c r="A22" s="681"/>
      <c r="B22" s="680"/>
      <c r="C22" s="680" t="s">
        <v>968</v>
      </c>
      <c r="D22" s="679" t="s">
        <v>1260</v>
      </c>
      <c r="E22" s="679"/>
      <c r="F22" s="678" t="s">
        <v>1259</v>
      </c>
      <c r="G22" s="678"/>
      <c r="H22" s="677">
        <v>295.35683576956148</v>
      </c>
      <c r="I22" s="674">
        <v>16.766981943250215</v>
      </c>
      <c r="J22" s="676">
        <v>0</v>
      </c>
      <c r="K22" s="676">
        <v>0</v>
      </c>
      <c r="L22" s="676">
        <v>16.766981943250215</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139.46211904079487</v>
      </c>
      <c r="BA22" s="676"/>
      <c r="BB22" s="676"/>
      <c r="BC22" s="676"/>
      <c r="BD22" s="676">
        <v>0</v>
      </c>
      <c r="BE22" s="676"/>
      <c r="BF22" s="676">
        <v>0</v>
      </c>
      <c r="BG22" s="676"/>
      <c r="BH22" s="676">
        <v>0.40603802426674307</v>
      </c>
      <c r="BI22" s="676">
        <v>139.05608101652814</v>
      </c>
      <c r="BJ22" s="676">
        <v>0</v>
      </c>
      <c r="BK22" s="676">
        <v>0</v>
      </c>
      <c r="BL22" s="676">
        <v>0</v>
      </c>
      <c r="BM22" s="676">
        <v>0</v>
      </c>
      <c r="BN22" s="676">
        <v>0</v>
      </c>
      <c r="BO22" s="674">
        <v>139.12773478551637</v>
      </c>
      <c r="BP22" s="676">
        <v>0</v>
      </c>
      <c r="BQ22" s="676">
        <v>139.12773478551637</v>
      </c>
      <c r="BR22" s="675"/>
      <c r="BS22" s="675"/>
      <c r="BT22" s="674"/>
    </row>
    <row r="23" spans="1:72">
      <c r="A23" s="681"/>
      <c r="B23" s="680" t="s">
        <v>968</v>
      </c>
      <c r="C23" s="679" t="s">
        <v>1190</v>
      </c>
      <c r="D23" s="679"/>
      <c r="E23" s="679"/>
      <c r="F23" s="678" t="s">
        <v>1258</v>
      </c>
      <c r="G23" s="678"/>
      <c r="H23" s="677">
        <v>391.97000095538357</v>
      </c>
      <c r="I23" s="674">
        <v>0</v>
      </c>
      <c r="J23" s="676">
        <v>0</v>
      </c>
      <c r="K23" s="676">
        <v>0</v>
      </c>
      <c r="L23" s="676">
        <v>0</v>
      </c>
      <c r="M23" s="676">
        <v>0</v>
      </c>
      <c r="N23" s="676">
        <v>0</v>
      </c>
      <c r="O23" s="676">
        <v>0</v>
      </c>
      <c r="P23" s="676">
        <v>0</v>
      </c>
      <c r="Q23" s="676">
        <v>0</v>
      </c>
      <c r="R23" s="676">
        <v>0</v>
      </c>
      <c r="S23" s="676">
        <v>0</v>
      </c>
      <c r="T23" s="676">
        <v>0</v>
      </c>
      <c r="U23" s="676">
        <v>0</v>
      </c>
      <c r="V23" s="676">
        <v>0</v>
      </c>
      <c r="W23" s="674">
        <v>3.0811120664946974</v>
      </c>
      <c r="X23" s="676"/>
      <c r="Y23" s="676"/>
      <c r="Z23" s="676"/>
      <c r="AA23" s="676"/>
      <c r="AB23" s="676"/>
      <c r="AC23" s="676"/>
      <c r="AD23" s="676"/>
      <c r="AE23" s="676"/>
      <c r="AF23" s="676"/>
      <c r="AG23" s="676"/>
      <c r="AH23" s="676"/>
      <c r="AI23" s="676"/>
      <c r="AJ23" s="676"/>
      <c r="AK23" s="676"/>
      <c r="AL23" s="676">
        <v>3.0811120664946974</v>
      </c>
      <c r="AM23" s="676">
        <v>0</v>
      </c>
      <c r="AN23" s="676"/>
      <c r="AO23" s="676"/>
      <c r="AP23" s="676"/>
      <c r="AQ23" s="676"/>
      <c r="AR23" s="676"/>
      <c r="AS23" s="676"/>
      <c r="AT23" s="674">
        <v>359.46307442438138</v>
      </c>
      <c r="AU23" s="676">
        <v>359.46307442438138</v>
      </c>
      <c r="AV23" s="676">
        <v>0</v>
      </c>
      <c r="AW23" s="676">
        <v>0</v>
      </c>
      <c r="AX23" s="676">
        <v>0</v>
      </c>
      <c r="AY23" s="676">
        <v>0</v>
      </c>
      <c r="AZ23" s="674">
        <v>26.750740422279545</v>
      </c>
      <c r="BA23" s="676"/>
      <c r="BB23" s="676"/>
      <c r="BC23" s="676"/>
      <c r="BD23" s="676">
        <v>0</v>
      </c>
      <c r="BE23" s="676"/>
      <c r="BF23" s="676">
        <v>26.750740422279545</v>
      </c>
      <c r="BG23" s="676"/>
      <c r="BH23" s="676">
        <v>0</v>
      </c>
      <c r="BI23" s="676">
        <v>0</v>
      </c>
      <c r="BJ23" s="676">
        <v>0</v>
      </c>
      <c r="BK23" s="676">
        <v>0</v>
      </c>
      <c r="BL23" s="676">
        <v>0</v>
      </c>
      <c r="BM23" s="676">
        <v>0</v>
      </c>
      <c r="BN23" s="676">
        <v>0</v>
      </c>
      <c r="BO23" s="674">
        <v>2.6750740422279544</v>
      </c>
      <c r="BP23" s="676">
        <v>2.6750740422279544</v>
      </c>
      <c r="BQ23" s="676">
        <v>0</v>
      </c>
      <c r="BR23" s="675"/>
      <c r="BS23" s="675"/>
      <c r="BT23" s="674"/>
    </row>
    <row r="24" spans="1:72">
      <c r="A24" s="681"/>
      <c r="B24" s="680"/>
      <c r="C24" s="680" t="s">
        <v>968</v>
      </c>
      <c r="D24" s="679" t="s">
        <v>1257</v>
      </c>
      <c r="E24" s="679"/>
      <c r="F24" s="678" t="s">
        <v>1256</v>
      </c>
      <c r="G24" s="678"/>
      <c r="H24" s="677">
        <v>391.97000095538357</v>
      </c>
      <c r="I24" s="674">
        <v>0</v>
      </c>
      <c r="J24" s="676">
        <v>0</v>
      </c>
      <c r="K24" s="676">
        <v>0</v>
      </c>
      <c r="L24" s="676">
        <v>0</v>
      </c>
      <c r="M24" s="676">
        <v>0</v>
      </c>
      <c r="N24" s="676">
        <v>0</v>
      </c>
      <c r="O24" s="676">
        <v>0</v>
      </c>
      <c r="P24" s="676">
        <v>0</v>
      </c>
      <c r="Q24" s="676">
        <v>0</v>
      </c>
      <c r="R24" s="676">
        <v>0</v>
      </c>
      <c r="S24" s="676">
        <v>0</v>
      </c>
      <c r="T24" s="676">
        <v>0</v>
      </c>
      <c r="U24" s="676">
        <v>0</v>
      </c>
      <c r="V24" s="676">
        <v>0</v>
      </c>
      <c r="W24" s="674">
        <v>3.0811120664946974</v>
      </c>
      <c r="X24" s="676"/>
      <c r="Y24" s="676"/>
      <c r="Z24" s="676"/>
      <c r="AA24" s="676"/>
      <c r="AB24" s="676"/>
      <c r="AC24" s="676"/>
      <c r="AD24" s="676"/>
      <c r="AE24" s="676"/>
      <c r="AF24" s="676"/>
      <c r="AG24" s="676"/>
      <c r="AH24" s="676"/>
      <c r="AI24" s="676"/>
      <c r="AJ24" s="676"/>
      <c r="AK24" s="676"/>
      <c r="AL24" s="676">
        <v>3.0811120664946974</v>
      </c>
      <c r="AM24" s="676">
        <v>0</v>
      </c>
      <c r="AN24" s="676"/>
      <c r="AO24" s="676"/>
      <c r="AP24" s="676"/>
      <c r="AQ24" s="676"/>
      <c r="AR24" s="676"/>
      <c r="AS24" s="676"/>
      <c r="AT24" s="674">
        <v>359.46307442438138</v>
      </c>
      <c r="AU24" s="676">
        <v>359.46307442438138</v>
      </c>
      <c r="AV24" s="676">
        <v>0</v>
      </c>
      <c r="AW24" s="676">
        <v>0</v>
      </c>
      <c r="AX24" s="676">
        <v>0</v>
      </c>
      <c r="AY24" s="676">
        <v>0</v>
      </c>
      <c r="AZ24" s="674">
        <v>26.750740422279545</v>
      </c>
      <c r="BA24" s="676"/>
      <c r="BB24" s="676"/>
      <c r="BC24" s="676"/>
      <c r="BD24" s="676">
        <v>0</v>
      </c>
      <c r="BE24" s="676"/>
      <c r="BF24" s="676">
        <v>26.750740422279545</v>
      </c>
      <c r="BG24" s="676"/>
      <c r="BH24" s="676">
        <v>0</v>
      </c>
      <c r="BI24" s="676">
        <v>0</v>
      </c>
      <c r="BJ24" s="676">
        <v>0</v>
      </c>
      <c r="BK24" s="676">
        <v>0</v>
      </c>
      <c r="BL24" s="676">
        <v>0</v>
      </c>
      <c r="BM24" s="676">
        <v>0</v>
      </c>
      <c r="BN24" s="676">
        <v>0</v>
      </c>
      <c r="BO24" s="674">
        <v>2.6750740422279544</v>
      </c>
      <c r="BP24" s="676">
        <v>2.6750740422279544</v>
      </c>
      <c r="BQ24" s="676">
        <v>0</v>
      </c>
      <c r="BR24" s="675"/>
      <c r="BS24" s="675"/>
      <c r="BT24" s="674"/>
    </row>
    <row r="25" spans="1:72">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c r="A26" s="681"/>
      <c r="B26" s="680" t="s">
        <v>968</v>
      </c>
      <c r="C26" s="679" t="s">
        <v>1253</v>
      </c>
      <c r="D26" s="679"/>
      <c r="E26" s="679"/>
      <c r="F26" s="678" t="s">
        <v>1252</v>
      </c>
      <c r="G26" s="678"/>
      <c r="H26" s="677">
        <v>78.484761631795166</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78.484761631795166</v>
      </c>
      <c r="BT26" s="674"/>
    </row>
    <row r="27" spans="1:72">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c r="A29" s="680" t="s">
        <v>968</v>
      </c>
      <c r="B29" s="679" t="s">
        <v>1138</v>
      </c>
      <c r="C29" s="679"/>
      <c r="D29" s="679"/>
      <c r="E29" s="679"/>
      <c r="F29" s="678" t="s">
        <v>1248</v>
      </c>
      <c r="G29" s="678"/>
      <c r="H29" s="677">
        <v>82.210757619184093</v>
      </c>
      <c r="I29" s="674">
        <v>82.210757619184093</v>
      </c>
      <c r="J29" s="676"/>
      <c r="K29" s="676"/>
      <c r="L29" s="676"/>
      <c r="M29" s="676"/>
      <c r="N29" s="676"/>
      <c r="O29" s="676"/>
      <c r="P29" s="676">
        <v>82.210757619184093</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c r="A31" s="680" t="s">
        <v>968</v>
      </c>
      <c r="B31" s="679" t="s">
        <v>287</v>
      </c>
      <c r="C31" s="679"/>
      <c r="D31" s="679"/>
      <c r="E31" s="679"/>
      <c r="F31" s="678" t="s">
        <v>1246</v>
      </c>
      <c r="G31" s="678"/>
      <c r="H31" s="677">
        <v>16541.893570268461</v>
      </c>
      <c r="I31" s="674"/>
      <c r="J31" s="676"/>
      <c r="K31" s="676"/>
      <c r="L31" s="676"/>
      <c r="M31" s="676"/>
      <c r="N31" s="676"/>
      <c r="O31" s="676"/>
      <c r="P31" s="676"/>
      <c r="Q31" s="676"/>
      <c r="R31" s="676"/>
      <c r="S31" s="676"/>
      <c r="T31" s="676"/>
      <c r="U31" s="676"/>
      <c r="V31" s="676"/>
      <c r="W31" s="674">
        <v>16541.893570268461</v>
      </c>
      <c r="X31" s="676">
        <v>14623.005636763161</v>
      </c>
      <c r="Y31" s="676"/>
      <c r="Z31" s="676">
        <v>1839.7821725422757</v>
      </c>
      <c r="AA31" s="676">
        <v>79.105760963026654</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c r="A32" s="680" t="s">
        <v>968</v>
      </c>
      <c r="B32" s="679" t="s">
        <v>1245</v>
      </c>
      <c r="C32" s="679"/>
      <c r="D32" s="679"/>
      <c r="E32" s="679"/>
      <c r="F32" s="678" t="s">
        <v>1244</v>
      </c>
      <c r="G32" s="678"/>
      <c r="H32" s="677">
        <v>355.35492500238843</v>
      </c>
      <c r="I32" s="674">
        <v>0</v>
      </c>
      <c r="J32" s="676">
        <v>0</v>
      </c>
      <c r="K32" s="676">
        <v>0</v>
      </c>
      <c r="L32" s="676">
        <v>0</v>
      </c>
      <c r="M32" s="676">
        <v>0</v>
      </c>
      <c r="N32" s="676">
        <v>0</v>
      </c>
      <c r="O32" s="676">
        <v>0</v>
      </c>
      <c r="P32" s="676">
        <v>0</v>
      </c>
      <c r="Q32" s="676">
        <v>0</v>
      </c>
      <c r="R32" s="676">
        <v>0</v>
      </c>
      <c r="S32" s="676">
        <v>0</v>
      </c>
      <c r="T32" s="676">
        <v>0</v>
      </c>
      <c r="U32" s="676">
        <v>0</v>
      </c>
      <c r="V32" s="676">
        <v>0</v>
      </c>
      <c r="W32" s="674">
        <v>19.991401547721409</v>
      </c>
      <c r="X32" s="676"/>
      <c r="Y32" s="676"/>
      <c r="Z32" s="676"/>
      <c r="AA32" s="676"/>
      <c r="AB32" s="676"/>
      <c r="AC32" s="676"/>
      <c r="AD32" s="676"/>
      <c r="AE32" s="676">
        <v>6.6160313365816368</v>
      </c>
      <c r="AF32" s="676"/>
      <c r="AG32" s="676"/>
      <c r="AH32" s="676"/>
      <c r="AI32" s="676"/>
      <c r="AJ32" s="676"/>
      <c r="AK32" s="676"/>
      <c r="AL32" s="676">
        <v>13.375370211139773</v>
      </c>
      <c r="AM32" s="676">
        <v>0</v>
      </c>
      <c r="AN32" s="676"/>
      <c r="AO32" s="676"/>
      <c r="AP32" s="676"/>
      <c r="AQ32" s="676"/>
      <c r="AR32" s="676"/>
      <c r="AS32" s="676"/>
      <c r="AT32" s="674">
        <v>12.92156300754753</v>
      </c>
      <c r="AU32" s="676">
        <v>12.634947931594535</v>
      </c>
      <c r="AV32" s="676">
        <v>0</v>
      </c>
      <c r="AW32" s="676">
        <v>0.28661507595299512</v>
      </c>
      <c r="AX32" s="676">
        <v>0</v>
      </c>
      <c r="AY32" s="676">
        <v>0</v>
      </c>
      <c r="AZ32" s="674">
        <v>186.77749116270181</v>
      </c>
      <c r="BA32" s="676"/>
      <c r="BB32" s="676"/>
      <c r="BC32" s="676"/>
      <c r="BD32" s="676">
        <v>0</v>
      </c>
      <c r="BE32" s="676"/>
      <c r="BF32" s="676">
        <v>128.83347664087131</v>
      </c>
      <c r="BG32" s="676"/>
      <c r="BH32" s="676">
        <v>2.1018438903219643</v>
      </c>
      <c r="BI32" s="676">
        <v>49.679946498519151</v>
      </c>
      <c r="BJ32" s="676">
        <v>0</v>
      </c>
      <c r="BK32" s="676">
        <v>0</v>
      </c>
      <c r="BL32" s="676">
        <v>0</v>
      </c>
      <c r="BM32" s="676">
        <v>6.1622241329893948</v>
      </c>
      <c r="BN32" s="676">
        <v>0</v>
      </c>
      <c r="BO32" s="674">
        <v>49.679946498519151</v>
      </c>
      <c r="BP32" s="676">
        <v>0</v>
      </c>
      <c r="BQ32" s="676">
        <v>49.679946498519151</v>
      </c>
      <c r="BR32" s="675"/>
      <c r="BS32" s="675"/>
      <c r="BT32" s="674">
        <v>85.984522785898534</v>
      </c>
    </row>
    <row r="33" spans="1:72">
      <c r="A33" s="681"/>
      <c r="B33" s="680" t="s">
        <v>968</v>
      </c>
      <c r="C33" s="679" t="s">
        <v>1243</v>
      </c>
      <c r="D33" s="679"/>
      <c r="E33" s="679"/>
      <c r="F33" s="678" t="s">
        <v>1242</v>
      </c>
      <c r="G33" s="678"/>
      <c r="H33" s="677">
        <v>269.37040221648988</v>
      </c>
      <c r="I33" s="674">
        <v>0</v>
      </c>
      <c r="J33" s="676">
        <v>0</v>
      </c>
      <c r="K33" s="676">
        <v>0</v>
      </c>
      <c r="L33" s="676">
        <v>0</v>
      </c>
      <c r="M33" s="676">
        <v>0</v>
      </c>
      <c r="N33" s="676">
        <v>0</v>
      </c>
      <c r="O33" s="676">
        <v>0</v>
      </c>
      <c r="P33" s="676">
        <v>0</v>
      </c>
      <c r="Q33" s="676">
        <v>0</v>
      </c>
      <c r="R33" s="676">
        <v>0</v>
      </c>
      <c r="S33" s="676">
        <v>0</v>
      </c>
      <c r="T33" s="676">
        <v>0</v>
      </c>
      <c r="U33" s="676">
        <v>0</v>
      </c>
      <c r="V33" s="676">
        <v>0</v>
      </c>
      <c r="W33" s="674">
        <v>19.991401547721409</v>
      </c>
      <c r="X33" s="676"/>
      <c r="Y33" s="676"/>
      <c r="Z33" s="676"/>
      <c r="AA33" s="676"/>
      <c r="AB33" s="676"/>
      <c r="AC33" s="676"/>
      <c r="AD33" s="676"/>
      <c r="AE33" s="676">
        <v>6.6160313365816368</v>
      </c>
      <c r="AF33" s="676"/>
      <c r="AG33" s="676"/>
      <c r="AH33" s="676"/>
      <c r="AI33" s="676"/>
      <c r="AJ33" s="676"/>
      <c r="AK33" s="676"/>
      <c r="AL33" s="676">
        <v>13.375370211139773</v>
      </c>
      <c r="AM33" s="676">
        <v>0</v>
      </c>
      <c r="AN33" s="676"/>
      <c r="AO33" s="676"/>
      <c r="AP33" s="676"/>
      <c r="AQ33" s="676"/>
      <c r="AR33" s="676"/>
      <c r="AS33" s="676"/>
      <c r="AT33" s="674">
        <v>12.92156300754753</v>
      </c>
      <c r="AU33" s="676">
        <v>12.634947931594535</v>
      </c>
      <c r="AV33" s="676">
        <v>0</v>
      </c>
      <c r="AW33" s="676">
        <v>0.28661507595299512</v>
      </c>
      <c r="AX33" s="676">
        <v>0</v>
      </c>
      <c r="AY33" s="676">
        <v>0</v>
      </c>
      <c r="AZ33" s="674">
        <v>186.77749116270181</v>
      </c>
      <c r="BA33" s="676"/>
      <c r="BB33" s="676"/>
      <c r="BC33" s="676"/>
      <c r="BD33" s="676">
        <v>0</v>
      </c>
      <c r="BE33" s="676"/>
      <c r="BF33" s="676">
        <v>128.83347664087131</v>
      </c>
      <c r="BG33" s="676"/>
      <c r="BH33" s="676">
        <v>2.1018438903219643</v>
      </c>
      <c r="BI33" s="676">
        <v>49.679946498519151</v>
      </c>
      <c r="BJ33" s="676">
        <v>0</v>
      </c>
      <c r="BK33" s="676">
        <v>0</v>
      </c>
      <c r="BL33" s="676">
        <v>0</v>
      </c>
      <c r="BM33" s="676">
        <v>6.1622241329893948</v>
      </c>
      <c r="BN33" s="676">
        <v>0</v>
      </c>
      <c r="BO33" s="674">
        <v>49.679946498519151</v>
      </c>
      <c r="BP33" s="676">
        <v>0</v>
      </c>
      <c r="BQ33" s="676">
        <v>49.679946498519151</v>
      </c>
      <c r="BR33" s="675"/>
      <c r="BS33" s="675"/>
      <c r="BT33" s="674"/>
    </row>
    <row r="34" spans="1:72">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c r="A35" s="681"/>
      <c r="B35" s="680" t="s">
        <v>968</v>
      </c>
      <c r="C35" s="679" t="s">
        <v>1239</v>
      </c>
      <c r="D35" s="679"/>
      <c r="E35" s="679"/>
      <c r="F35" s="678" t="s">
        <v>1238</v>
      </c>
      <c r="G35" s="678"/>
      <c r="H35" s="677">
        <v>20.039170727046908</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20.039170727046908</v>
      </c>
    </row>
    <row r="36" spans="1:72">
      <c r="A36" s="681"/>
      <c r="B36" s="680" t="s">
        <v>968</v>
      </c>
      <c r="C36" s="679" t="s">
        <v>1237</v>
      </c>
      <c r="D36" s="679"/>
      <c r="E36" s="679"/>
      <c r="F36" s="678" t="s">
        <v>1236</v>
      </c>
      <c r="G36" s="678"/>
      <c r="H36" s="677">
        <v>65.945352058851626</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65.945352058851626</v>
      </c>
    </row>
    <row r="37" spans="1:72">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c r="A44" s="722" t="s">
        <v>1224</v>
      </c>
      <c r="B44" s="722"/>
      <c r="C44" s="722"/>
      <c r="D44" s="722"/>
      <c r="E44" s="722"/>
      <c r="F44" s="721" t="s">
        <v>1223</v>
      </c>
      <c r="G44" s="721"/>
      <c r="H44" s="720">
        <v>17513.2081780835</v>
      </c>
      <c r="I44" s="717">
        <v>0</v>
      </c>
      <c r="J44" s="719"/>
      <c r="K44" s="719"/>
      <c r="L44" s="719"/>
      <c r="M44" s="719"/>
      <c r="N44" s="719"/>
      <c r="O44" s="719">
        <v>0</v>
      </c>
      <c r="P44" s="719">
        <v>0</v>
      </c>
      <c r="Q44" s="719">
        <v>0</v>
      </c>
      <c r="R44" s="719">
        <v>0</v>
      </c>
      <c r="S44" s="719">
        <v>0</v>
      </c>
      <c r="T44" s="719"/>
      <c r="U44" s="719">
        <v>0</v>
      </c>
      <c r="V44" s="719"/>
      <c r="W44" s="717">
        <v>16525.389318811503</v>
      </c>
      <c r="X44" s="719"/>
      <c r="Y44" s="719"/>
      <c r="Z44" s="719"/>
      <c r="AA44" s="719"/>
      <c r="AB44" s="719"/>
      <c r="AC44" s="719">
        <v>508.43126015095061</v>
      </c>
      <c r="AD44" s="719"/>
      <c r="AE44" s="719">
        <v>526.32081780835006</v>
      </c>
      <c r="AF44" s="719">
        <v>4043.1355689309257</v>
      </c>
      <c r="AG44" s="719"/>
      <c r="AH44" s="719"/>
      <c r="AI44" s="719">
        <v>615.60141396770803</v>
      </c>
      <c r="AJ44" s="719">
        <v>201.77701347090857</v>
      </c>
      <c r="AK44" s="719">
        <v>1926.1488487627782</v>
      </c>
      <c r="AL44" s="719">
        <v>6933.1709181236265</v>
      </c>
      <c r="AM44" s="719">
        <v>1593.5798222986527</v>
      </c>
      <c r="AN44" s="719"/>
      <c r="AO44" s="719"/>
      <c r="AP44" s="719"/>
      <c r="AQ44" s="719">
        <v>177.22365529760197</v>
      </c>
      <c r="AR44" s="719"/>
      <c r="AS44" s="719"/>
      <c r="AT44" s="717">
        <v>82.210757619184093</v>
      </c>
      <c r="AU44" s="719"/>
      <c r="AV44" s="719">
        <v>0</v>
      </c>
      <c r="AW44" s="719">
        <v>82.210757619184093</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613.69064679468806</v>
      </c>
      <c r="BT44" s="717">
        <v>291.9174548581255</v>
      </c>
    </row>
    <row r="45" spans="1:72">
      <c r="A45" s="688" t="s">
        <v>968</v>
      </c>
      <c r="B45" s="687" t="s">
        <v>1222</v>
      </c>
      <c r="C45" s="687"/>
      <c r="D45" s="687"/>
      <c r="E45" s="687"/>
      <c r="F45" s="686" t="s">
        <v>1221</v>
      </c>
      <c r="G45" s="686"/>
      <c r="H45" s="685">
        <v>520.77959300659211</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228.86213814846658</v>
      </c>
      <c r="BT45" s="682">
        <v>291.9174548581255</v>
      </c>
    </row>
    <row r="46" spans="1:72">
      <c r="A46" s="681"/>
      <c r="B46" s="680" t="s">
        <v>968</v>
      </c>
      <c r="C46" s="679" t="s">
        <v>1220</v>
      </c>
      <c r="D46" s="679"/>
      <c r="E46" s="679"/>
      <c r="F46" s="678" t="s">
        <v>1219</v>
      </c>
      <c r="G46" s="678"/>
      <c r="H46" s="677">
        <v>270.30190121333715</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228.86213814846658</v>
      </c>
      <c r="BT46" s="674">
        <v>41.43976306487054</v>
      </c>
    </row>
    <row r="47" spans="1:72">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c r="A48" s="681"/>
      <c r="B48" s="679"/>
      <c r="C48" s="680" t="s">
        <v>968</v>
      </c>
      <c r="D48" s="679" t="s">
        <v>1216</v>
      </c>
      <c r="E48" s="679"/>
      <c r="F48" s="678" t="s">
        <v>1215</v>
      </c>
      <c r="G48" s="678"/>
      <c r="H48" s="677">
        <v>10.485334861947072</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10.485334861947072</v>
      </c>
    </row>
    <row r="49" spans="1:72">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c r="A52" s="681"/>
      <c r="B52" s="679"/>
      <c r="C52" s="680" t="s">
        <v>968</v>
      </c>
      <c r="D52" s="679" t="s">
        <v>1208</v>
      </c>
      <c r="E52" s="679"/>
      <c r="F52" s="678" t="s">
        <v>1207</v>
      </c>
      <c r="G52" s="678"/>
      <c r="H52" s="677">
        <v>30.954428202923474</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30.954428202923474</v>
      </c>
    </row>
    <row r="53" spans="1:72">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c r="A56" s="681"/>
      <c r="B56" s="679"/>
      <c r="C56" s="680" t="s">
        <v>968</v>
      </c>
      <c r="D56" s="679" t="s">
        <v>1200</v>
      </c>
      <c r="E56" s="679"/>
      <c r="F56" s="678" t="s">
        <v>1199</v>
      </c>
      <c r="G56" s="678"/>
      <c r="H56" s="677">
        <v>227.59625489634087</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227.59625489634087</v>
      </c>
      <c r="BT56" s="674"/>
    </row>
    <row r="57" spans="1:72">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c r="A61" s="681"/>
      <c r="B61" s="680" t="s">
        <v>968</v>
      </c>
      <c r="C61" s="679" t="s">
        <v>1190</v>
      </c>
      <c r="D61" s="679"/>
      <c r="E61" s="679"/>
      <c r="F61" s="678" t="s">
        <v>1189</v>
      </c>
      <c r="G61" s="678"/>
      <c r="H61" s="677">
        <v>250.47769179325499</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250.47769179325499</v>
      </c>
    </row>
    <row r="62" spans="1:72">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c r="A63" s="681"/>
      <c r="B63" s="679"/>
      <c r="C63" s="680" t="s">
        <v>968</v>
      </c>
      <c r="D63" s="679" t="s">
        <v>1186</v>
      </c>
      <c r="E63" s="679"/>
      <c r="F63" s="678" t="s">
        <v>1185</v>
      </c>
      <c r="G63" s="678"/>
      <c r="H63" s="677">
        <v>229.57867583834908</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229.57867583834908</v>
      </c>
    </row>
    <row r="64" spans="1:72">
      <c r="A64" s="681"/>
      <c r="B64" s="679"/>
      <c r="C64" s="680" t="s">
        <v>968</v>
      </c>
      <c r="D64" s="679" t="s">
        <v>1184</v>
      </c>
      <c r="E64" s="679"/>
      <c r="F64" s="678" t="s">
        <v>1183</v>
      </c>
      <c r="G64" s="678"/>
      <c r="H64" s="677">
        <v>20.899015954905895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20.899015954905895</v>
      </c>
    </row>
    <row r="65" spans="1:72">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c r="A87" s="680" t="s">
        <v>968</v>
      </c>
      <c r="B87" s="679" t="s">
        <v>1138</v>
      </c>
      <c r="C87" s="679"/>
      <c r="D87" s="679"/>
      <c r="E87" s="679"/>
      <c r="F87" s="678" t="s">
        <v>1137</v>
      </c>
      <c r="G87" s="678"/>
      <c r="H87" s="677">
        <v>82.210757619184093</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82.210757619184093</v>
      </c>
      <c r="AU87" s="676"/>
      <c r="AV87" s="676"/>
      <c r="AW87" s="676">
        <v>82.210757619184093</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c r="A89" s="680" t="s">
        <v>968</v>
      </c>
      <c r="B89" s="679" t="s">
        <v>287</v>
      </c>
      <c r="C89" s="679"/>
      <c r="D89" s="679"/>
      <c r="E89" s="679"/>
      <c r="F89" s="678" t="s">
        <v>1135</v>
      </c>
      <c r="G89" s="678"/>
      <c r="H89" s="677">
        <v>16525.389318811503</v>
      </c>
      <c r="I89" s="674"/>
      <c r="J89" s="676"/>
      <c r="K89" s="676"/>
      <c r="L89" s="676"/>
      <c r="M89" s="676"/>
      <c r="N89" s="676"/>
      <c r="O89" s="676"/>
      <c r="P89" s="676"/>
      <c r="Q89" s="676"/>
      <c r="R89" s="676"/>
      <c r="S89" s="676"/>
      <c r="T89" s="676"/>
      <c r="U89" s="676"/>
      <c r="V89" s="676"/>
      <c r="W89" s="674">
        <v>16525.389318811503</v>
      </c>
      <c r="X89" s="676"/>
      <c r="Y89" s="676"/>
      <c r="Z89" s="676"/>
      <c r="AA89" s="676"/>
      <c r="AB89" s="676"/>
      <c r="AC89" s="676">
        <v>508.43126015095061</v>
      </c>
      <c r="AD89" s="676"/>
      <c r="AE89" s="676">
        <v>526.32081780835006</v>
      </c>
      <c r="AF89" s="676">
        <v>4043.1355689309257</v>
      </c>
      <c r="AG89" s="676"/>
      <c r="AH89" s="676"/>
      <c r="AI89" s="676">
        <v>615.60141396770803</v>
      </c>
      <c r="AJ89" s="676">
        <v>201.77701347090857</v>
      </c>
      <c r="AK89" s="676">
        <v>1926.1488487627782</v>
      </c>
      <c r="AL89" s="676">
        <v>6933.1709181236265</v>
      </c>
      <c r="AM89" s="676">
        <v>1593.5798222986527</v>
      </c>
      <c r="AN89" s="676"/>
      <c r="AO89" s="676"/>
      <c r="AP89" s="676"/>
      <c r="AQ89" s="676">
        <v>177.22365529760197</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c r="A93" s="680" t="s">
        <v>968</v>
      </c>
      <c r="B93" s="679" t="s">
        <v>1129</v>
      </c>
      <c r="C93" s="679"/>
      <c r="D93" s="679"/>
      <c r="E93" s="679"/>
      <c r="F93" s="678" t="s">
        <v>1128</v>
      </c>
      <c r="G93" s="678"/>
      <c r="H93" s="677">
        <v>384.82850864622145</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384.82850864622145</v>
      </c>
      <c r="BT93" s="674"/>
    </row>
    <row r="94" spans="1:72">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c r="A96" s="681"/>
      <c r="B96" s="680" t="s">
        <v>968</v>
      </c>
      <c r="C96" s="679" t="s">
        <v>1123</v>
      </c>
      <c r="D96" s="679"/>
      <c r="E96" s="679"/>
      <c r="F96" s="678" t="s">
        <v>1122</v>
      </c>
      <c r="G96" s="678"/>
      <c r="H96" s="677">
        <v>208.5363523454667</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208.5363523454667</v>
      </c>
      <c r="BT96" s="674"/>
    </row>
    <row r="97" spans="1:72">
      <c r="A97" s="681"/>
      <c r="B97" s="680" t="s">
        <v>968</v>
      </c>
      <c r="C97" s="679" t="s">
        <v>1121</v>
      </c>
      <c r="D97" s="679"/>
      <c r="E97" s="679"/>
      <c r="F97" s="678" t="s">
        <v>1120</v>
      </c>
      <c r="G97" s="678"/>
      <c r="H97" s="677">
        <v>54.52851820005732</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54.52851820005732</v>
      </c>
      <c r="BT97" s="674"/>
    </row>
    <row r="98" spans="1:72">
      <c r="A98" s="681"/>
      <c r="B98" s="680" t="s">
        <v>968</v>
      </c>
      <c r="C98" s="679" t="s">
        <v>1119</v>
      </c>
      <c r="D98" s="679"/>
      <c r="E98" s="679"/>
      <c r="F98" s="678" t="s">
        <v>1118</v>
      </c>
      <c r="G98" s="678"/>
      <c r="H98" s="677">
        <v>65.443775675933878</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65.443775675933878</v>
      </c>
      <c r="BT98" s="674"/>
    </row>
    <row r="99" spans="1:72">
      <c r="A99" s="681"/>
      <c r="B99" s="680" t="s">
        <v>968</v>
      </c>
      <c r="C99" s="679" t="s">
        <v>1117</v>
      </c>
      <c r="D99" s="679"/>
      <c r="E99" s="679"/>
      <c r="F99" s="678" t="s">
        <v>1116</v>
      </c>
      <c r="G99" s="678"/>
      <c r="H99" s="677">
        <v>17.746250119422946</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17.746250119422946</v>
      </c>
      <c r="BT99" s="674"/>
    </row>
    <row r="100" spans="1:72">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c r="A106" s="681"/>
      <c r="B106" s="680" t="s">
        <v>968</v>
      </c>
      <c r="C106" s="679" t="s">
        <v>1103</v>
      </c>
      <c r="D106" s="679"/>
      <c r="E106" s="679"/>
      <c r="F106" s="678" t="s">
        <v>1102</v>
      </c>
      <c r="G106" s="678"/>
      <c r="H106" s="677">
        <v>28.518200057323014</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28.518200057323014</v>
      </c>
      <c r="BT106" s="674"/>
    </row>
    <row r="107" spans="1:72">
      <c r="A107" s="681"/>
      <c r="B107" s="680" t="s">
        <v>968</v>
      </c>
      <c r="C107" s="679" t="s">
        <v>1101</v>
      </c>
      <c r="D107" s="679"/>
      <c r="E107" s="679"/>
      <c r="F107" s="678" t="s">
        <v>1100</v>
      </c>
      <c r="G107" s="678"/>
      <c r="H107" s="677">
        <v>10.055412248017578</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10.055412248017578</v>
      </c>
      <c r="BT107" s="674"/>
    </row>
    <row r="108" spans="1:72">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c r="A109" s="709" t="s">
        <v>1097</v>
      </c>
      <c r="B109" s="709"/>
      <c r="C109" s="709"/>
      <c r="D109" s="709"/>
      <c r="E109" s="709"/>
      <c r="F109" s="708" t="s">
        <v>1096</v>
      </c>
      <c r="G109" s="708"/>
      <c r="H109" s="707">
        <v>460.87704213241614</v>
      </c>
      <c r="I109" s="704"/>
      <c r="J109" s="706"/>
      <c r="K109" s="706"/>
      <c r="L109" s="706"/>
      <c r="M109" s="706"/>
      <c r="N109" s="706"/>
      <c r="O109" s="706"/>
      <c r="P109" s="706"/>
      <c r="Q109" s="706"/>
      <c r="R109" s="706"/>
      <c r="S109" s="706"/>
      <c r="T109" s="706"/>
      <c r="U109" s="706"/>
      <c r="V109" s="706"/>
      <c r="W109" s="704">
        <v>460.87704213241614</v>
      </c>
      <c r="X109" s="706">
        <v>0</v>
      </c>
      <c r="Y109" s="706">
        <v>-9395.4093818668189</v>
      </c>
      <c r="Z109" s="706">
        <v>1839.7821725422757</v>
      </c>
      <c r="AA109" s="706"/>
      <c r="AB109" s="706"/>
      <c r="AC109" s="706">
        <v>0</v>
      </c>
      <c r="AD109" s="706">
        <v>1651.6193751791343</v>
      </c>
      <c r="AE109" s="706">
        <v>5562.6492786853923</v>
      </c>
      <c r="AF109" s="706">
        <v>0</v>
      </c>
      <c r="AG109" s="706">
        <v>0</v>
      </c>
      <c r="AH109" s="706">
        <v>0</v>
      </c>
      <c r="AI109" s="706">
        <v>0</v>
      </c>
      <c r="AJ109" s="706">
        <v>0</v>
      </c>
      <c r="AK109" s="706">
        <v>2493.4078532530812</v>
      </c>
      <c r="AL109" s="706">
        <v>-1.0270373554982324</v>
      </c>
      <c r="AM109" s="706">
        <v>-1689.1181809496511</v>
      </c>
      <c r="AN109" s="706">
        <v>-1.0509219451609821</v>
      </c>
      <c r="AO109" s="706">
        <v>0</v>
      </c>
      <c r="AP109" s="706">
        <v>0</v>
      </c>
      <c r="AQ109" s="706">
        <v>0</v>
      </c>
      <c r="AR109" s="706">
        <v>0</v>
      </c>
      <c r="AS109" s="706">
        <v>0</v>
      </c>
      <c r="AT109" s="704"/>
      <c r="AU109" s="706"/>
      <c r="AV109" s="706"/>
      <c r="AW109" s="706"/>
      <c r="AX109" s="706"/>
      <c r="AY109" s="706"/>
      <c r="AZ109" s="704">
        <v>-11180.997420464317</v>
      </c>
      <c r="BA109" s="706">
        <v>-11019.250979268176</v>
      </c>
      <c r="BB109" s="706">
        <v>-161.74644119614024</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11180.997420464317</v>
      </c>
    </row>
    <row r="110" spans="1:72">
      <c r="A110" s="688" t="s">
        <v>968</v>
      </c>
      <c r="B110" s="687" t="s">
        <v>1095</v>
      </c>
      <c r="C110" s="687"/>
      <c r="D110" s="687"/>
      <c r="E110" s="687"/>
      <c r="F110" s="686" t="s">
        <v>1094</v>
      </c>
      <c r="G110" s="686"/>
      <c r="H110" s="685">
        <v>369.54237126206169</v>
      </c>
      <c r="I110" s="682"/>
      <c r="J110" s="684"/>
      <c r="K110" s="684"/>
      <c r="L110" s="684"/>
      <c r="M110" s="684"/>
      <c r="N110" s="684"/>
      <c r="O110" s="684"/>
      <c r="P110" s="684"/>
      <c r="Q110" s="684"/>
      <c r="R110" s="684"/>
      <c r="S110" s="684"/>
      <c r="T110" s="684"/>
      <c r="U110" s="684"/>
      <c r="V110" s="684"/>
      <c r="W110" s="682">
        <v>369.54237126206169</v>
      </c>
      <c r="X110" s="684"/>
      <c r="Y110" s="684">
        <v>-9395.4093818668189</v>
      </c>
      <c r="Z110" s="684"/>
      <c r="AA110" s="684"/>
      <c r="AB110" s="684"/>
      <c r="AC110" s="684"/>
      <c r="AD110" s="684">
        <v>1675.8383490971623</v>
      </c>
      <c r="AE110" s="684">
        <v>5595.6816661889743</v>
      </c>
      <c r="AF110" s="684"/>
      <c r="AG110" s="684"/>
      <c r="AH110" s="684"/>
      <c r="AI110" s="684"/>
      <c r="AJ110" s="684"/>
      <c r="AK110" s="684">
        <v>2493.4078532530812</v>
      </c>
      <c r="AL110" s="684"/>
      <c r="AM110" s="684">
        <v>0</v>
      </c>
      <c r="AN110" s="684"/>
      <c r="AO110" s="684"/>
      <c r="AP110" s="684"/>
      <c r="AQ110" s="684"/>
      <c r="AR110" s="684"/>
      <c r="AS110" s="684"/>
      <c r="AT110" s="682"/>
      <c r="AU110" s="684"/>
      <c r="AV110" s="684"/>
      <c r="AW110" s="684"/>
      <c r="AX110" s="684"/>
      <c r="AY110" s="684"/>
      <c r="AZ110" s="682">
        <v>-11180.997420464317</v>
      </c>
      <c r="BA110" s="684">
        <v>-11019.250979268176</v>
      </c>
      <c r="BB110" s="684">
        <v>-161.74644119614024</v>
      </c>
      <c r="BC110" s="684">
        <v>0</v>
      </c>
      <c r="BD110" s="684"/>
      <c r="BE110" s="684">
        <v>0</v>
      </c>
      <c r="BF110" s="684"/>
      <c r="BG110" s="684"/>
      <c r="BH110" s="684"/>
      <c r="BI110" s="684"/>
      <c r="BJ110" s="684"/>
      <c r="BK110" s="684"/>
      <c r="BL110" s="684"/>
      <c r="BM110" s="684"/>
      <c r="BN110" s="684"/>
      <c r="BO110" s="682"/>
      <c r="BP110" s="684"/>
      <c r="BQ110" s="684"/>
      <c r="BR110" s="683"/>
      <c r="BS110" s="683"/>
      <c r="BT110" s="682">
        <v>11180.997420464317</v>
      </c>
    </row>
    <row r="111" spans="1:72">
      <c r="A111" s="680" t="s">
        <v>968</v>
      </c>
      <c r="B111" s="679" t="s">
        <v>1093</v>
      </c>
      <c r="C111" s="679"/>
      <c r="D111" s="679"/>
      <c r="E111" s="679"/>
      <c r="F111" s="678" t="s">
        <v>1092</v>
      </c>
      <c r="G111" s="678"/>
      <c r="H111" s="677">
        <v>97.066972389414346</v>
      </c>
      <c r="I111" s="674"/>
      <c r="J111" s="676"/>
      <c r="K111" s="676"/>
      <c r="L111" s="676"/>
      <c r="M111" s="676"/>
      <c r="N111" s="676"/>
      <c r="O111" s="676"/>
      <c r="P111" s="676"/>
      <c r="Q111" s="676"/>
      <c r="R111" s="676"/>
      <c r="S111" s="676"/>
      <c r="T111" s="676"/>
      <c r="U111" s="676"/>
      <c r="V111" s="676"/>
      <c r="W111" s="674">
        <v>97.066972389414346</v>
      </c>
      <c r="X111" s="676"/>
      <c r="Y111" s="676"/>
      <c r="Z111" s="676">
        <v>1785.2297697525555</v>
      </c>
      <c r="AA111" s="676"/>
      <c r="AB111" s="676"/>
      <c r="AC111" s="676"/>
      <c r="AD111" s="676"/>
      <c r="AE111" s="676"/>
      <c r="AF111" s="676"/>
      <c r="AG111" s="676"/>
      <c r="AH111" s="676"/>
      <c r="AI111" s="676"/>
      <c r="AJ111" s="676"/>
      <c r="AK111" s="676"/>
      <c r="AL111" s="676"/>
      <c r="AM111" s="676">
        <v>-1688.1627973631412</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c r="A112" s="672" t="s">
        <v>968</v>
      </c>
      <c r="B112" s="671" t="s">
        <v>1091</v>
      </c>
      <c r="C112" s="671"/>
      <c r="D112" s="671"/>
      <c r="E112" s="671"/>
      <c r="F112" s="670" t="s">
        <v>1090</v>
      </c>
      <c r="G112" s="670"/>
      <c r="H112" s="669">
        <v>-5.7323015190599023</v>
      </c>
      <c r="I112" s="666"/>
      <c r="J112" s="668"/>
      <c r="K112" s="668"/>
      <c r="L112" s="668"/>
      <c r="M112" s="668"/>
      <c r="N112" s="668"/>
      <c r="O112" s="668"/>
      <c r="P112" s="668"/>
      <c r="Q112" s="668"/>
      <c r="R112" s="668"/>
      <c r="S112" s="668"/>
      <c r="T112" s="668"/>
      <c r="U112" s="668"/>
      <c r="V112" s="668"/>
      <c r="W112" s="666">
        <v>-5.7323015190599023</v>
      </c>
      <c r="X112" s="668">
        <v>0</v>
      </c>
      <c r="Y112" s="668">
        <v>0</v>
      </c>
      <c r="Z112" s="668">
        <v>54.55240278972007</v>
      </c>
      <c r="AA112" s="668"/>
      <c r="AB112" s="668"/>
      <c r="AC112" s="668">
        <v>0</v>
      </c>
      <c r="AD112" s="668">
        <v>-24.218973918028087</v>
      </c>
      <c r="AE112" s="668">
        <v>-33.03238750358269</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c r="A113" s="709" t="s">
        <v>1089</v>
      </c>
      <c r="B113" s="709"/>
      <c r="C113" s="709"/>
      <c r="D113" s="709"/>
      <c r="E113" s="709"/>
      <c r="F113" s="708" t="s">
        <v>1088</v>
      </c>
      <c r="G113" s="708"/>
      <c r="H113" s="707">
        <v>4985.9319766886401</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772.80978312792581</v>
      </c>
      <c r="X113" s="706"/>
      <c r="Y113" s="706"/>
      <c r="Z113" s="706"/>
      <c r="AA113" s="706"/>
      <c r="AB113" s="706"/>
      <c r="AC113" s="706">
        <v>488.70258908951939</v>
      </c>
      <c r="AD113" s="706"/>
      <c r="AE113" s="706"/>
      <c r="AF113" s="706"/>
      <c r="AG113" s="706"/>
      <c r="AH113" s="706"/>
      <c r="AI113" s="706"/>
      <c r="AJ113" s="706"/>
      <c r="AK113" s="706"/>
      <c r="AL113" s="706">
        <v>284.13107862806913</v>
      </c>
      <c r="AM113" s="706">
        <v>0</v>
      </c>
      <c r="AN113" s="706"/>
      <c r="AO113" s="706"/>
      <c r="AP113" s="706"/>
      <c r="AQ113" s="706"/>
      <c r="AR113" s="706"/>
      <c r="AS113" s="706"/>
      <c r="AT113" s="704">
        <v>3552.2355975924334</v>
      </c>
      <c r="AU113" s="706">
        <v>3552.2355975924334</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0</v>
      </c>
      <c r="BT113" s="704">
        <v>660.8865959682812</v>
      </c>
    </row>
    <row r="114" spans="1:72">
      <c r="A114" s="688" t="s">
        <v>968</v>
      </c>
      <c r="B114" s="687" t="s">
        <v>1087</v>
      </c>
      <c r="C114" s="687"/>
      <c r="D114" s="687"/>
      <c r="E114" s="687"/>
      <c r="F114" s="686" t="s">
        <v>1086</v>
      </c>
      <c r="G114" s="686"/>
      <c r="H114" s="685">
        <v>54.600171969045569</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1.0270373554982324</v>
      </c>
      <c r="X114" s="684"/>
      <c r="Y114" s="684"/>
      <c r="Z114" s="684"/>
      <c r="AA114" s="684"/>
      <c r="AB114" s="684"/>
      <c r="AC114" s="684"/>
      <c r="AD114" s="684"/>
      <c r="AE114" s="684"/>
      <c r="AF114" s="684"/>
      <c r="AG114" s="684"/>
      <c r="AH114" s="684"/>
      <c r="AI114" s="684"/>
      <c r="AJ114" s="684"/>
      <c r="AK114" s="684"/>
      <c r="AL114" s="684">
        <v>1.0270373554982324</v>
      </c>
      <c r="AM114" s="684">
        <v>0</v>
      </c>
      <c r="AN114" s="684"/>
      <c r="AO114" s="684"/>
      <c r="AP114" s="684"/>
      <c r="AQ114" s="684"/>
      <c r="AR114" s="684"/>
      <c r="AS114" s="684"/>
      <c r="AT114" s="682">
        <v>0.26273048629024554</v>
      </c>
      <c r="AU114" s="684">
        <v>0.26273048629024554</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53.310404127257094</v>
      </c>
    </row>
    <row r="115" spans="1:72">
      <c r="A115" s="680" t="s">
        <v>968</v>
      </c>
      <c r="B115" s="679" t="s">
        <v>1085</v>
      </c>
      <c r="C115" s="679"/>
      <c r="D115" s="679"/>
      <c r="E115" s="679"/>
      <c r="F115" s="678" t="s">
        <v>1084</v>
      </c>
      <c r="G115" s="678"/>
      <c r="H115" s="677">
        <v>20.039170727046908</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20.039170727046908</v>
      </c>
    </row>
    <row r="116" spans="1:72">
      <c r="A116" s="680"/>
      <c r="B116" s="680" t="s">
        <v>968</v>
      </c>
      <c r="C116" s="679" t="s">
        <v>1083</v>
      </c>
      <c r="D116" s="679"/>
      <c r="E116" s="679"/>
      <c r="F116" s="678" t="s">
        <v>1082</v>
      </c>
      <c r="G116" s="678"/>
      <c r="H116" s="677">
        <v>66.900735645361607</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66.900735645361607</v>
      </c>
    </row>
    <row r="117" spans="1:72">
      <c r="A117" s="680"/>
      <c r="B117" s="680" t="s">
        <v>1081</v>
      </c>
      <c r="C117" s="679" t="s">
        <v>1080</v>
      </c>
      <c r="D117" s="679"/>
      <c r="E117" s="679"/>
      <c r="F117" s="678" t="s">
        <v>1079</v>
      </c>
      <c r="G117" s="678"/>
      <c r="H117" s="677">
        <v>46.861564918314699</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46.861564918314699</v>
      </c>
    </row>
    <row r="118" spans="1:72">
      <c r="A118" s="680"/>
      <c r="B118" s="680"/>
      <c r="C118" s="680" t="s">
        <v>968</v>
      </c>
      <c r="D118" s="679" t="s">
        <v>1078</v>
      </c>
      <c r="E118" s="679"/>
      <c r="F118" s="678" t="s">
        <v>1077</v>
      </c>
      <c r="G118" s="678"/>
      <c r="H118" s="677">
        <v>44.974682334957485</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44.974682334957485</v>
      </c>
    </row>
    <row r="119" spans="1:72">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c r="A120" s="680" t="s">
        <v>968</v>
      </c>
      <c r="B120" s="679" t="s">
        <v>1074</v>
      </c>
      <c r="C120" s="679"/>
      <c r="D120" s="679"/>
      <c r="E120" s="679"/>
      <c r="F120" s="678" t="s">
        <v>1073</v>
      </c>
      <c r="G120" s="678"/>
      <c r="H120" s="677">
        <v>4364.0489156396288</v>
      </c>
      <c r="I120" s="674"/>
      <c r="J120" s="676"/>
      <c r="K120" s="676"/>
      <c r="L120" s="676"/>
      <c r="M120" s="676"/>
      <c r="N120" s="676"/>
      <c r="O120" s="676"/>
      <c r="P120" s="676"/>
      <c r="Q120" s="676"/>
      <c r="R120" s="676"/>
      <c r="S120" s="676"/>
      <c r="T120" s="676"/>
      <c r="U120" s="676"/>
      <c r="V120" s="676"/>
      <c r="W120" s="674">
        <v>276.91793254991876</v>
      </c>
      <c r="X120" s="676"/>
      <c r="Y120" s="676"/>
      <c r="Z120" s="676"/>
      <c r="AA120" s="676"/>
      <c r="AB120" s="676"/>
      <c r="AC120" s="676"/>
      <c r="AD120" s="676"/>
      <c r="AE120" s="676"/>
      <c r="AF120" s="676"/>
      <c r="AG120" s="676"/>
      <c r="AH120" s="676"/>
      <c r="AI120" s="676"/>
      <c r="AJ120" s="676"/>
      <c r="AK120" s="676"/>
      <c r="AL120" s="676">
        <v>276.91793254991876</v>
      </c>
      <c r="AM120" s="676">
        <v>0</v>
      </c>
      <c r="AN120" s="676"/>
      <c r="AO120" s="676"/>
      <c r="AP120" s="676"/>
      <c r="AQ120" s="676"/>
      <c r="AR120" s="676"/>
      <c r="AS120" s="676"/>
      <c r="AT120" s="674">
        <v>3551.972867106143</v>
      </c>
      <c r="AU120" s="676">
        <v>3551.972867106143</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535.15811598356743</v>
      </c>
    </row>
    <row r="121" spans="1:72">
      <c r="A121" s="680" t="s">
        <v>968</v>
      </c>
      <c r="B121" s="679" t="s">
        <v>1072</v>
      </c>
      <c r="C121" s="679"/>
      <c r="D121" s="679"/>
      <c r="E121" s="679"/>
      <c r="F121" s="678" t="s">
        <v>1071</v>
      </c>
      <c r="G121" s="678"/>
      <c r="H121" s="677">
        <v>536.42399923569315</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488.70258908951939</v>
      </c>
      <c r="X121" s="676"/>
      <c r="Y121" s="676"/>
      <c r="Z121" s="676"/>
      <c r="AA121" s="676"/>
      <c r="AB121" s="676"/>
      <c r="AC121" s="676">
        <v>488.70258908951939</v>
      </c>
      <c r="AD121" s="676"/>
      <c r="AE121" s="676"/>
      <c r="AF121" s="676"/>
      <c r="AG121" s="676"/>
      <c r="AH121" s="676"/>
      <c r="AI121" s="676"/>
      <c r="AJ121" s="676"/>
      <c r="AK121" s="676"/>
      <c r="AL121" s="676"/>
      <c r="AM121" s="676">
        <v>0</v>
      </c>
      <c r="AN121" s="676"/>
      <c r="AO121" s="676"/>
      <c r="AP121" s="676"/>
      <c r="AQ121" s="676"/>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0</v>
      </c>
      <c r="BT121" s="674">
        <v>47.721410146173689</v>
      </c>
    </row>
    <row r="122" spans="1:72">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c r="A123" s="680" t="s">
        <v>968</v>
      </c>
      <c r="B123" s="679" t="s">
        <v>1068</v>
      </c>
      <c r="C123" s="679"/>
      <c r="D123" s="679"/>
      <c r="E123" s="679"/>
      <c r="F123" s="678" t="s">
        <v>1067</v>
      </c>
      <c r="G123" s="678"/>
      <c r="H123" s="677">
        <v>9.6971434030763355</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6.1861087226521443</v>
      </c>
      <c r="X123" s="676"/>
      <c r="Y123" s="676"/>
      <c r="Z123" s="676"/>
      <c r="AA123" s="676"/>
      <c r="AB123" s="676"/>
      <c r="AC123" s="676"/>
      <c r="AD123" s="676"/>
      <c r="AE123" s="676"/>
      <c r="AF123" s="676"/>
      <c r="AG123" s="676"/>
      <c r="AH123" s="676"/>
      <c r="AI123" s="676"/>
      <c r="AJ123" s="676"/>
      <c r="AK123" s="676"/>
      <c r="AL123" s="676">
        <v>6.1861087226521443</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3.5349192700869398</v>
      </c>
    </row>
    <row r="124" spans="1:72">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c r="A133" s="680" t="s">
        <v>968</v>
      </c>
      <c r="B133" s="679" t="s">
        <v>1048</v>
      </c>
      <c r="C133" s="679"/>
      <c r="D133" s="679"/>
      <c r="E133" s="679"/>
      <c r="F133" s="678" t="s">
        <v>1047</v>
      </c>
      <c r="G133" s="678"/>
      <c r="H133" s="677">
        <v>1.122575714149231</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1.122575714149231</v>
      </c>
    </row>
    <row r="134" spans="1:72">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c r="A135" s="709" t="s">
        <v>1044</v>
      </c>
      <c r="B135" s="709"/>
      <c r="C135" s="709"/>
      <c r="D135" s="709"/>
      <c r="E135" s="709"/>
      <c r="F135" s="708" t="s">
        <v>1043</v>
      </c>
      <c r="G135" s="708"/>
      <c r="H135" s="707">
        <v>805.55555555555554</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0.95538358650998367</v>
      </c>
      <c r="AU135" s="706">
        <v>0</v>
      </c>
      <c r="AV135" s="706">
        <v>0</v>
      </c>
      <c r="AW135" s="706">
        <v>0.95538358650998367</v>
      </c>
      <c r="AX135" s="706">
        <v>0</v>
      </c>
      <c r="AY135" s="706">
        <v>0</v>
      </c>
      <c r="AZ135" s="704">
        <v>0</v>
      </c>
      <c r="BA135" s="706"/>
      <c r="BB135" s="706"/>
      <c r="BC135" s="706"/>
      <c r="BD135" s="706">
        <v>0</v>
      </c>
      <c r="BE135" s="706"/>
      <c r="BF135" s="706">
        <v>0</v>
      </c>
      <c r="BG135" s="706">
        <v>0</v>
      </c>
      <c r="BH135" s="706">
        <v>0</v>
      </c>
      <c r="BI135" s="706">
        <v>0</v>
      </c>
      <c r="BJ135" s="706">
        <v>0</v>
      </c>
      <c r="BK135" s="706">
        <v>0</v>
      </c>
      <c r="BL135" s="706">
        <v>0</v>
      </c>
      <c r="BM135" s="706">
        <v>0</v>
      </c>
      <c r="BN135" s="706">
        <v>0</v>
      </c>
      <c r="BO135" s="704">
        <v>0</v>
      </c>
      <c r="BP135" s="706">
        <v>0</v>
      </c>
      <c r="BQ135" s="706">
        <v>0</v>
      </c>
      <c r="BR135" s="705"/>
      <c r="BS135" s="705">
        <v>113.38014712907231</v>
      </c>
      <c r="BT135" s="704">
        <v>691.22002483997323</v>
      </c>
    </row>
    <row r="136" spans="1:72">
      <c r="A136" s="709" t="s">
        <v>1042</v>
      </c>
      <c r="B136" s="709"/>
      <c r="C136" s="709"/>
      <c r="D136" s="709"/>
      <c r="E136" s="709"/>
      <c r="F136" s="708" t="s">
        <v>1041</v>
      </c>
      <c r="G136" s="708"/>
      <c r="H136" s="707">
        <v>28077.314416738318</v>
      </c>
      <c r="I136" s="704">
        <v>676.19661794210367</v>
      </c>
      <c r="J136" s="706">
        <v>0</v>
      </c>
      <c r="K136" s="706">
        <v>0</v>
      </c>
      <c r="L136" s="706">
        <v>471.81618419795547</v>
      </c>
      <c r="M136" s="706">
        <v>0</v>
      </c>
      <c r="N136" s="706">
        <v>0</v>
      </c>
      <c r="O136" s="706">
        <v>0</v>
      </c>
      <c r="P136" s="706">
        <v>204.38043374414826</v>
      </c>
      <c r="Q136" s="706">
        <v>0</v>
      </c>
      <c r="R136" s="706">
        <v>0</v>
      </c>
      <c r="S136" s="706">
        <v>0</v>
      </c>
      <c r="T136" s="706">
        <v>0</v>
      </c>
      <c r="U136" s="706">
        <v>0</v>
      </c>
      <c r="V136" s="706">
        <v>0</v>
      </c>
      <c r="W136" s="704">
        <v>14421.109200343937</v>
      </c>
      <c r="X136" s="706">
        <v>926.65042514569598</v>
      </c>
      <c r="Y136" s="706">
        <v>0</v>
      </c>
      <c r="Z136" s="706">
        <v>0</v>
      </c>
      <c r="AA136" s="706">
        <v>0</v>
      </c>
      <c r="AB136" s="706"/>
      <c r="AC136" s="706">
        <v>19.728671061431164</v>
      </c>
      <c r="AD136" s="706">
        <v>1131.914588707366</v>
      </c>
      <c r="AE136" s="706">
        <v>1101.0795834527562</v>
      </c>
      <c r="AF136" s="706">
        <v>1890.5130409859557</v>
      </c>
      <c r="AG136" s="706">
        <v>1.0509219451609821</v>
      </c>
      <c r="AH136" s="706">
        <v>0</v>
      </c>
      <c r="AI136" s="706">
        <v>964.57915353014232</v>
      </c>
      <c r="AJ136" s="706">
        <v>45.285182000573229</v>
      </c>
      <c r="AK136" s="706">
        <v>2723.0342982707557</v>
      </c>
      <c r="AL136" s="706">
        <v>5014.3307537976498</v>
      </c>
      <c r="AM136" s="706">
        <v>-207.31823827266646</v>
      </c>
      <c r="AN136" s="706">
        <v>23.956243431737843</v>
      </c>
      <c r="AO136" s="706">
        <v>5.0157638291774145</v>
      </c>
      <c r="AP136" s="706">
        <v>348.38062482086553</v>
      </c>
      <c r="AQ136" s="706">
        <v>427.17588611827648</v>
      </c>
      <c r="AR136" s="706">
        <v>0</v>
      </c>
      <c r="AS136" s="706">
        <v>5.7323015190599023</v>
      </c>
      <c r="AT136" s="704">
        <v>1880.0277061240088</v>
      </c>
      <c r="AU136" s="706">
        <v>1811.1684341263017</v>
      </c>
      <c r="AV136" s="706">
        <v>0</v>
      </c>
      <c r="AW136" s="706">
        <v>68.859271997707083</v>
      </c>
      <c r="AX136" s="706">
        <v>0</v>
      </c>
      <c r="AY136" s="706">
        <v>0</v>
      </c>
      <c r="AZ136" s="704">
        <v>1060.6429731537212</v>
      </c>
      <c r="BA136" s="706">
        <v>0</v>
      </c>
      <c r="BB136" s="706">
        <v>0</v>
      </c>
      <c r="BC136" s="706">
        <v>0</v>
      </c>
      <c r="BD136" s="706">
        <v>0</v>
      </c>
      <c r="BE136" s="706">
        <v>0</v>
      </c>
      <c r="BF136" s="706">
        <v>897.27237986051398</v>
      </c>
      <c r="BG136" s="706">
        <v>0</v>
      </c>
      <c r="BH136" s="706">
        <v>22.069360848380622</v>
      </c>
      <c r="BI136" s="706">
        <v>13.136524314512275</v>
      </c>
      <c r="BJ136" s="706">
        <v>10.819719117225565</v>
      </c>
      <c r="BK136" s="706">
        <v>114.88487627782554</v>
      </c>
      <c r="BL136" s="706">
        <v>0</v>
      </c>
      <c r="BM136" s="706">
        <v>2.4601127352632082</v>
      </c>
      <c r="BN136" s="706">
        <v>0</v>
      </c>
      <c r="BO136" s="704">
        <v>13.136524314512275</v>
      </c>
      <c r="BP136" s="706">
        <v>0</v>
      </c>
      <c r="BQ136" s="706">
        <v>13.136524314512275</v>
      </c>
      <c r="BR136" s="705">
        <v>0</v>
      </c>
      <c r="BS136" s="705">
        <v>421.82573803382058</v>
      </c>
      <c r="BT136" s="704">
        <v>9604.3756568262161</v>
      </c>
    </row>
    <row r="137" spans="1:72">
      <c r="A137" s="665" t="s">
        <v>1040</v>
      </c>
      <c r="B137" s="665"/>
      <c r="C137" s="665"/>
      <c r="D137" s="665"/>
      <c r="E137" s="665"/>
      <c r="F137" s="664" t="s">
        <v>1039</v>
      </c>
      <c r="G137" s="664"/>
      <c r="H137" s="663">
        <v>2328.4369924524694</v>
      </c>
      <c r="I137" s="660">
        <v>53.023789051304099</v>
      </c>
      <c r="J137" s="662">
        <v>0</v>
      </c>
      <c r="K137" s="662">
        <v>0</v>
      </c>
      <c r="L137" s="662">
        <v>53.023789051304099</v>
      </c>
      <c r="M137" s="662">
        <v>0</v>
      </c>
      <c r="N137" s="662">
        <v>0</v>
      </c>
      <c r="O137" s="662">
        <v>0</v>
      </c>
      <c r="P137" s="662">
        <v>0</v>
      </c>
      <c r="Q137" s="662">
        <v>0</v>
      </c>
      <c r="R137" s="662">
        <v>0</v>
      </c>
      <c r="S137" s="662">
        <v>0</v>
      </c>
      <c r="T137" s="662">
        <v>0</v>
      </c>
      <c r="U137" s="662">
        <v>0</v>
      </c>
      <c r="V137" s="662">
        <v>0</v>
      </c>
      <c r="W137" s="660">
        <v>1797.6975255565108</v>
      </c>
      <c r="X137" s="662">
        <v>0</v>
      </c>
      <c r="Y137" s="662">
        <v>0</v>
      </c>
      <c r="Z137" s="662"/>
      <c r="AA137" s="662"/>
      <c r="AB137" s="662"/>
      <c r="AC137" s="662">
        <v>0</v>
      </c>
      <c r="AD137" s="662">
        <v>286.28069169771663</v>
      </c>
      <c r="AE137" s="662">
        <v>709.08569790770991</v>
      </c>
      <c r="AF137" s="662">
        <v>0</v>
      </c>
      <c r="AG137" s="662">
        <v>0</v>
      </c>
      <c r="AH137" s="662">
        <v>0</v>
      </c>
      <c r="AI137" s="662">
        <v>0</v>
      </c>
      <c r="AJ137" s="662">
        <v>0</v>
      </c>
      <c r="AK137" s="662">
        <v>0</v>
      </c>
      <c r="AL137" s="662">
        <v>0</v>
      </c>
      <c r="AM137" s="662">
        <v>0</v>
      </c>
      <c r="AN137" s="662">
        <v>23.956243431737843</v>
      </c>
      <c r="AO137" s="662">
        <v>6.0189165950128976</v>
      </c>
      <c r="AP137" s="662">
        <v>342.79163083978216</v>
      </c>
      <c r="AQ137" s="662">
        <v>423.83204356549152</v>
      </c>
      <c r="AR137" s="662">
        <v>0</v>
      </c>
      <c r="AS137" s="662">
        <v>5.7323015190599023</v>
      </c>
      <c r="AT137" s="660">
        <v>477.71567784465458</v>
      </c>
      <c r="AU137" s="662">
        <v>477.71567784465458</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c r="A140" s="680" t="s">
        <v>968</v>
      </c>
      <c r="B140" s="679" t="s">
        <v>1034</v>
      </c>
      <c r="C140" s="679"/>
      <c r="D140" s="679"/>
      <c r="E140" s="679"/>
      <c r="F140" s="678" t="s">
        <v>1033</v>
      </c>
      <c r="G140" s="678"/>
      <c r="H140" s="677">
        <v>2275.4132034011654</v>
      </c>
      <c r="I140" s="674"/>
      <c r="J140" s="676"/>
      <c r="K140" s="676"/>
      <c r="L140" s="676"/>
      <c r="M140" s="676"/>
      <c r="N140" s="676"/>
      <c r="O140" s="676"/>
      <c r="P140" s="676"/>
      <c r="Q140" s="676"/>
      <c r="R140" s="676"/>
      <c r="S140" s="676"/>
      <c r="T140" s="676"/>
      <c r="U140" s="676"/>
      <c r="V140" s="676"/>
      <c r="W140" s="674">
        <v>1797.6975255565108</v>
      </c>
      <c r="X140" s="676">
        <v>0</v>
      </c>
      <c r="Y140" s="676">
        <v>0</v>
      </c>
      <c r="Z140" s="676"/>
      <c r="AA140" s="676"/>
      <c r="AB140" s="676"/>
      <c r="AC140" s="676">
        <v>0</v>
      </c>
      <c r="AD140" s="676">
        <v>286.28069169771663</v>
      </c>
      <c r="AE140" s="676">
        <v>709.08569790770991</v>
      </c>
      <c r="AF140" s="676">
        <v>0</v>
      </c>
      <c r="AG140" s="676">
        <v>0</v>
      </c>
      <c r="AH140" s="676">
        <v>0</v>
      </c>
      <c r="AI140" s="676">
        <v>0</v>
      </c>
      <c r="AJ140" s="676">
        <v>0</v>
      </c>
      <c r="AK140" s="676">
        <v>0</v>
      </c>
      <c r="AL140" s="676">
        <v>0</v>
      </c>
      <c r="AM140" s="676">
        <v>0</v>
      </c>
      <c r="AN140" s="676">
        <v>23.956243431737843</v>
      </c>
      <c r="AO140" s="676">
        <v>6.0189165950128976</v>
      </c>
      <c r="AP140" s="676">
        <v>342.79163083978216</v>
      </c>
      <c r="AQ140" s="676">
        <v>423.83204356549152</v>
      </c>
      <c r="AR140" s="676">
        <v>0</v>
      </c>
      <c r="AS140" s="676">
        <v>5.7323015190599023</v>
      </c>
      <c r="AT140" s="674">
        <v>477.71567784465458</v>
      </c>
      <c r="AU140" s="676">
        <v>477.71567784465458</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1512.6588325212572</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1034.9431546766027</v>
      </c>
      <c r="X141" s="699"/>
      <c r="Y141" s="699"/>
      <c r="Z141" s="699"/>
      <c r="AA141" s="699"/>
      <c r="AB141" s="699"/>
      <c r="AC141" s="699"/>
      <c r="AD141" s="699">
        <v>286.28069169771663</v>
      </c>
      <c r="AE141" s="699">
        <v>707.98700678322348</v>
      </c>
      <c r="AF141" s="699"/>
      <c r="AG141" s="699"/>
      <c r="AH141" s="699"/>
      <c r="AI141" s="699"/>
      <c r="AJ141" s="699"/>
      <c r="AK141" s="699"/>
      <c r="AL141" s="699"/>
      <c r="AM141" s="699">
        <v>0</v>
      </c>
      <c r="AN141" s="699">
        <v>23.956243431737843</v>
      </c>
      <c r="AO141" s="699"/>
      <c r="AP141" s="699"/>
      <c r="AQ141" s="699">
        <v>16.719212763924716</v>
      </c>
      <c r="AR141" s="699"/>
      <c r="AS141" s="699"/>
      <c r="AT141" s="697">
        <v>477.71567784465458</v>
      </c>
      <c r="AU141" s="699">
        <v>477.71567784465458</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c r="A144" s="695" t="s">
        <v>968</v>
      </c>
      <c r="B144" s="694" t="s">
        <v>1026</v>
      </c>
      <c r="C144" s="694"/>
      <c r="D144" s="694"/>
      <c r="E144" s="694"/>
      <c r="F144" s="693" t="s">
        <v>1025</v>
      </c>
      <c r="G144" s="693"/>
      <c r="H144" s="692">
        <v>53.023789051304099</v>
      </c>
      <c r="I144" s="689">
        <v>53.023789051304099</v>
      </c>
      <c r="J144" s="691">
        <v>0</v>
      </c>
      <c r="K144" s="691">
        <v>0</v>
      </c>
      <c r="L144" s="691">
        <v>53.023789051304099</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c r="A145" s="665" t="s">
        <v>1024</v>
      </c>
      <c r="B145" s="665"/>
      <c r="C145" s="665"/>
      <c r="D145" s="665"/>
      <c r="E145" s="665"/>
      <c r="F145" s="664" t="s">
        <v>1023</v>
      </c>
      <c r="G145" s="664"/>
      <c r="H145" s="663">
        <v>19018.940479602559</v>
      </c>
      <c r="I145" s="660">
        <v>615.21926053310403</v>
      </c>
      <c r="J145" s="662">
        <v>0</v>
      </c>
      <c r="K145" s="662">
        <v>0</v>
      </c>
      <c r="L145" s="662">
        <v>451.01270660170059</v>
      </c>
      <c r="M145" s="662">
        <v>0</v>
      </c>
      <c r="N145" s="662">
        <v>0</v>
      </c>
      <c r="O145" s="662">
        <v>0</v>
      </c>
      <c r="P145" s="662">
        <v>164.20655393140345</v>
      </c>
      <c r="Q145" s="662">
        <v>0</v>
      </c>
      <c r="R145" s="662">
        <v>0</v>
      </c>
      <c r="S145" s="662">
        <v>0</v>
      </c>
      <c r="T145" s="662">
        <v>0</v>
      </c>
      <c r="U145" s="662">
        <v>0</v>
      </c>
      <c r="V145" s="662">
        <v>0</v>
      </c>
      <c r="W145" s="660">
        <v>6812.505971147415</v>
      </c>
      <c r="X145" s="662"/>
      <c r="Y145" s="662"/>
      <c r="Z145" s="662"/>
      <c r="AA145" s="662"/>
      <c r="AB145" s="662"/>
      <c r="AC145" s="662"/>
      <c r="AD145" s="662">
        <v>256.54437756759336</v>
      </c>
      <c r="AE145" s="662">
        <v>178.37011560141397</v>
      </c>
      <c r="AF145" s="662">
        <v>996.10681188497176</v>
      </c>
      <c r="AG145" s="662">
        <v>1.0509219451609821</v>
      </c>
      <c r="AH145" s="662"/>
      <c r="AI145" s="662">
        <v>927.51027037355493</v>
      </c>
      <c r="AJ145" s="662">
        <v>45.285182000573229</v>
      </c>
      <c r="AK145" s="662"/>
      <c r="AL145" s="662">
        <v>4319.4802713289382</v>
      </c>
      <c r="AM145" s="662">
        <v>69.743001815228808</v>
      </c>
      <c r="AN145" s="662"/>
      <c r="AO145" s="662"/>
      <c r="AP145" s="662"/>
      <c r="AQ145" s="662">
        <v>18.391134040317187</v>
      </c>
      <c r="AR145" s="662"/>
      <c r="AS145" s="662"/>
      <c r="AT145" s="660">
        <v>506.97430018152284</v>
      </c>
      <c r="AU145" s="662">
        <v>438.11502818381575</v>
      </c>
      <c r="AV145" s="662">
        <v>0</v>
      </c>
      <c r="AW145" s="662">
        <v>68.859271997707083</v>
      </c>
      <c r="AX145" s="662">
        <v>0</v>
      </c>
      <c r="AY145" s="662">
        <v>0</v>
      </c>
      <c r="AZ145" s="660">
        <v>1045.9300659214673</v>
      </c>
      <c r="BA145" s="662"/>
      <c r="BB145" s="662"/>
      <c r="BC145" s="662"/>
      <c r="BD145" s="662">
        <v>0</v>
      </c>
      <c r="BE145" s="662"/>
      <c r="BF145" s="662">
        <v>897.27237986051398</v>
      </c>
      <c r="BG145" s="662">
        <v>0</v>
      </c>
      <c r="BH145" s="662">
        <v>12.396102034967038</v>
      </c>
      <c r="BI145" s="662">
        <v>13.136524314512275</v>
      </c>
      <c r="BJ145" s="662">
        <v>6.401070029616891</v>
      </c>
      <c r="BK145" s="662">
        <v>114.26387694659405</v>
      </c>
      <c r="BL145" s="662">
        <v>0</v>
      </c>
      <c r="BM145" s="662">
        <v>2.4601127352632082</v>
      </c>
      <c r="BN145" s="662">
        <v>0</v>
      </c>
      <c r="BO145" s="660">
        <v>13.136524314512275</v>
      </c>
      <c r="BP145" s="662">
        <v>0</v>
      </c>
      <c r="BQ145" s="662">
        <v>13.136524314512275</v>
      </c>
      <c r="BR145" s="661"/>
      <c r="BS145" s="661">
        <v>420.79870067832235</v>
      </c>
      <c r="BT145" s="660">
        <v>9604.3756568262161</v>
      </c>
    </row>
    <row r="146" spans="1:72">
      <c r="A146" s="688" t="s">
        <v>968</v>
      </c>
      <c r="B146" s="687" t="s">
        <v>1022</v>
      </c>
      <c r="C146" s="687"/>
      <c r="D146" s="687"/>
      <c r="E146" s="687"/>
      <c r="F146" s="686" t="s">
        <v>1021</v>
      </c>
      <c r="G146" s="686"/>
      <c r="H146" s="685">
        <v>5926.3638100697426</v>
      </c>
      <c r="I146" s="682">
        <v>615.21926053310403</v>
      </c>
      <c r="J146" s="684">
        <v>0</v>
      </c>
      <c r="K146" s="684">
        <v>0</v>
      </c>
      <c r="L146" s="684">
        <v>451.01270660170059</v>
      </c>
      <c r="M146" s="684">
        <v>0</v>
      </c>
      <c r="N146" s="684">
        <v>0</v>
      </c>
      <c r="O146" s="684">
        <v>0</v>
      </c>
      <c r="P146" s="684">
        <v>164.20655393140345</v>
      </c>
      <c r="Q146" s="684">
        <v>0</v>
      </c>
      <c r="R146" s="684">
        <v>0</v>
      </c>
      <c r="S146" s="684">
        <v>0</v>
      </c>
      <c r="T146" s="684">
        <v>0</v>
      </c>
      <c r="U146" s="684">
        <v>0</v>
      </c>
      <c r="V146" s="684">
        <v>0</v>
      </c>
      <c r="W146" s="682">
        <v>814.01070029616892</v>
      </c>
      <c r="X146" s="684"/>
      <c r="Y146" s="684"/>
      <c r="Z146" s="684"/>
      <c r="AA146" s="684"/>
      <c r="AB146" s="684"/>
      <c r="AC146" s="684"/>
      <c r="AD146" s="684">
        <v>256.54437756759336</v>
      </c>
      <c r="AE146" s="684">
        <v>158.54590618133179</v>
      </c>
      <c r="AF146" s="684"/>
      <c r="AG146" s="684"/>
      <c r="AH146" s="684"/>
      <c r="AI146" s="684"/>
      <c r="AJ146" s="684"/>
      <c r="AK146" s="684"/>
      <c r="AL146" s="684">
        <v>362.35310977357409</v>
      </c>
      <c r="AM146" s="684">
        <v>18.152288143689692</v>
      </c>
      <c r="AN146" s="684"/>
      <c r="AO146" s="684"/>
      <c r="AP146" s="684"/>
      <c r="AQ146" s="684">
        <v>18.391134040317187</v>
      </c>
      <c r="AR146" s="684"/>
      <c r="AS146" s="684"/>
      <c r="AT146" s="682">
        <v>361.56491831470333</v>
      </c>
      <c r="AU146" s="684">
        <v>292.70564631699625</v>
      </c>
      <c r="AV146" s="684">
        <v>0</v>
      </c>
      <c r="AW146" s="684">
        <v>68.859271997707083</v>
      </c>
      <c r="AX146" s="684">
        <v>0</v>
      </c>
      <c r="AY146" s="684">
        <v>0</v>
      </c>
      <c r="AZ146" s="682">
        <v>348.66723989681856</v>
      </c>
      <c r="BA146" s="684"/>
      <c r="BB146" s="684"/>
      <c r="BC146" s="684"/>
      <c r="BD146" s="684">
        <v>0</v>
      </c>
      <c r="BE146" s="684"/>
      <c r="BF146" s="684">
        <v>331.27925862233684</v>
      </c>
      <c r="BG146" s="684">
        <v>0</v>
      </c>
      <c r="BH146" s="684">
        <v>4.2514569599694276</v>
      </c>
      <c r="BI146" s="684">
        <v>13.136524314512275</v>
      </c>
      <c r="BJ146" s="684">
        <v>0</v>
      </c>
      <c r="BK146" s="684">
        <v>0</v>
      </c>
      <c r="BL146" s="684">
        <v>0</v>
      </c>
      <c r="BM146" s="684">
        <v>0</v>
      </c>
      <c r="BN146" s="684">
        <v>0</v>
      </c>
      <c r="BO146" s="682">
        <v>13.136524314512275</v>
      </c>
      <c r="BP146" s="684">
        <v>0</v>
      </c>
      <c r="BQ146" s="684">
        <v>13.136524314512275</v>
      </c>
      <c r="BR146" s="683"/>
      <c r="BS146" s="683">
        <v>47.004872456291196</v>
      </c>
      <c r="BT146" s="682">
        <v>3726.7364096684819</v>
      </c>
    </row>
    <row r="147" spans="1:72">
      <c r="A147" s="681"/>
      <c r="B147" s="680" t="s">
        <v>968</v>
      </c>
      <c r="C147" s="679" t="s">
        <v>1020</v>
      </c>
      <c r="D147" s="679"/>
      <c r="E147" s="679"/>
      <c r="F147" s="678" t="s">
        <v>1019</v>
      </c>
      <c r="G147" s="678"/>
      <c r="H147" s="677">
        <v>819.02646412534625</v>
      </c>
      <c r="I147" s="674">
        <v>319.86242476354255</v>
      </c>
      <c r="J147" s="676">
        <v>0</v>
      </c>
      <c r="K147" s="676">
        <v>0</v>
      </c>
      <c r="L147" s="676">
        <v>208.05866055221171</v>
      </c>
      <c r="M147" s="676">
        <v>0</v>
      </c>
      <c r="N147" s="676">
        <v>0</v>
      </c>
      <c r="O147" s="676">
        <v>0</v>
      </c>
      <c r="P147" s="676">
        <v>111.80376421133084</v>
      </c>
      <c r="Q147" s="676">
        <v>0</v>
      </c>
      <c r="R147" s="676">
        <v>0</v>
      </c>
      <c r="S147" s="676">
        <v>0</v>
      </c>
      <c r="T147" s="676">
        <v>0</v>
      </c>
      <c r="U147" s="676">
        <v>0</v>
      </c>
      <c r="V147" s="676">
        <v>0</v>
      </c>
      <c r="W147" s="674">
        <v>18.032865195375944</v>
      </c>
      <c r="X147" s="676"/>
      <c r="Y147" s="676"/>
      <c r="Z147" s="676"/>
      <c r="AA147" s="676"/>
      <c r="AB147" s="676"/>
      <c r="AC147" s="676"/>
      <c r="AD147" s="676"/>
      <c r="AE147" s="676">
        <v>3.2960733734594436</v>
      </c>
      <c r="AF147" s="676"/>
      <c r="AG147" s="676"/>
      <c r="AH147" s="676"/>
      <c r="AI147" s="676"/>
      <c r="AJ147" s="676"/>
      <c r="AK147" s="676"/>
      <c r="AL147" s="676">
        <v>7.2131460781503769</v>
      </c>
      <c r="AM147" s="676">
        <v>0</v>
      </c>
      <c r="AN147" s="676"/>
      <c r="AO147" s="676"/>
      <c r="AP147" s="676"/>
      <c r="AQ147" s="676">
        <v>7.5236457437661217</v>
      </c>
      <c r="AR147" s="676"/>
      <c r="AS147" s="676"/>
      <c r="AT147" s="674">
        <v>47.363141301232446</v>
      </c>
      <c r="AU147" s="676">
        <v>1.0986911244864812</v>
      </c>
      <c r="AV147" s="676">
        <v>0</v>
      </c>
      <c r="AW147" s="676">
        <v>46.26445017674596</v>
      </c>
      <c r="AX147" s="676">
        <v>0</v>
      </c>
      <c r="AY147" s="676">
        <v>0</v>
      </c>
      <c r="AZ147" s="674">
        <v>1.8391134040317187</v>
      </c>
      <c r="BA147" s="676"/>
      <c r="BB147" s="676"/>
      <c r="BC147" s="676"/>
      <c r="BD147" s="676">
        <v>0</v>
      </c>
      <c r="BE147" s="676"/>
      <c r="BF147" s="676">
        <v>1.8391134040317187</v>
      </c>
      <c r="BG147" s="676">
        <v>0</v>
      </c>
      <c r="BH147" s="676">
        <v>0</v>
      </c>
      <c r="BI147" s="676">
        <v>0</v>
      </c>
      <c r="BJ147" s="676">
        <v>0</v>
      </c>
      <c r="BK147" s="676">
        <v>0</v>
      </c>
      <c r="BL147" s="676">
        <v>0</v>
      </c>
      <c r="BM147" s="676">
        <v>0</v>
      </c>
      <c r="BN147" s="676">
        <v>0</v>
      </c>
      <c r="BO147" s="674">
        <v>0</v>
      </c>
      <c r="BP147" s="676">
        <v>0</v>
      </c>
      <c r="BQ147" s="676">
        <v>0</v>
      </c>
      <c r="BR147" s="675"/>
      <c r="BS147" s="675">
        <v>0.11942294831374796</v>
      </c>
      <c r="BT147" s="674">
        <v>431.80949651284988</v>
      </c>
    </row>
    <row r="148" spans="1:72">
      <c r="A148" s="681"/>
      <c r="B148" s="680" t="s">
        <v>968</v>
      </c>
      <c r="C148" s="679" t="s">
        <v>1018</v>
      </c>
      <c r="D148" s="679"/>
      <c r="E148" s="679"/>
      <c r="F148" s="678" t="s">
        <v>1017</v>
      </c>
      <c r="G148" s="678"/>
      <c r="H148" s="677">
        <v>1355.1877328747491</v>
      </c>
      <c r="I148" s="674">
        <v>217.39753511034678</v>
      </c>
      <c r="J148" s="676">
        <v>0</v>
      </c>
      <c r="K148" s="676">
        <v>0</v>
      </c>
      <c r="L148" s="676">
        <v>173.83204356549155</v>
      </c>
      <c r="M148" s="676">
        <v>0</v>
      </c>
      <c r="N148" s="676">
        <v>0</v>
      </c>
      <c r="O148" s="676">
        <v>0</v>
      </c>
      <c r="P148" s="676">
        <v>43.565491544855256</v>
      </c>
      <c r="Q148" s="676">
        <v>0</v>
      </c>
      <c r="R148" s="676">
        <v>0</v>
      </c>
      <c r="S148" s="676">
        <v>0</v>
      </c>
      <c r="T148" s="676">
        <v>0</v>
      </c>
      <c r="U148" s="676">
        <v>0</v>
      </c>
      <c r="V148" s="676">
        <v>0</v>
      </c>
      <c r="W148" s="674">
        <v>314.41673832043563</v>
      </c>
      <c r="X148" s="676"/>
      <c r="Y148" s="676"/>
      <c r="Z148" s="676"/>
      <c r="AA148" s="676"/>
      <c r="AB148" s="676"/>
      <c r="AC148" s="676"/>
      <c r="AD148" s="676">
        <v>256.54437756759336</v>
      </c>
      <c r="AE148" s="676">
        <v>37.427152001528611</v>
      </c>
      <c r="AF148" s="676"/>
      <c r="AG148" s="676"/>
      <c r="AH148" s="676"/>
      <c r="AI148" s="676"/>
      <c r="AJ148" s="676"/>
      <c r="AK148" s="676"/>
      <c r="AL148" s="676">
        <v>18.534441578293684</v>
      </c>
      <c r="AM148" s="676">
        <v>1.9107671730199673</v>
      </c>
      <c r="AN148" s="676"/>
      <c r="AO148" s="676"/>
      <c r="AP148" s="676"/>
      <c r="AQ148" s="676"/>
      <c r="AR148" s="676"/>
      <c r="AS148" s="676"/>
      <c r="AT148" s="674">
        <v>128.73793828222031</v>
      </c>
      <c r="AU148" s="676">
        <v>110.82449603515811</v>
      </c>
      <c r="AV148" s="676">
        <v>0</v>
      </c>
      <c r="AW148" s="676">
        <v>17.913442247062196</v>
      </c>
      <c r="AX148" s="676">
        <v>0</v>
      </c>
      <c r="AY148" s="676">
        <v>0</v>
      </c>
      <c r="AZ148" s="674">
        <v>58.756090570364002</v>
      </c>
      <c r="BA148" s="676"/>
      <c r="BB148" s="676"/>
      <c r="BC148" s="676"/>
      <c r="BD148" s="676">
        <v>0</v>
      </c>
      <c r="BE148" s="676"/>
      <c r="BF148" s="676">
        <v>55.722747683194797</v>
      </c>
      <c r="BG148" s="676">
        <v>0</v>
      </c>
      <c r="BH148" s="676">
        <v>0</v>
      </c>
      <c r="BI148" s="676">
        <v>3.0333428871691983</v>
      </c>
      <c r="BJ148" s="676">
        <v>0</v>
      </c>
      <c r="BK148" s="676">
        <v>0</v>
      </c>
      <c r="BL148" s="676">
        <v>0</v>
      </c>
      <c r="BM148" s="676">
        <v>0</v>
      </c>
      <c r="BN148" s="676">
        <v>0</v>
      </c>
      <c r="BO148" s="674">
        <v>3.0333428871691983</v>
      </c>
      <c r="BP148" s="676">
        <v>0</v>
      </c>
      <c r="BQ148" s="676">
        <v>3.0333428871691983</v>
      </c>
      <c r="BR148" s="675"/>
      <c r="BS148" s="675">
        <v>11.249641731155059</v>
      </c>
      <c r="BT148" s="674">
        <v>621.5725613833954</v>
      </c>
    </row>
    <row r="149" spans="1:72">
      <c r="A149" s="681"/>
      <c r="B149" s="680" t="s">
        <v>968</v>
      </c>
      <c r="C149" s="679" t="s">
        <v>1016</v>
      </c>
      <c r="D149" s="679"/>
      <c r="E149" s="679"/>
      <c r="F149" s="678" t="s">
        <v>1015</v>
      </c>
      <c r="G149" s="678"/>
      <c r="H149" s="677">
        <v>1712.596732588134</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21.13786185153339</v>
      </c>
      <c r="X149" s="676"/>
      <c r="Y149" s="676"/>
      <c r="Z149" s="676"/>
      <c r="AA149" s="676"/>
      <c r="AB149" s="676"/>
      <c r="AC149" s="676"/>
      <c r="AD149" s="676"/>
      <c r="AE149" s="676">
        <v>14.306869207987006</v>
      </c>
      <c r="AF149" s="676"/>
      <c r="AG149" s="676"/>
      <c r="AH149" s="676"/>
      <c r="AI149" s="676"/>
      <c r="AJ149" s="676"/>
      <c r="AK149" s="676"/>
      <c r="AL149" s="676">
        <v>5.1590713671539117</v>
      </c>
      <c r="AM149" s="676">
        <v>0</v>
      </c>
      <c r="AN149" s="676"/>
      <c r="AO149" s="676"/>
      <c r="AP149" s="676"/>
      <c r="AQ149" s="676">
        <v>1.6719212763924716</v>
      </c>
      <c r="AR149" s="676"/>
      <c r="AS149" s="676"/>
      <c r="AT149" s="674">
        <v>36.591191363332378</v>
      </c>
      <c r="AU149" s="676">
        <v>36.591191363332378</v>
      </c>
      <c r="AV149" s="676">
        <v>0</v>
      </c>
      <c r="AW149" s="676">
        <v>0</v>
      </c>
      <c r="AX149" s="676">
        <v>0</v>
      </c>
      <c r="AY149" s="676">
        <v>0</v>
      </c>
      <c r="AZ149" s="674">
        <v>0</v>
      </c>
      <c r="BA149" s="676"/>
      <c r="BB149" s="676"/>
      <c r="BC149" s="676"/>
      <c r="BD149" s="676">
        <v>0</v>
      </c>
      <c r="BE149" s="676"/>
      <c r="BF149" s="676">
        <v>0</v>
      </c>
      <c r="BG149" s="676">
        <v>0</v>
      </c>
      <c r="BH149" s="676">
        <v>0</v>
      </c>
      <c r="BI149" s="676">
        <v>0</v>
      </c>
      <c r="BJ149" s="676">
        <v>0</v>
      </c>
      <c r="BK149" s="676">
        <v>0</v>
      </c>
      <c r="BL149" s="676">
        <v>0</v>
      </c>
      <c r="BM149" s="676">
        <v>0</v>
      </c>
      <c r="BN149" s="676">
        <v>0</v>
      </c>
      <c r="BO149" s="674">
        <v>0</v>
      </c>
      <c r="BP149" s="676">
        <v>0</v>
      </c>
      <c r="BQ149" s="676">
        <v>0</v>
      </c>
      <c r="BR149" s="675"/>
      <c r="BS149" s="675">
        <v>0.78819145887073661</v>
      </c>
      <c r="BT149" s="674">
        <v>1654.0794879143975</v>
      </c>
    </row>
    <row r="150" spans="1:72">
      <c r="A150" s="681"/>
      <c r="B150" s="680" t="s">
        <v>968</v>
      </c>
      <c r="C150" s="679" t="s">
        <v>1014</v>
      </c>
      <c r="D150" s="679"/>
      <c r="E150" s="679"/>
      <c r="F150" s="678" t="s">
        <v>1013</v>
      </c>
      <c r="G150" s="678"/>
      <c r="H150" s="677">
        <v>332.73621859176455</v>
      </c>
      <c r="I150" s="674">
        <v>77.983185248877419</v>
      </c>
      <c r="J150" s="676">
        <v>0</v>
      </c>
      <c r="K150" s="676">
        <v>0</v>
      </c>
      <c r="L150" s="676">
        <v>69.122002483997321</v>
      </c>
      <c r="M150" s="676">
        <v>0</v>
      </c>
      <c r="N150" s="676">
        <v>0</v>
      </c>
      <c r="O150" s="676">
        <v>0</v>
      </c>
      <c r="P150" s="676">
        <v>8.8372981752173487</v>
      </c>
      <c r="Q150" s="676">
        <v>0</v>
      </c>
      <c r="R150" s="676">
        <v>0</v>
      </c>
      <c r="S150" s="676">
        <v>0</v>
      </c>
      <c r="T150" s="676">
        <v>0</v>
      </c>
      <c r="U150" s="676">
        <v>0</v>
      </c>
      <c r="V150" s="676">
        <v>0</v>
      </c>
      <c r="W150" s="674">
        <v>77.792108531575423</v>
      </c>
      <c r="X150" s="676"/>
      <c r="Y150" s="676"/>
      <c r="Z150" s="676"/>
      <c r="AA150" s="676"/>
      <c r="AB150" s="676"/>
      <c r="AC150" s="676"/>
      <c r="AD150" s="676"/>
      <c r="AE150" s="676">
        <v>41.845801089137289</v>
      </c>
      <c r="AF150" s="676"/>
      <c r="AG150" s="676"/>
      <c r="AH150" s="676"/>
      <c r="AI150" s="676"/>
      <c r="AJ150" s="676"/>
      <c r="AK150" s="676"/>
      <c r="AL150" s="676">
        <v>26.774625011942295</v>
      </c>
      <c r="AM150" s="676">
        <v>0</v>
      </c>
      <c r="AN150" s="676"/>
      <c r="AO150" s="676"/>
      <c r="AP150" s="676"/>
      <c r="AQ150" s="676">
        <v>9.1955670201585935</v>
      </c>
      <c r="AR150" s="676"/>
      <c r="AS150" s="676"/>
      <c r="AT150" s="674">
        <v>55.460017196904552</v>
      </c>
      <c r="AU150" s="676">
        <v>50.778637623005636</v>
      </c>
      <c r="AV150" s="676">
        <v>0</v>
      </c>
      <c r="AW150" s="676">
        <v>4.6813795738989201</v>
      </c>
      <c r="AX150" s="676">
        <v>0</v>
      </c>
      <c r="AY150" s="676">
        <v>0</v>
      </c>
      <c r="AZ150" s="674">
        <v>34.608770421324159</v>
      </c>
      <c r="BA150" s="676"/>
      <c r="BB150" s="676"/>
      <c r="BC150" s="676"/>
      <c r="BD150" s="676">
        <v>0</v>
      </c>
      <c r="BE150" s="676"/>
      <c r="BF150" s="676">
        <v>24.505588993981082</v>
      </c>
      <c r="BG150" s="676">
        <v>0</v>
      </c>
      <c r="BH150" s="676">
        <v>0</v>
      </c>
      <c r="BI150" s="676">
        <v>10.103181427343078</v>
      </c>
      <c r="BJ150" s="676">
        <v>0</v>
      </c>
      <c r="BK150" s="676">
        <v>0</v>
      </c>
      <c r="BL150" s="676">
        <v>0</v>
      </c>
      <c r="BM150" s="676">
        <v>0</v>
      </c>
      <c r="BN150" s="676">
        <v>0</v>
      </c>
      <c r="BO150" s="674">
        <v>10.103181427343078</v>
      </c>
      <c r="BP150" s="676">
        <v>0</v>
      </c>
      <c r="BQ150" s="676">
        <v>10.103181427343078</v>
      </c>
      <c r="BR150" s="675"/>
      <c r="BS150" s="675">
        <v>9.553835865099837E-2</v>
      </c>
      <c r="BT150" s="674">
        <v>76.693417407088944</v>
      </c>
    </row>
    <row r="151" spans="1:72">
      <c r="A151" s="681"/>
      <c r="B151" s="680" t="s">
        <v>968</v>
      </c>
      <c r="C151" s="679" t="s">
        <v>1012</v>
      </c>
      <c r="D151" s="679"/>
      <c r="E151" s="679"/>
      <c r="F151" s="678" t="s">
        <v>1011</v>
      </c>
      <c r="G151" s="678"/>
      <c r="H151" s="677">
        <v>62.458201968090187</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11.67956434508455</v>
      </c>
      <c r="X151" s="676"/>
      <c r="Y151" s="676"/>
      <c r="Z151" s="676"/>
      <c r="AA151" s="676"/>
      <c r="AB151" s="676"/>
      <c r="AC151" s="676"/>
      <c r="AD151" s="676"/>
      <c r="AE151" s="676">
        <v>5.493455622432406</v>
      </c>
      <c r="AF151" s="676"/>
      <c r="AG151" s="676"/>
      <c r="AH151" s="676"/>
      <c r="AI151" s="676"/>
      <c r="AJ151" s="676"/>
      <c r="AK151" s="676"/>
      <c r="AL151" s="676">
        <v>6.1861087226521443</v>
      </c>
      <c r="AM151" s="676">
        <v>0</v>
      </c>
      <c r="AN151" s="676"/>
      <c r="AO151" s="676"/>
      <c r="AP151" s="676"/>
      <c r="AQ151" s="676"/>
      <c r="AR151" s="676"/>
      <c r="AS151" s="676"/>
      <c r="AT151" s="674">
        <v>1.4330753797649756</v>
      </c>
      <c r="AU151" s="676">
        <v>1.4330753797649756</v>
      </c>
      <c r="AV151" s="676">
        <v>0</v>
      </c>
      <c r="AW151" s="676">
        <v>0</v>
      </c>
      <c r="AX151" s="676">
        <v>0</v>
      </c>
      <c r="AY151" s="676">
        <v>0</v>
      </c>
      <c r="AZ151" s="674">
        <v>7.1653768988248781E-2</v>
      </c>
      <c r="BA151" s="676"/>
      <c r="BB151" s="676"/>
      <c r="BC151" s="676"/>
      <c r="BD151" s="676">
        <v>0</v>
      </c>
      <c r="BE151" s="676"/>
      <c r="BF151" s="676">
        <v>7.1653768988248781E-2</v>
      </c>
      <c r="BG151" s="676">
        <v>0</v>
      </c>
      <c r="BH151" s="676">
        <v>0</v>
      </c>
      <c r="BI151" s="676">
        <v>0</v>
      </c>
      <c r="BJ151" s="676">
        <v>0</v>
      </c>
      <c r="BK151" s="676">
        <v>0</v>
      </c>
      <c r="BL151" s="676">
        <v>0</v>
      </c>
      <c r="BM151" s="676">
        <v>0</v>
      </c>
      <c r="BN151" s="676">
        <v>0</v>
      </c>
      <c r="BO151" s="674">
        <v>0</v>
      </c>
      <c r="BP151" s="676">
        <v>0</v>
      </c>
      <c r="BQ151" s="676">
        <v>0</v>
      </c>
      <c r="BR151" s="675"/>
      <c r="BS151" s="675">
        <v>2.746727811216203</v>
      </c>
      <c r="BT151" s="674">
        <v>46.527180663036205</v>
      </c>
    </row>
    <row r="152" spans="1:72">
      <c r="A152" s="681"/>
      <c r="B152" s="680" t="s">
        <v>968</v>
      </c>
      <c r="C152" s="679" t="s">
        <v>1010</v>
      </c>
      <c r="D152" s="679"/>
      <c r="E152" s="679"/>
      <c r="F152" s="678" t="s">
        <v>1009</v>
      </c>
      <c r="G152" s="678"/>
      <c r="H152" s="677">
        <v>123.22059807012515</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13.51867774911627</v>
      </c>
      <c r="X152" s="676"/>
      <c r="Y152" s="676"/>
      <c r="Z152" s="676"/>
      <c r="AA152" s="676"/>
      <c r="AB152" s="676"/>
      <c r="AC152" s="676"/>
      <c r="AD152" s="676"/>
      <c r="AE152" s="676">
        <v>2.1973822489729624</v>
      </c>
      <c r="AF152" s="676"/>
      <c r="AG152" s="676"/>
      <c r="AH152" s="676"/>
      <c r="AI152" s="676"/>
      <c r="AJ152" s="676"/>
      <c r="AK152" s="676"/>
      <c r="AL152" s="676">
        <v>11.321295500143307</v>
      </c>
      <c r="AM152" s="676">
        <v>0</v>
      </c>
      <c r="AN152" s="676"/>
      <c r="AO152" s="676"/>
      <c r="AP152" s="676"/>
      <c r="AQ152" s="676"/>
      <c r="AR152" s="676"/>
      <c r="AS152" s="676"/>
      <c r="AT152" s="674">
        <v>5.6845323397344032</v>
      </c>
      <c r="AU152" s="676">
        <v>5.6845323397344032</v>
      </c>
      <c r="AV152" s="676">
        <v>0</v>
      </c>
      <c r="AW152" s="676">
        <v>0</v>
      </c>
      <c r="AX152" s="676">
        <v>0</v>
      </c>
      <c r="AY152" s="676">
        <v>0</v>
      </c>
      <c r="AZ152" s="674">
        <v>0.19107671730199674</v>
      </c>
      <c r="BA152" s="676"/>
      <c r="BB152" s="676"/>
      <c r="BC152" s="676"/>
      <c r="BD152" s="676">
        <v>0</v>
      </c>
      <c r="BE152" s="676"/>
      <c r="BF152" s="676">
        <v>0.19107671730199674</v>
      </c>
      <c r="BG152" s="676">
        <v>0</v>
      </c>
      <c r="BH152" s="676">
        <v>0</v>
      </c>
      <c r="BI152" s="676">
        <v>0</v>
      </c>
      <c r="BJ152" s="676">
        <v>0</v>
      </c>
      <c r="BK152" s="676">
        <v>0</v>
      </c>
      <c r="BL152" s="676">
        <v>0</v>
      </c>
      <c r="BM152" s="676">
        <v>0</v>
      </c>
      <c r="BN152" s="676">
        <v>0</v>
      </c>
      <c r="BO152" s="674">
        <v>0</v>
      </c>
      <c r="BP152" s="676">
        <v>0</v>
      </c>
      <c r="BQ152" s="676">
        <v>0</v>
      </c>
      <c r="BR152" s="675"/>
      <c r="BS152" s="675">
        <v>3.7259959873889366</v>
      </c>
      <c r="BT152" s="674">
        <v>100.07643068692079</v>
      </c>
    </row>
    <row r="153" spans="1:72">
      <c r="A153" s="681"/>
      <c r="B153" s="680" t="s">
        <v>968</v>
      </c>
      <c r="C153" s="679" t="s">
        <v>1008</v>
      </c>
      <c r="D153" s="679"/>
      <c r="E153" s="679"/>
      <c r="F153" s="678" t="s">
        <v>1007</v>
      </c>
      <c r="G153" s="678"/>
      <c r="H153" s="677">
        <v>128.7857074615458</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73.158498137001999</v>
      </c>
      <c r="X153" s="676"/>
      <c r="Y153" s="676"/>
      <c r="Z153" s="676"/>
      <c r="AA153" s="676"/>
      <c r="AB153" s="676"/>
      <c r="AC153" s="676"/>
      <c r="AD153" s="676"/>
      <c r="AE153" s="676">
        <v>1.0986911244864812</v>
      </c>
      <c r="AF153" s="676"/>
      <c r="AG153" s="676"/>
      <c r="AH153" s="676"/>
      <c r="AI153" s="676"/>
      <c r="AJ153" s="676"/>
      <c r="AK153" s="676"/>
      <c r="AL153" s="676">
        <v>72.05980701251552</v>
      </c>
      <c r="AM153" s="676">
        <v>0</v>
      </c>
      <c r="AN153" s="676"/>
      <c r="AO153" s="676"/>
      <c r="AP153" s="676"/>
      <c r="AQ153" s="676"/>
      <c r="AR153" s="676"/>
      <c r="AS153" s="676"/>
      <c r="AT153" s="674">
        <v>4.1559186013184295</v>
      </c>
      <c r="AU153" s="676">
        <v>4.1559186013184295</v>
      </c>
      <c r="AV153" s="676">
        <v>0</v>
      </c>
      <c r="AW153" s="676">
        <v>0</v>
      </c>
      <c r="AX153" s="676">
        <v>0</v>
      </c>
      <c r="AY153" s="676">
        <v>0</v>
      </c>
      <c r="AZ153" s="674">
        <v>1.0270373554982324</v>
      </c>
      <c r="BA153" s="676"/>
      <c r="BB153" s="676"/>
      <c r="BC153" s="676"/>
      <c r="BD153" s="676">
        <v>0</v>
      </c>
      <c r="BE153" s="676"/>
      <c r="BF153" s="676">
        <v>1.0270373554982324</v>
      </c>
      <c r="BG153" s="676">
        <v>0</v>
      </c>
      <c r="BH153" s="676">
        <v>0</v>
      </c>
      <c r="BI153" s="676">
        <v>0</v>
      </c>
      <c r="BJ153" s="676">
        <v>0</v>
      </c>
      <c r="BK153" s="676">
        <v>0</v>
      </c>
      <c r="BL153" s="676">
        <v>0</v>
      </c>
      <c r="BM153" s="676">
        <v>0</v>
      </c>
      <c r="BN153" s="676">
        <v>0</v>
      </c>
      <c r="BO153" s="674">
        <v>0</v>
      </c>
      <c r="BP153" s="676">
        <v>0</v>
      </c>
      <c r="BQ153" s="676">
        <v>0</v>
      </c>
      <c r="BR153" s="675"/>
      <c r="BS153" s="675">
        <v>0.14330753797649756</v>
      </c>
      <c r="BT153" s="674">
        <v>50.300945829750646</v>
      </c>
    </row>
    <row r="154" spans="1:72">
      <c r="A154" s="681"/>
      <c r="B154" s="680" t="s">
        <v>968</v>
      </c>
      <c r="C154" s="679" t="s">
        <v>1006</v>
      </c>
      <c r="D154" s="679"/>
      <c r="E154" s="679"/>
      <c r="F154" s="678" t="s">
        <v>1005</v>
      </c>
      <c r="G154" s="678"/>
      <c r="H154" s="677">
        <v>376.73163275054935</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77.959300659214676</v>
      </c>
      <c r="X154" s="676"/>
      <c r="Y154" s="676"/>
      <c r="Z154" s="676"/>
      <c r="AA154" s="676"/>
      <c r="AB154" s="676"/>
      <c r="AC154" s="676"/>
      <c r="AD154" s="676"/>
      <c r="AE154" s="676">
        <v>27.51504729148753</v>
      </c>
      <c r="AF154" s="676"/>
      <c r="AG154" s="676"/>
      <c r="AH154" s="676"/>
      <c r="AI154" s="676"/>
      <c r="AJ154" s="676"/>
      <c r="AK154" s="676"/>
      <c r="AL154" s="676">
        <v>50.444253367727143</v>
      </c>
      <c r="AM154" s="676">
        <v>0</v>
      </c>
      <c r="AN154" s="676"/>
      <c r="AO154" s="676"/>
      <c r="AP154" s="676"/>
      <c r="AQ154" s="676"/>
      <c r="AR154" s="676"/>
      <c r="AS154" s="676"/>
      <c r="AT154" s="674">
        <v>56.678131269704785</v>
      </c>
      <c r="AU154" s="676">
        <v>56.678131269704785</v>
      </c>
      <c r="AV154" s="676">
        <v>0</v>
      </c>
      <c r="AW154" s="676">
        <v>0</v>
      </c>
      <c r="AX154" s="676">
        <v>0</v>
      </c>
      <c r="AY154" s="676">
        <v>0</v>
      </c>
      <c r="AZ154" s="674">
        <v>3.9887264736791819</v>
      </c>
      <c r="BA154" s="676"/>
      <c r="BB154" s="676"/>
      <c r="BC154" s="676"/>
      <c r="BD154" s="676">
        <v>0</v>
      </c>
      <c r="BE154" s="676"/>
      <c r="BF154" s="676">
        <v>3.9887264736791819</v>
      </c>
      <c r="BG154" s="676">
        <v>0</v>
      </c>
      <c r="BH154" s="676">
        <v>0</v>
      </c>
      <c r="BI154" s="676">
        <v>0</v>
      </c>
      <c r="BJ154" s="676">
        <v>0</v>
      </c>
      <c r="BK154" s="676">
        <v>0</v>
      </c>
      <c r="BL154" s="676">
        <v>0</v>
      </c>
      <c r="BM154" s="676">
        <v>0</v>
      </c>
      <c r="BN154" s="676">
        <v>0</v>
      </c>
      <c r="BO154" s="674">
        <v>0</v>
      </c>
      <c r="BP154" s="676">
        <v>0</v>
      </c>
      <c r="BQ154" s="676">
        <v>0</v>
      </c>
      <c r="BR154" s="675"/>
      <c r="BS154" s="675">
        <v>14.880099359892997</v>
      </c>
      <c r="BT154" s="674">
        <v>223.22537498805769</v>
      </c>
    </row>
    <row r="155" spans="1:72">
      <c r="A155" s="681"/>
      <c r="B155" s="680" t="s">
        <v>968</v>
      </c>
      <c r="C155" s="679" t="s">
        <v>1004</v>
      </c>
      <c r="D155" s="679"/>
      <c r="E155" s="679"/>
      <c r="F155" s="678" t="s">
        <v>1003</v>
      </c>
      <c r="G155" s="678"/>
      <c r="H155" s="677">
        <v>511.7512181140728</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20.49297793063915</v>
      </c>
      <c r="X155" s="676"/>
      <c r="Y155" s="676"/>
      <c r="Z155" s="676"/>
      <c r="AA155" s="676"/>
      <c r="AB155" s="676"/>
      <c r="AC155" s="676"/>
      <c r="AD155" s="676"/>
      <c r="AE155" s="676">
        <v>2.1973822489729624</v>
      </c>
      <c r="AF155" s="676"/>
      <c r="AG155" s="676"/>
      <c r="AH155" s="676"/>
      <c r="AI155" s="676"/>
      <c r="AJ155" s="676"/>
      <c r="AK155" s="676"/>
      <c r="AL155" s="676">
        <v>2.0540747109964648</v>
      </c>
      <c r="AM155" s="676">
        <v>16.241520970669722</v>
      </c>
      <c r="AN155" s="676"/>
      <c r="AO155" s="676"/>
      <c r="AP155" s="676"/>
      <c r="AQ155" s="676"/>
      <c r="AR155" s="676"/>
      <c r="AS155" s="676"/>
      <c r="AT155" s="674">
        <v>8.3357217922996085</v>
      </c>
      <c r="AU155" s="676">
        <v>8.3357217922996085</v>
      </c>
      <c r="AV155" s="676">
        <v>0</v>
      </c>
      <c r="AW155" s="676">
        <v>0</v>
      </c>
      <c r="AX155" s="676">
        <v>0</v>
      </c>
      <c r="AY155" s="676">
        <v>0</v>
      </c>
      <c r="AZ155" s="674">
        <v>163.6572083691602</v>
      </c>
      <c r="BA155" s="676"/>
      <c r="BB155" s="676"/>
      <c r="BC155" s="676"/>
      <c r="BD155" s="676">
        <v>0</v>
      </c>
      <c r="BE155" s="676"/>
      <c r="BF155" s="676">
        <v>159.40575140919077</v>
      </c>
      <c r="BG155" s="676">
        <v>0</v>
      </c>
      <c r="BH155" s="676">
        <v>4.2514569599694276</v>
      </c>
      <c r="BI155" s="676">
        <v>0</v>
      </c>
      <c r="BJ155" s="676">
        <v>0</v>
      </c>
      <c r="BK155" s="676">
        <v>0</v>
      </c>
      <c r="BL155" s="676">
        <v>0</v>
      </c>
      <c r="BM155" s="676">
        <v>0</v>
      </c>
      <c r="BN155" s="676">
        <v>0</v>
      </c>
      <c r="BO155" s="674">
        <v>0</v>
      </c>
      <c r="BP155" s="676">
        <v>0</v>
      </c>
      <c r="BQ155" s="676">
        <v>0</v>
      </c>
      <c r="BR155" s="675"/>
      <c r="BS155" s="675">
        <v>6.2577624916403929</v>
      </c>
      <c r="BT155" s="674">
        <v>312.98366294067068</v>
      </c>
    </row>
    <row r="156" spans="1:72">
      <c r="A156" s="681"/>
      <c r="B156" s="680" t="s">
        <v>968</v>
      </c>
      <c r="C156" s="679" t="s">
        <v>1002</v>
      </c>
      <c r="D156" s="679"/>
      <c r="E156" s="679"/>
      <c r="F156" s="678" t="s">
        <v>1001</v>
      </c>
      <c r="G156" s="678"/>
      <c r="H156" s="677">
        <v>147.53511034680423</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7.2131460781503769</v>
      </c>
      <c r="X156" s="676"/>
      <c r="Y156" s="676"/>
      <c r="Z156" s="676"/>
      <c r="AA156" s="676"/>
      <c r="AB156" s="676"/>
      <c r="AC156" s="676"/>
      <c r="AD156" s="676"/>
      <c r="AE156" s="676"/>
      <c r="AF156" s="676"/>
      <c r="AG156" s="676"/>
      <c r="AH156" s="676"/>
      <c r="AI156" s="676"/>
      <c r="AJ156" s="676"/>
      <c r="AK156" s="676"/>
      <c r="AL156" s="676">
        <v>7.2131460781503769</v>
      </c>
      <c r="AM156" s="676">
        <v>0</v>
      </c>
      <c r="AN156" s="676"/>
      <c r="AO156" s="676"/>
      <c r="AP156" s="676"/>
      <c r="AQ156" s="676"/>
      <c r="AR156" s="676"/>
      <c r="AS156" s="676"/>
      <c r="AT156" s="674">
        <v>4.8963408808636668</v>
      </c>
      <c r="AU156" s="676">
        <v>4.8963408808636668</v>
      </c>
      <c r="AV156" s="676">
        <v>0</v>
      </c>
      <c r="AW156" s="676">
        <v>0</v>
      </c>
      <c r="AX156" s="676">
        <v>0</v>
      </c>
      <c r="AY156" s="676">
        <v>0</v>
      </c>
      <c r="AZ156" s="674">
        <v>76.359033151810451</v>
      </c>
      <c r="BA156" s="676"/>
      <c r="BB156" s="676"/>
      <c r="BC156" s="676"/>
      <c r="BD156" s="676">
        <v>0</v>
      </c>
      <c r="BE156" s="676"/>
      <c r="BF156" s="676">
        <v>76.359033151810451</v>
      </c>
      <c r="BG156" s="676">
        <v>0</v>
      </c>
      <c r="BH156" s="676">
        <v>0</v>
      </c>
      <c r="BI156" s="676">
        <v>0</v>
      </c>
      <c r="BJ156" s="676">
        <v>0</v>
      </c>
      <c r="BK156" s="676">
        <v>0</v>
      </c>
      <c r="BL156" s="676">
        <v>0</v>
      </c>
      <c r="BM156" s="676">
        <v>0</v>
      </c>
      <c r="BN156" s="676">
        <v>0</v>
      </c>
      <c r="BO156" s="674">
        <v>0</v>
      </c>
      <c r="BP156" s="676">
        <v>0</v>
      </c>
      <c r="BQ156" s="676">
        <v>0</v>
      </c>
      <c r="BR156" s="675"/>
      <c r="BS156" s="675">
        <v>6.7115696952326358</v>
      </c>
      <c r="BT156" s="674">
        <v>52.355020540747105</v>
      </c>
    </row>
    <row r="157" spans="1:72">
      <c r="A157" s="681"/>
      <c r="B157" s="680" t="s">
        <v>968</v>
      </c>
      <c r="C157" s="679" t="s">
        <v>1000</v>
      </c>
      <c r="D157" s="679"/>
      <c r="E157" s="679"/>
      <c r="F157" s="678" t="s">
        <v>999</v>
      </c>
      <c r="G157" s="678"/>
      <c r="H157" s="677">
        <v>279.09143020922897</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164.01547721410145</v>
      </c>
      <c r="X157" s="676"/>
      <c r="Y157" s="676"/>
      <c r="Z157" s="676"/>
      <c r="AA157" s="676"/>
      <c r="AB157" s="676"/>
      <c r="AC157" s="676"/>
      <c r="AD157" s="676"/>
      <c r="AE157" s="676">
        <v>20.922900544568645</v>
      </c>
      <c r="AF157" s="676"/>
      <c r="AG157" s="676"/>
      <c r="AH157" s="676"/>
      <c r="AI157" s="676"/>
      <c r="AJ157" s="676"/>
      <c r="AK157" s="676"/>
      <c r="AL157" s="676">
        <v>143.0925766695328</v>
      </c>
      <c r="AM157" s="676">
        <v>0</v>
      </c>
      <c r="AN157" s="676"/>
      <c r="AO157" s="676"/>
      <c r="AP157" s="676"/>
      <c r="AQ157" s="676"/>
      <c r="AR157" s="676"/>
      <c r="AS157" s="676"/>
      <c r="AT157" s="674">
        <v>0.76430686920798696</v>
      </c>
      <c r="AU157" s="676">
        <v>0.76430686920798696</v>
      </c>
      <c r="AV157" s="676">
        <v>0</v>
      </c>
      <c r="AW157" s="676">
        <v>0</v>
      </c>
      <c r="AX157" s="676">
        <v>0</v>
      </c>
      <c r="AY157" s="676">
        <v>0</v>
      </c>
      <c r="AZ157" s="674">
        <v>4.5141874462596734</v>
      </c>
      <c r="BA157" s="676"/>
      <c r="BB157" s="676"/>
      <c r="BC157" s="676"/>
      <c r="BD157" s="676">
        <v>0</v>
      </c>
      <c r="BE157" s="676"/>
      <c r="BF157" s="676">
        <v>4.5141874462596734</v>
      </c>
      <c r="BG157" s="676">
        <v>0</v>
      </c>
      <c r="BH157" s="676">
        <v>0</v>
      </c>
      <c r="BI157" s="676">
        <v>0</v>
      </c>
      <c r="BJ157" s="676">
        <v>0</v>
      </c>
      <c r="BK157" s="676">
        <v>0</v>
      </c>
      <c r="BL157" s="676">
        <v>0</v>
      </c>
      <c r="BM157" s="676">
        <v>0</v>
      </c>
      <c r="BN157" s="676">
        <v>0</v>
      </c>
      <c r="BO157" s="674">
        <v>0</v>
      </c>
      <c r="BP157" s="676">
        <v>0</v>
      </c>
      <c r="BQ157" s="676">
        <v>0</v>
      </c>
      <c r="BR157" s="675"/>
      <c r="BS157" s="675">
        <v>0</v>
      </c>
      <c r="BT157" s="674">
        <v>109.79745867965988</v>
      </c>
    </row>
    <row r="158" spans="1:72">
      <c r="A158" s="681"/>
      <c r="B158" s="680" t="s">
        <v>968</v>
      </c>
      <c r="C158" s="679" t="s">
        <v>998</v>
      </c>
      <c r="D158" s="679"/>
      <c r="E158" s="679"/>
      <c r="F158" s="678" t="s">
        <v>997</v>
      </c>
      <c r="G158" s="678"/>
      <c r="H158" s="677">
        <v>9.7449125824018346</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2.1257284799847138</v>
      </c>
      <c r="X158" s="676"/>
      <c r="Y158" s="676"/>
      <c r="Z158" s="676"/>
      <c r="AA158" s="676"/>
      <c r="AB158" s="676"/>
      <c r="AC158" s="676"/>
      <c r="AD158" s="676"/>
      <c r="AE158" s="676">
        <v>1.0986911244864812</v>
      </c>
      <c r="AF158" s="676"/>
      <c r="AG158" s="676"/>
      <c r="AH158" s="676"/>
      <c r="AI158" s="676"/>
      <c r="AJ158" s="676"/>
      <c r="AK158" s="676"/>
      <c r="AL158" s="676">
        <v>1.0270373554982324</v>
      </c>
      <c r="AM158" s="676">
        <v>0</v>
      </c>
      <c r="AN158" s="676"/>
      <c r="AO158" s="676"/>
      <c r="AP158" s="676"/>
      <c r="AQ158" s="676"/>
      <c r="AR158" s="676"/>
      <c r="AS158" s="676"/>
      <c r="AT158" s="674">
        <v>0.5493455622432406</v>
      </c>
      <c r="AU158" s="676">
        <v>0.5493455622432406</v>
      </c>
      <c r="AV158" s="676">
        <v>0</v>
      </c>
      <c r="AW158" s="676">
        <v>0</v>
      </c>
      <c r="AX158" s="676">
        <v>0</v>
      </c>
      <c r="AY158" s="676">
        <v>0</v>
      </c>
      <c r="AZ158" s="674">
        <v>0</v>
      </c>
      <c r="BA158" s="676"/>
      <c r="BB158" s="676"/>
      <c r="BC158" s="676"/>
      <c r="BD158" s="676">
        <v>0</v>
      </c>
      <c r="BE158" s="676"/>
      <c r="BF158" s="676">
        <v>0</v>
      </c>
      <c r="BG158" s="676">
        <v>0</v>
      </c>
      <c r="BH158" s="676">
        <v>0</v>
      </c>
      <c r="BI158" s="676">
        <v>0</v>
      </c>
      <c r="BJ158" s="676">
        <v>0</v>
      </c>
      <c r="BK158" s="676">
        <v>0</v>
      </c>
      <c r="BL158" s="676">
        <v>0</v>
      </c>
      <c r="BM158" s="676">
        <v>0</v>
      </c>
      <c r="BN158" s="676">
        <v>0</v>
      </c>
      <c r="BO158" s="674">
        <v>0</v>
      </c>
      <c r="BP158" s="676">
        <v>0</v>
      </c>
      <c r="BQ158" s="676">
        <v>0</v>
      </c>
      <c r="BR158" s="675"/>
      <c r="BS158" s="675">
        <v>0</v>
      </c>
      <c r="BT158" s="674">
        <v>7.0459539505111302</v>
      </c>
    </row>
    <row r="159" spans="1:72">
      <c r="A159" s="681"/>
      <c r="B159" s="680" t="s">
        <v>968</v>
      </c>
      <c r="C159" s="679" t="s">
        <v>996</v>
      </c>
      <c r="D159" s="679"/>
      <c r="E159" s="679"/>
      <c r="F159" s="678" t="s">
        <v>995</v>
      </c>
      <c r="G159" s="678"/>
      <c r="H159" s="677">
        <v>67.473965797267596</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12.419986624629788</v>
      </c>
      <c r="X159" s="676"/>
      <c r="Y159" s="676"/>
      <c r="Z159" s="676"/>
      <c r="AA159" s="676"/>
      <c r="AB159" s="676"/>
      <c r="AC159" s="676"/>
      <c r="AD159" s="676"/>
      <c r="AE159" s="676">
        <v>1.0986911244864812</v>
      </c>
      <c r="AF159" s="676"/>
      <c r="AG159" s="676"/>
      <c r="AH159" s="676"/>
      <c r="AI159" s="676"/>
      <c r="AJ159" s="676"/>
      <c r="AK159" s="676"/>
      <c r="AL159" s="676">
        <v>11.321295500143307</v>
      </c>
      <c r="AM159" s="676">
        <v>0</v>
      </c>
      <c r="AN159" s="676"/>
      <c r="AO159" s="676"/>
      <c r="AP159" s="676"/>
      <c r="AQ159" s="676"/>
      <c r="AR159" s="676"/>
      <c r="AS159" s="676"/>
      <c r="AT159" s="674">
        <v>10.867488296551064</v>
      </c>
      <c r="AU159" s="676">
        <v>10.867488296551064</v>
      </c>
      <c r="AV159" s="676">
        <v>0</v>
      </c>
      <c r="AW159" s="676">
        <v>0</v>
      </c>
      <c r="AX159" s="676">
        <v>0</v>
      </c>
      <c r="AY159" s="676">
        <v>0</v>
      </c>
      <c r="AZ159" s="674">
        <v>3.6543422184006875</v>
      </c>
      <c r="BA159" s="676"/>
      <c r="BB159" s="676"/>
      <c r="BC159" s="676"/>
      <c r="BD159" s="676">
        <v>0</v>
      </c>
      <c r="BE159" s="676"/>
      <c r="BF159" s="676">
        <v>3.6543422184006875</v>
      </c>
      <c r="BG159" s="676">
        <v>0</v>
      </c>
      <c r="BH159" s="676">
        <v>0</v>
      </c>
      <c r="BI159" s="676">
        <v>0</v>
      </c>
      <c r="BJ159" s="676">
        <v>0</v>
      </c>
      <c r="BK159" s="676">
        <v>0</v>
      </c>
      <c r="BL159" s="676">
        <v>0</v>
      </c>
      <c r="BM159" s="676">
        <v>0</v>
      </c>
      <c r="BN159" s="676">
        <v>0</v>
      </c>
      <c r="BO159" s="674">
        <v>0</v>
      </c>
      <c r="BP159" s="676">
        <v>0</v>
      </c>
      <c r="BQ159" s="676">
        <v>0</v>
      </c>
      <c r="BR159" s="675"/>
      <c r="BS159" s="675">
        <v>0.28661507595299512</v>
      </c>
      <c r="BT159" s="674">
        <v>40.245533581733063</v>
      </c>
    </row>
    <row r="160" spans="1:72">
      <c r="A160" s="680" t="s">
        <v>968</v>
      </c>
      <c r="B160" s="679" t="s">
        <v>994</v>
      </c>
      <c r="C160" s="679"/>
      <c r="D160" s="679"/>
      <c r="E160" s="679"/>
      <c r="F160" s="678" t="s">
        <v>993</v>
      </c>
      <c r="G160" s="678"/>
      <c r="H160" s="677">
        <v>5306.176554886787</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5016.2415209706696</v>
      </c>
      <c r="X160" s="676"/>
      <c r="Y160" s="676"/>
      <c r="Z160" s="676"/>
      <c r="AA160" s="676"/>
      <c r="AB160" s="676"/>
      <c r="AC160" s="676"/>
      <c r="AD160" s="676"/>
      <c r="AE160" s="676">
        <v>2.1973822489729624</v>
      </c>
      <c r="AF160" s="676">
        <v>973.0342982707557</v>
      </c>
      <c r="AG160" s="676">
        <v>1.0509219451609821</v>
      </c>
      <c r="AH160" s="676"/>
      <c r="AI160" s="676">
        <v>893.54638387312502</v>
      </c>
      <c r="AJ160" s="676"/>
      <c r="AK160" s="676"/>
      <c r="AL160" s="676">
        <v>3112.9741091048054</v>
      </c>
      <c r="AM160" s="676">
        <v>33.438425527849432</v>
      </c>
      <c r="AN160" s="676"/>
      <c r="AO160" s="676"/>
      <c r="AP160" s="676"/>
      <c r="AQ160" s="676"/>
      <c r="AR160" s="676"/>
      <c r="AS160" s="676"/>
      <c r="AT160" s="674">
        <v>103.10977357408999</v>
      </c>
      <c r="AU160" s="676">
        <v>103.10977357408999</v>
      </c>
      <c r="AV160" s="676">
        <v>0</v>
      </c>
      <c r="AW160" s="676">
        <v>0</v>
      </c>
      <c r="AX160" s="676">
        <v>0</v>
      </c>
      <c r="AY160" s="676">
        <v>0</v>
      </c>
      <c r="AZ160" s="674">
        <v>124.03267411865863</v>
      </c>
      <c r="BA160" s="676"/>
      <c r="BB160" s="676"/>
      <c r="BC160" s="676"/>
      <c r="BD160" s="676">
        <v>0</v>
      </c>
      <c r="BE160" s="676"/>
      <c r="BF160" s="676">
        <v>0</v>
      </c>
      <c r="BG160" s="676">
        <v>0</v>
      </c>
      <c r="BH160" s="676">
        <v>0.9076144071844845</v>
      </c>
      <c r="BI160" s="676">
        <v>0</v>
      </c>
      <c r="BJ160" s="676">
        <v>6.401070029616891</v>
      </c>
      <c r="BK160" s="676">
        <v>114.26387694659405</v>
      </c>
      <c r="BL160" s="676">
        <v>0</v>
      </c>
      <c r="BM160" s="676">
        <v>2.4601127352632082</v>
      </c>
      <c r="BN160" s="676">
        <v>0</v>
      </c>
      <c r="BO160" s="674">
        <v>0</v>
      </c>
      <c r="BP160" s="676">
        <v>0</v>
      </c>
      <c r="BQ160" s="676">
        <v>0</v>
      </c>
      <c r="BR160" s="675"/>
      <c r="BS160" s="675"/>
      <c r="BT160" s="674">
        <v>62.76870163370593</v>
      </c>
    </row>
    <row r="161" spans="1:72">
      <c r="A161" s="681"/>
      <c r="B161" s="680" t="s">
        <v>968</v>
      </c>
      <c r="C161" s="679" t="s">
        <v>992</v>
      </c>
      <c r="D161" s="679"/>
      <c r="E161" s="679"/>
      <c r="F161" s="678" t="s">
        <v>991</v>
      </c>
      <c r="G161" s="678"/>
      <c r="H161" s="677">
        <v>75.021496130696477</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14.402407566638004</v>
      </c>
      <c r="X161" s="676"/>
      <c r="Y161" s="676"/>
      <c r="Z161" s="676"/>
      <c r="AA161" s="676"/>
      <c r="AB161" s="676"/>
      <c r="AC161" s="676"/>
      <c r="AD161" s="676"/>
      <c r="AE161" s="676"/>
      <c r="AF161" s="676"/>
      <c r="AG161" s="676"/>
      <c r="AH161" s="676"/>
      <c r="AI161" s="676"/>
      <c r="AJ161" s="676"/>
      <c r="AK161" s="676"/>
      <c r="AL161" s="676">
        <v>14.402407566638004</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60.619088564058465</v>
      </c>
    </row>
    <row r="162" spans="1:72">
      <c r="A162" s="681"/>
      <c r="B162" s="680" t="s">
        <v>968</v>
      </c>
      <c r="C162" s="679" t="s">
        <v>990</v>
      </c>
      <c r="D162" s="679"/>
      <c r="E162" s="679"/>
      <c r="F162" s="678" t="s">
        <v>989</v>
      </c>
      <c r="G162" s="678"/>
      <c r="H162" s="677">
        <v>3521.5200152861371</v>
      </c>
      <c r="I162" s="674"/>
      <c r="J162" s="676"/>
      <c r="K162" s="676"/>
      <c r="L162" s="676"/>
      <c r="M162" s="676"/>
      <c r="N162" s="676"/>
      <c r="O162" s="676"/>
      <c r="P162" s="676"/>
      <c r="Q162" s="676"/>
      <c r="R162" s="676"/>
      <c r="S162" s="676"/>
      <c r="T162" s="676"/>
      <c r="U162" s="676"/>
      <c r="V162" s="676"/>
      <c r="W162" s="674">
        <v>3381.2935893761342</v>
      </c>
      <c r="X162" s="676"/>
      <c r="Y162" s="676"/>
      <c r="Z162" s="676"/>
      <c r="AA162" s="676"/>
      <c r="AB162" s="676"/>
      <c r="AC162" s="676"/>
      <c r="AD162" s="676"/>
      <c r="AE162" s="676">
        <v>2.1973822489729624</v>
      </c>
      <c r="AF162" s="676">
        <v>932.14388076812838</v>
      </c>
      <c r="AG162" s="676"/>
      <c r="AH162" s="676"/>
      <c r="AI162" s="676"/>
      <c r="AJ162" s="676"/>
      <c r="AK162" s="676"/>
      <c r="AL162" s="676">
        <v>2446.9523263590331</v>
      </c>
      <c r="AM162" s="676">
        <v>0</v>
      </c>
      <c r="AN162" s="676"/>
      <c r="AO162" s="676"/>
      <c r="AP162" s="676"/>
      <c r="AQ162" s="676"/>
      <c r="AR162" s="676"/>
      <c r="AS162" s="676"/>
      <c r="AT162" s="674">
        <v>14.044138721696761</v>
      </c>
      <c r="AU162" s="676">
        <v>14.044138721696761</v>
      </c>
      <c r="AV162" s="676"/>
      <c r="AW162" s="676"/>
      <c r="AX162" s="676"/>
      <c r="AY162" s="676"/>
      <c r="AZ162" s="674">
        <v>124.03267411865863</v>
      </c>
      <c r="BA162" s="676"/>
      <c r="BB162" s="676"/>
      <c r="BC162" s="676"/>
      <c r="BD162" s="676">
        <v>0</v>
      </c>
      <c r="BE162" s="676"/>
      <c r="BF162" s="676">
        <v>0</v>
      </c>
      <c r="BG162" s="676">
        <v>0</v>
      </c>
      <c r="BH162" s="676">
        <v>0.9076144071844845</v>
      </c>
      <c r="BI162" s="676">
        <v>0</v>
      </c>
      <c r="BJ162" s="676">
        <v>6.401070029616891</v>
      </c>
      <c r="BK162" s="676">
        <v>114.26387694659405</v>
      </c>
      <c r="BL162" s="676">
        <v>0</v>
      </c>
      <c r="BM162" s="676">
        <v>2.4601127352632082</v>
      </c>
      <c r="BN162" s="676">
        <v>0</v>
      </c>
      <c r="BO162" s="674">
        <v>0</v>
      </c>
      <c r="BP162" s="676">
        <v>0</v>
      </c>
      <c r="BQ162" s="676">
        <v>0</v>
      </c>
      <c r="BR162" s="675"/>
      <c r="BS162" s="675"/>
      <c r="BT162" s="674">
        <v>2.1496130696474633</v>
      </c>
    </row>
    <row r="163" spans="1:72">
      <c r="A163" s="681"/>
      <c r="B163" s="680" t="s">
        <v>968</v>
      </c>
      <c r="C163" s="679" t="s">
        <v>988</v>
      </c>
      <c r="D163" s="679"/>
      <c r="E163" s="679"/>
      <c r="F163" s="678" t="s">
        <v>987</v>
      </c>
      <c r="G163" s="678"/>
      <c r="H163" s="677">
        <v>492.07031623196713</v>
      </c>
      <c r="I163" s="674"/>
      <c r="J163" s="676"/>
      <c r="K163" s="676"/>
      <c r="L163" s="676"/>
      <c r="M163" s="676"/>
      <c r="N163" s="676"/>
      <c r="O163" s="676"/>
      <c r="P163" s="676"/>
      <c r="Q163" s="676"/>
      <c r="R163" s="676"/>
      <c r="S163" s="676"/>
      <c r="T163" s="676"/>
      <c r="U163" s="676"/>
      <c r="V163" s="676"/>
      <c r="W163" s="674">
        <v>492.07031623196713</v>
      </c>
      <c r="X163" s="676"/>
      <c r="Y163" s="676"/>
      <c r="Z163" s="676"/>
      <c r="AA163" s="676"/>
      <c r="AB163" s="676"/>
      <c r="AC163" s="676"/>
      <c r="AD163" s="676"/>
      <c r="AE163" s="676"/>
      <c r="AF163" s="676"/>
      <c r="AG163" s="676"/>
      <c r="AH163" s="676"/>
      <c r="AI163" s="676">
        <v>492.07031623196713</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c r="A164" s="681"/>
      <c r="B164" s="680" t="s">
        <v>968</v>
      </c>
      <c r="C164" s="679" t="s">
        <v>986</v>
      </c>
      <c r="D164" s="679"/>
      <c r="E164" s="679"/>
      <c r="F164" s="678" t="s">
        <v>985</v>
      </c>
      <c r="G164" s="678"/>
      <c r="H164" s="677">
        <v>402.5269895863189</v>
      </c>
      <c r="I164" s="674"/>
      <c r="J164" s="676"/>
      <c r="K164" s="676"/>
      <c r="L164" s="676"/>
      <c r="M164" s="676"/>
      <c r="N164" s="676"/>
      <c r="O164" s="676"/>
      <c r="P164" s="676"/>
      <c r="Q164" s="676"/>
      <c r="R164" s="676"/>
      <c r="S164" s="676"/>
      <c r="T164" s="676"/>
      <c r="U164" s="676"/>
      <c r="V164" s="676"/>
      <c r="W164" s="674">
        <v>402.5269895863189</v>
      </c>
      <c r="X164" s="676"/>
      <c r="Y164" s="676"/>
      <c r="Z164" s="676"/>
      <c r="AA164" s="676"/>
      <c r="AB164" s="676"/>
      <c r="AC164" s="676"/>
      <c r="AD164" s="676"/>
      <c r="AE164" s="676"/>
      <c r="AF164" s="676"/>
      <c r="AG164" s="676">
        <v>1.0509219451609821</v>
      </c>
      <c r="AH164" s="676"/>
      <c r="AI164" s="676">
        <v>401.4760676411579</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c r="A165" s="681"/>
      <c r="B165" s="680" t="s">
        <v>968</v>
      </c>
      <c r="C165" s="679" t="s">
        <v>984</v>
      </c>
      <c r="D165" s="679"/>
      <c r="E165" s="679"/>
      <c r="F165" s="678" t="s">
        <v>983</v>
      </c>
      <c r="G165" s="678"/>
      <c r="H165" s="677">
        <v>725.94821820961113</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725.94821820961113</v>
      </c>
      <c r="X165" s="676"/>
      <c r="Y165" s="676"/>
      <c r="Z165" s="676"/>
      <c r="AA165" s="676"/>
      <c r="AB165" s="676"/>
      <c r="AC165" s="676"/>
      <c r="AD165" s="676"/>
      <c r="AE165" s="676"/>
      <c r="AF165" s="676">
        <v>40.890417502627301</v>
      </c>
      <c r="AG165" s="676"/>
      <c r="AH165" s="676"/>
      <c r="AI165" s="676"/>
      <c r="AJ165" s="676"/>
      <c r="AK165" s="676"/>
      <c r="AL165" s="676">
        <v>651.61937517913441</v>
      </c>
      <c r="AM165" s="676">
        <v>33.438425527849432</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c r="A167" s="681"/>
      <c r="B167" s="680" t="s">
        <v>968</v>
      </c>
      <c r="C167" s="679" t="s">
        <v>980</v>
      </c>
      <c r="D167" s="679"/>
      <c r="E167" s="679"/>
      <c r="F167" s="678" t="s">
        <v>979</v>
      </c>
      <c r="G167" s="678"/>
      <c r="H167" s="677">
        <v>89.089519442055987</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89.089519442055987</v>
      </c>
      <c r="AU167" s="676">
        <v>89.089519442055987</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c r="A168" s="680" t="s">
        <v>968</v>
      </c>
      <c r="B168" s="679" t="s">
        <v>978</v>
      </c>
      <c r="C168" s="679"/>
      <c r="D168" s="679"/>
      <c r="E168" s="679"/>
      <c r="F168" s="678" t="s">
        <v>977</v>
      </c>
      <c r="G168" s="678"/>
      <c r="H168" s="677">
        <v>7786.4239992356925</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982.22986529091429</v>
      </c>
      <c r="X168" s="676"/>
      <c r="Y168" s="676"/>
      <c r="Z168" s="676"/>
      <c r="AA168" s="676"/>
      <c r="AB168" s="676"/>
      <c r="AC168" s="676"/>
      <c r="AD168" s="676"/>
      <c r="AE168" s="676">
        <v>17.626827171109198</v>
      </c>
      <c r="AF168" s="676">
        <v>23.072513614216106</v>
      </c>
      <c r="AG168" s="676"/>
      <c r="AH168" s="676"/>
      <c r="AI168" s="676">
        <v>33.963886500429922</v>
      </c>
      <c r="AJ168" s="676">
        <v>45.285182000573229</v>
      </c>
      <c r="AK168" s="676"/>
      <c r="AL168" s="676">
        <v>844.12916786089613</v>
      </c>
      <c r="AM168" s="676">
        <v>18.152288143689692</v>
      </c>
      <c r="AN168" s="676"/>
      <c r="AO168" s="676"/>
      <c r="AP168" s="676"/>
      <c r="AQ168" s="676"/>
      <c r="AR168" s="676"/>
      <c r="AS168" s="676"/>
      <c r="AT168" s="674">
        <v>42.275723703066781</v>
      </c>
      <c r="AU168" s="676">
        <v>42.275723703066781</v>
      </c>
      <c r="AV168" s="676">
        <v>0</v>
      </c>
      <c r="AW168" s="676">
        <v>0</v>
      </c>
      <c r="AX168" s="676">
        <v>0</v>
      </c>
      <c r="AY168" s="676">
        <v>0</v>
      </c>
      <c r="AZ168" s="674">
        <v>573.23015190599028</v>
      </c>
      <c r="BA168" s="676"/>
      <c r="BB168" s="676"/>
      <c r="BC168" s="676"/>
      <c r="BD168" s="676">
        <v>0</v>
      </c>
      <c r="BE168" s="676"/>
      <c r="BF168" s="676">
        <v>565.99312123817708</v>
      </c>
      <c r="BG168" s="676">
        <v>0</v>
      </c>
      <c r="BH168" s="676">
        <v>7.2370306678131264</v>
      </c>
      <c r="BI168" s="676">
        <v>0</v>
      </c>
      <c r="BJ168" s="676">
        <v>0</v>
      </c>
      <c r="BK168" s="676">
        <v>0</v>
      </c>
      <c r="BL168" s="676">
        <v>0</v>
      </c>
      <c r="BM168" s="676">
        <v>0</v>
      </c>
      <c r="BN168" s="676">
        <v>0</v>
      </c>
      <c r="BO168" s="674">
        <v>0</v>
      </c>
      <c r="BP168" s="676">
        <v>0</v>
      </c>
      <c r="BQ168" s="676">
        <v>0</v>
      </c>
      <c r="BR168" s="675"/>
      <c r="BS168" s="675">
        <v>373.79382822203115</v>
      </c>
      <c r="BT168" s="674">
        <v>5814.8705455240279</v>
      </c>
    </row>
    <row r="169" spans="1:72">
      <c r="A169" s="681"/>
      <c r="B169" s="680" t="s">
        <v>968</v>
      </c>
      <c r="C169" s="679" t="s">
        <v>976</v>
      </c>
      <c r="D169" s="679"/>
      <c r="E169" s="679"/>
      <c r="F169" s="678" t="s">
        <v>975</v>
      </c>
      <c r="G169" s="678"/>
      <c r="H169" s="677">
        <v>2833.6916021782745</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196.90455717970764</v>
      </c>
      <c r="X169" s="676"/>
      <c r="Y169" s="676"/>
      <c r="Z169" s="676"/>
      <c r="AA169" s="676"/>
      <c r="AB169" s="676"/>
      <c r="AC169" s="676"/>
      <c r="AD169" s="676"/>
      <c r="AE169" s="676">
        <v>8.8134135855545992</v>
      </c>
      <c r="AF169" s="676"/>
      <c r="AG169" s="676"/>
      <c r="AH169" s="676"/>
      <c r="AI169" s="676"/>
      <c r="AJ169" s="676">
        <v>5.1590713671539117</v>
      </c>
      <c r="AK169" s="676"/>
      <c r="AL169" s="676">
        <v>179.11053788095919</v>
      </c>
      <c r="AM169" s="676">
        <v>3.8215343460399347</v>
      </c>
      <c r="AN169" s="676"/>
      <c r="AO169" s="676"/>
      <c r="AP169" s="676"/>
      <c r="AQ169" s="676"/>
      <c r="AR169" s="676"/>
      <c r="AS169" s="676"/>
      <c r="AT169" s="674">
        <v>20.301901213337153</v>
      </c>
      <c r="AU169" s="676">
        <v>20.301901213337153</v>
      </c>
      <c r="AV169" s="676">
        <v>0</v>
      </c>
      <c r="AW169" s="676">
        <v>0</v>
      </c>
      <c r="AX169" s="676">
        <v>0</v>
      </c>
      <c r="AY169" s="676">
        <v>0</v>
      </c>
      <c r="AZ169" s="674">
        <v>42.610107958345274</v>
      </c>
      <c r="BA169" s="676"/>
      <c r="BB169" s="676"/>
      <c r="BC169" s="676"/>
      <c r="BD169" s="676">
        <v>0</v>
      </c>
      <c r="BE169" s="676"/>
      <c r="BF169" s="676">
        <v>35.373077290532144</v>
      </c>
      <c r="BG169" s="676">
        <v>0</v>
      </c>
      <c r="BH169" s="676">
        <v>7.2370306678131264</v>
      </c>
      <c r="BI169" s="676">
        <v>0</v>
      </c>
      <c r="BJ169" s="676">
        <v>0</v>
      </c>
      <c r="BK169" s="676">
        <v>0</v>
      </c>
      <c r="BL169" s="676">
        <v>0</v>
      </c>
      <c r="BM169" s="676">
        <v>0</v>
      </c>
      <c r="BN169" s="676">
        <v>0</v>
      </c>
      <c r="BO169" s="674">
        <v>0</v>
      </c>
      <c r="BP169" s="676">
        <v>0</v>
      </c>
      <c r="BQ169" s="676">
        <v>0</v>
      </c>
      <c r="BR169" s="675"/>
      <c r="BS169" s="675">
        <v>280.33342887169198</v>
      </c>
      <c r="BT169" s="674">
        <v>2293.5416069551925</v>
      </c>
    </row>
    <row r="170" spans="1:72">
      <c r="A170" s="681"/>
      <c r="B170" s="680" t="s">
        <v>968</v>
      </c>
      <c r="C170" s="679" t="s">
        <v>974</v>
      </c>
      <c r="D170" s="679"/>
      <c r="E170" s="679"/>
      <c r="F170" s="678" t="s">
        <v>973</v>
      </c>
      <c r="G170" s="678"/>
      <c r="H170" s="677">
        <v>4097.5446641826693</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129.55001433075378</v>
      </c>
      <c r="X170" s="676"/>
      <c r="Y170" s="676"/>
      <c r="Z170" s="676"/>
      <c r="AA170" s="676"/>
      <c r="AB170" s="676"/>
      <c r="AC170" s="676"/>
      <c r="AD170" s="676"/>
      <c r="AE170" s="676">
        <v>8.8134135855545992</v>
      </c>
      <c r="AF170" s="676">
        <v>16.766981943250215</v>
      </c>
      <c r="AG170" s="676"/>
      <c r="AH170" s="676"/>
      <c r="AI170" s="676"/>
      <c r="AJ170" s="676">
        <v>40.149995223082065</v>
      </c>
      <c r="AK170" s="676"/>
      <c r="AL170" s="676">
        <v>63.81962357886691</v>
      </c>
      <c r="AM170" s="676">
        <v>0</v>
      </c>
      <c r="AN170" s="676"/>
      <c r="AO170" s="676"/>
      <c r="AP170" s="676"/>
      <c r="AQ170" s="676"/>
      <c r="AR170" s="676"/>
      <c r="AS170" s="676"/>
      <c r="AT170" s="674">
        <v>3.7259959873889366</v>
      </c>
      <c r="AU170" s="676">
        <v>3.7259959873889366</v>
      </c>
      <c r="AV170" s="676">
        <v>0</v>
      </c>
      <c r="AW170" s="676">
        <v>0</v>
      </c>
      <c r="AX170" s="676">
        <v>0</v>
      </c>
      <c r="AY170" s="676">
        <v>0</v>
      </c>
      <c r="AZ170" s="674">
        <v>525.86701060475775</v>
      </c>
      <c r="BA170" s="676"/>
      <c r="BB170" s="676"/>
      <c r="BC170" s="676"/>
      <c r="BD170" s="676">
        <v>0</v>
      </c>
      <c r="BE170" s="676"/>
      <c r="BF170" s="676">
        <v>525.86701060475775</v>
      </c>
      <c r="BG170" s="676">
        <v>0</v>
      </c>
      <c r="BH170" s="676">
        <v>0</v>
      </c>
      <c r="BI170" s="676">
        <v>0</v>
      </c>
      <c r="BJ170" s="676">
        <v>0</v>
      </c>
      <c r="BK170" s="676">
        <v>0</v>
      </c>
      <c r="BL170" s="676">
        <v>0</v>
      </c>
      <c r="BM170" s="676">
        <v>0</v>
      </c>
      <c r="BN170" s="676">
        <v>0</v>
      </c>
      <c r="BO170" s="674">
        <v>0</v>
      </c>
      <c r="BP170" s="676">
        <v>0</v>
      </c>
      <c r="BQ170" s="676">
        <v>0</v>
      </c>
      <c r="BR170" s="675"/>
      <c r="BS170" s="675">
        <v>93.078245915735167</v>
      </c>
      <c r="BT170" s="674">
        <v>3345.3233973440333</v>
      </c>
    </row>
    <row r="171" spans="1:72">
      <c r="A171" s="681"/>
      <c r="B171" s="680" t="s">
        <v>968</v>
      </c>
      <c r="C171" s="679" t="s">
        <v>972</v>
      </c>
      <c r="D171" s="679"/>
      <c r="E171" s="679"/>
      <c r="F171" s="678" t="s">
        <v>971</v>
      </c>
      <c r="G171" s="678"/>
      <c r="H171" s="677">
        <v>311.93274099550968</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132.79831852488775</v>
      </c>
      <c r="X171" s="676"/>
      <c r="Y171" s="676"/>
      <c r="Z171" s="676"/>
      <c r="AA171" s="676"/>
      <c r="AB171" s="676"/>
      <c r="AC171" s="676"/>
      <c r="AD171" s="676"/>
      <c r="AE171" s="676"/>
      <c r="AF171" s="676"/>
      <c r="AG171" s="676"/>
      <c r="AH171" s="676"/>
      <c r="AI171" s="676"/>
      <c r="AJ171" s="676"/>
      <c r="AK171" s="676"/>
      <c r="AL171" s="676">
        <v>132.79831852488775</v>
      </c>
      <c r="AM171" s="676">
        <v>0</v>
      </c>
      <c r="AN171" s="676"/>
      <c r="AO171" s="676"/>
      <c r="AP171" s="676"/>
      <c r="AQ171" s="676"/>
      <c r="AR171" s="676"/>
      <c r="AS171" s="676"/>
      <c r="AT171" s="674">
        <v>15.262252794496989</v>
      </c>
      <c r="AU171" s="676">
        <v>15.262252794496989</v>
      </c>
      <c r="AV171" s="676">
        <v>0</v>
      </c>
      <c r="AW171" s="676">
        <v>0</v>
      </c>
      <c r="AX171" s="676">
        <v>0</v>
      </c>
      <c r="AY171" s="676">
        <v>0</v>
      </c>
      <c r="AZ171" s="674">
        <v>4.7530333428871687</v>
      </c>
      <c r="BA171" s="676"/>
      <c r="BB171" s="676"/>
      <c r="BC171" s="676"/>
      <c r="BD171" s="676">
        <v>0</v>
      </c>
      <c r="BE171" s="676"/>
      <c r="BF171" s="676">
        <v>4.7530333428871687</v>
      </c>
      <c r="BG171" s="676">
        <v>0</v>
      </c>
      <c r="BH171" s="676">
        <v>0</v>
      </c>
      <c r="BI171" s="676">
        <v>0</v>
      </c>
      <c r="BJ171" s="676">
        <v>0</v>
      </c>
      <c r="BK171" s="676">
        <v>0</v>
      </c>
      <c r="BL171" s="676">
        <v>0</v>
      </c>
      <c r="BM171" s="676">
        <v>0</v>
      </c>
      <c r="BN171" s="676">
        <v>0</v>
      </c>
      <c r="BO171" s="674">
        <v>0</v>
      </c>
      <c r="BP171" s="676">
        <v>0</v>
      </c>
      <c r="BQ171" s="676">
        <v>0</v>
      </c>
      <c r="BR171" s="675"/>
      <c r="BS171" s="675">
        <v>0.38215343460399348</v>
      </c>
      <c r="BT171" s="674">
        <v>158.73698289863378</v>
      </c>
    </row>
    <row r="172" spans="1:72">
      <c r="A172" s="681"/>
      <c r="B172" s="680" t="s">
        <v>968</v>
      </c>
      <c r="C172" s="679" t="s">
        <v>970</v>
      </c>
      <c r="D172" s="679"/>
      <c r="E172" s="679"/>
      <c r="F172" s="678" t="s">
        <v>969</v>
      </c>
      <c r="G172" s="678"/>
      <c r="H172" s="677">
        <v>456.88831565873699</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439.59587274290624</v>
      </c>
      <c r="X172" s="676"/>
      <c r="Y172" s="676"/>
      <c r="Z172" s="676"/>
      <c r="AA172" s="676"/>
      <c r="AB172" s="676"/>
      <c r="AC172" s="676"/>
      <c r="AD172" s="676"/>
      <c r="AE172" s="676"/>
      <c r="AF172" s="676">
        <v>6.2816470813031433</v>
      </c>
      <c r="AG172" s="676"/>
      <c r="AH172" s="676"/>
      <c r="AI172" s="676"/>
      <c r="AJ172" s="676"/>
      <c r="AK172" s="676"/>
      <c r="AL172" s="676">
        <v>418.98347186395335</v>
      </c>
      <c r="AM172" s="676">
        <v>14.330753797649756</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c r="A173" s="673"/>
      <c r="B173" s="672" t="s">
        <v>968</v>
      </c>
      <c r="C173" s="671" t="s">
        <v>967</v>
      </c>
      <c r="D173" s="671"/>
      <c r="E173" s="671"/>
      <c r="F173" s="670" t="s">
        <v>966</v>
      </c>
      <c r="G173" s="670"/>
      <c r="H173" s="669">
        <v>86.390560810165283</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83.381102512658828</v>
      </c>
      <c r="X173" s="668"/>
      <c r="Y173" s="668"/>
      <c r="Z173" s="668"/>
      <c r="AA173" s="668"/>
      <c r="AB173" s="668"/>
      <c r="AC173" s="668"/>
      <c r="AD173" s="668"/>
      <c r="AE173" s="668"/>
      <c r="AF173" s="668"/>
      <c r="AG173" s="668"/>
      <c r="AH173" s="668"/>
      <c r="AI173" s="668">
        <v>33.963886500429922</v>
      </c>
      <c r="AJ173" s="668"/>
      <c r="AK173" s="668"/>
      <c r="AL173" s="668">
        <v>49.417216012228906</v>
      </c>
      <c r="AM173" s="668">
        <v>0</v>
      </c>
      <c r="AN173" s="668"/>
      <c r="AO173" s="668"/>
      <c r="AP173" s="668"/>
      <c r="AQ173" s="668"/>
      <c r="AR173" s="668"/>
      <c r="AS173" s="668"/>
      <c r="AT173" s="666">
        <v>3.0094582975064488</v>
      </c>
      <c r="AU173" s="668">
        <v>3.0094582975064488</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6729.9369446832898</v>
      </c>
      <c r="I174" s="660">
        <v>7.9535683576956142</v>
      </c>
      <c r="J174" s="662">
        <v>0</v>
      </c>
      <c r="K174" s="662">
        <v>0</v>
      </c>
      <c r="L174" s="662">
        <v>-32.220311455049199</v>
      </c>
      <c r="M174" s="662">
        <v>0</v>
      </c>
      <c r="N174" s="662">
        <v>0</v>
      </c>
      <c r="O174" s="662">
        <v>0</v>
      </c>
      <c r="P174" s="662">
        <v>40.173879812744815</v>
      </c>
      <c r="Q174" s="662">
        <v>0</v>
      </c>
      <c r="R174" s="662">
        <v>0</v>
      </c>
      <c r="S174" s="662">
        <v>0</v>
      </c>
      <c r="T174" s="662">
        <v>0</v>
      </c>
      <c r="U174" s="662">
        <v>0</v>
      </c>
      <c r="V174" s="662">
        <v>0</v>
      </c>
      <c r="W174" s="660">
        <v>5810.9057036400109</v>
      </c>
      <c r="X174" s="662">
        <v>926.65042514569598</v>
      </c>
      <c r="Y174" s="662">
        <v>0</v>
      </c>
      <c r="Z174" s="662">
        <v>0</v>
      </c>
      <c r="AA174" s="662">
        <v>0</v>
      </c>
      <c r="AB174" s="662"/>
      <c r="AC174" s="662">
        <v>19.728671061431164</v>
      </c>
      <c r="AD174" s="662">
        <v>589.08951944205592</v>
      </c>
      <c r="AE174" s="662">
        <v>213.5998853539696</v>
      </c>
      <c r="AF174" s="662">
        <v>894.40622910098398</v>
      </c>
      <c r="AG174" s="662">
        <v>0</v>
      </c>
      <c r="AH174" s="662">
        <v>0</v>
      </c>
      <c r="AI174" s="662">
        <v>37.068883156587368</v>
      </c>
      <c r="AJ174" s="662">
        <v>0</v>
      </c>
      <c r="AK174" s="662">
        <v>2723.0342982707557</v>
      </c>
      <c r="AL174" s="662">
        <v>694.87436705837388</v>
      </c>
      <c r="AM174" s="662">
        <v>-277.06124008789527</v>
      </c>
      <c r="AN174" s="662">
        <v>0</v>
      </c>
      <c r="AO174" s="662">
        <v>-1.0031527658354829</v>
      </c>
      <c r="AP174" s="662">
        <v>5.5889939810834051</v>
      </c>
      <c r="AQ174" s="662">
        <v>-15.047291487532243</v>
      </c>
      <c r="AR174" s="662">
        <v>0</v>
      </c>
      <c r="AS174" s="662">
        <v>0</v>
      </c>
      <c r="AT174" s="660">
        <v>895.36161268749402</v>
      </c>
      <c r="AU174" s="662">
        <v>895.36161268749402</v>
      </c>
      <c r="AV174" s="662">
        <v>0</v>
      </c>
      <c r="AW174" s="662">
        <v>0</v>
      </c>
      <c r="AX174" s="662">
        <v>0</v>
      </c>
      <c r="AY174" s="662">
        <v>0</v>
      </c>
      <c r="AZ174" s="660">
        <v>14.689022642591</v>
      </c>
      <c r="BA174" s="662">
        <v>0</v>
      </c>
      <c r="BB174" s="662">
        <v>0</v>
      </c>
      <c r="BC174" s="662">
        <v>0</v>
      </c>
      <c r="BD174" s="662">
        <v>0</v>
      </c>
      <c r="BE174" s="662">
        <v>0</v>
      </c>
      <c r="BF174" s="662">
        <v>0</v>
      </c>
      <c r="BG174" s="662">
        <v>0</v>
      </c>
      <c r="BH174" s="662">
        <v>9.673258813413586</v>
      </c>
      <c r="BI174" s="662">
        <v>0</v>
      </c>
      <c r="BJ174" s="662">
        <v>4.4186490876086744</v>
      </c>
      <c r="BK174" s="662">
        <v>0.62099933123148943</v>
      </c>
      <c r="BL174" s="662">
        <v>0</v>
      </c>
      <c r="BM174" s="662">
        <v>0</v>
      </c>
      <c r="BN174" s="662">
        <v>0</v>
      </c>
      <c r="BO174" s="660">
        <v>0</v>
      </c>
      <c r="BP174" s="662">
        <v>0</v>
      </c>
      <c r="BQ174" s="662">
        <v>0</v>
      </c>
      <c r="BR174" s="661">
        <v>0</v>
      </c>
      <c r="BS174" s="661">
        <v>1.0270373554982324</v>
      </c>
      <c r="BT174" s="660">
        <v>0</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10.819719117225565</v>
      </c>
      <c r="BK179" s="752">
        <v>114.88487627782554</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pageSetUpPr fitToPage="1"/>
  </sheetPr>
  <dimension ref="A1:BU179"/>
  <sheetViews>
    <sheetView zoomScaleNormal="100" workbookViewId="0">
      <pane xSplit="7" ySplit="2" topLeftCell="U3" activePane="bottomRight" state="frozen"/>
      <selection activeCell="D27" sqref="D27"/>
      <selection pane="topRight" activeCell="D27" sqref="D27"/>
      <selection pane="bottomLeft" activeCell="D27" sqref="D27"/>
      <selection pane="bottomRight" activeCell="D27" sqref="D27"/>
    </sheetView>
  </sheetViews>
  <sheetFormatPr baseColWidth="10" defaultColWidth="8.5" defaultRowHeight="11"/>
  <cols>
    <col min="1" max="3" width="2" style="654" customWidth="1"/>
    <col min="4" max="4" width="2.5" style="654" customWidth="1"/>
    <col min="5" max="5" width="45.5" style="654" customWidth="1"/>
    <col min="6" max="6" width="7.1640625" style="655" customWidth="1"/>
    <col min="7" max="7" width="0.5" style="655" customWidth="1"/>
    <col min="8" max="22" width="10.5" style="655" customWidth="1"/>
    <col min="23" max="45" width="10.5" style="654" customWidth="1"/>
    <col min="46" max="51" width="9.5" style="654" customWidth="1"/>
    <col min="52" max="52" width="10.5" style="655" customWidth="1"/>
    <col min="53" max="57" width="9.5" style="654" customWidth="1"/>
    <col min="58" max="256" width="8.5" style="654"/>
    <col min="257" max="259" width="2" style="654" customWidth="1"/>
    <col min="260" max="260" width="2.5" style="654" customWidth="1"/>
    <col min="261" max="261" width="45.5" style="654" customWidth="1"/>
    <col min="262" max="262" width="7.1640625" style="654" customWidth="1"/>
    <col min="263" max="263" width="0.5" style="654" customWidth="1"/>
    <col min="264" max="301" width="10.5" style="654" customWidth="1"/>
    <col min="302" max="307" width="9.5" style="654" customWidth="1"/>
    <col min="308" max="308" width="10.5" style="654" customWidth="1"/>
    <col min="309" max="313" width="9.5" style="654" customWidth="1"/>
    <col min="314" max="512" width="8.5" style="654"/>
    <col min="513" max="515" width="2" style="654" customWidth="1"/>
    <col min="516" max="516" width="2.5" style="654" customWidth="1"/>
    <col min="517" max="517" width="45.5" style="654" customWidth="1"/>
    <col min="518" max="518" width="7.1640625" style="654" customWidth="1"/>
    <col min="519" max="519" width="0.5" style="654" customWidth="1"/>
    <col min="520" max="557" width="10.5" style="654" customWidth="1"/>
    <col min="558" max="563" width="9.5" style="654" customWidth="1"/>
    <col min="564" max="564" width="10.5" style="654" customWidth="1"/>
    <col min="565" max="569" width="9.5" style="654" customWidth="1"/>
    <col min="570" max="768" width="8.5" style="654"/>
    <col min="769" max="771" width="2" style="654" customWidth="1"/>
    <col min="772" max="772" width="2.5" style="654" customWidth="1"/>
    <col min="773" max="773" width="45.5" style="654" customWidth="1"/>
    <col min="774" max="774" width="7.1640625" style="654" customWidth="1"/>
    <col min="775" max="775" width="0.5" style="654" customWidth="1"/>
    <col min="776" max="813" width="10.5" style="654" customWidth="1"/>
    <col min="814" max="819" width="9.5" style="654" customWidth="1"/>
    <col min="820" max="820" width="10.5" style="654" customWidth="1"/>
    <col min="821" max="825" width="9.5" style="654" customWidth="1"/>
    <col min="826" max="1024" width="8.5" style="654"/>
    <col min="1025" max="1027" width="2" style="654" customWidth="1"/>
    <col min="1028" max="1028" width="2.5" style="654" customWidth="1"/>
    <col min="1029" max="1029" width="45.5" style="654" customWidth="1"/>
    <col min="1030" max="1030" width="7.1640625" style="654" customWidth="1"/>
    <col min="1031" max="1031" width="0.5" style="654" customWidth="1"/>
    <col min="1032" max="1069" width="10.5" style="654" customWidth="1"/>
    <col min="1070" max="1075" width="9.5" style="654" customWidth="1"/>
    <col min="1076" max="1076" width="10.5" style="654" customWidth="1"/>
    <col min="1077" max="1081" width="9.5" style="654" customWidth="1"/>
    <col min="1082" max="1280" width="8.5" style="654"/>
    <col min="1281" max="1283" width="2" style="654" customWidth="1"/>
    <col min="1284" max="1284" width="2.5" style="654" customWidth="1"/>
    <col min="1285" max="1285" width="45.5" style="654" customWidth="1"/>
    <col min="1286" max="1286" width="7.1640625" style="654" customWidth="1"/>
    <col min="1287" max="1287" width="0.5" style="654" customWidth="1"/>
    <col min="1288" max="1325" width="10.5" style="654" customWidth="1"/>
    <col min="1326" max="1331" width="9.5" style="654" customWidth="1"/>
    <col min="1332" max="1332" width="10.5" style="654" customWidth="1"/>
    <col min="1333" max="1337" width="9.5" style="654" customWidth="1"/>
    <col min="1338" max="1536" width="8.5" style="654"/>
    <col min="1537" max="1539" width="2" style="654" customWidth="1"/>
    <col min="1540" max="1540" width="2.5" style="654" customWidth="1"/>
    <col min="1541" max="1541" width="45.5" style="654" customWidth="1"/>
    <col min="1542" max="1542" width="7.1640625" style="654" customWidth="1"/>
    <col min="1543" max="1543" width="0.5" style="654" customWidth="1"/>
    <col min="1544" max="1581" width="10.5" style="654" customWidth="1"/>
    <col min="1582" max="1587" width="9.5" style="654" customWidth="1"/>
    <col min="1588" max="1588" width="10.5" style="654" customWidth="1"/>
    <col min="1589" max="1593" width="9.5" style="654" customWidth="1"/>
    <col min="1594" max="1792" width="8.5" style="654"/>
    <col min="1793" max="1795" width="2" style="654" customWidth="1"/>
    <col min="1796" max="1796" width="2.5" style="654" customWidth="1"/>
    <col min="1797" max="1797" width="45.5" style="654" customWidth="1"/>
    <col min="1798" max="1798" width="7.1640625" style="654" customWidth="1"/>
    <col min="1799" max="1799" width="0.5" style="654" customWidth="1"/>
    <col min="1800" max="1837" width="10.5" style="654" customWidth="1"/>
    <col min="1838" max="1843" width="9.5" style="654" customWidth="1"/>
    <col min="1844" max="1844" width="10.5" style="654" customWidth="1"/>
    <col min="1845" max="1849" width="9.5" style="654" customWidth="1"/>
    <col min="1850" max="2048" width="8.5" style="654"/>
    <col min="2049" max="2051" width="2" style="654" customWidth="1"/>
    <col min="2052" max="2052" width="2.5" style="654" customWidth="1"/>
    <col min="2053" max="2053" width="45.5" style="654" customWidth="1"/>
    <col min="2054" max="2054" width="7.1640625" style="654" customWidth="1"/>
    <col min="2055" max="2055" width="0.5" style="654" customWidth="1"/>
    <col min="2056" max="2093" width="10.5" style="654" customWidth="1"/>
    <col min="2094" max="2099" width="9.5" style="654" customWidth="1"/>
    <col min="2100" max="2100" width="10.5" style="654" customWidth="1"/>
    <col min="2101" max="2105" width="9.5" style="654" customWidth="1"/>
    <col min="2106" max="2304" width="8.5" style="654"/>
    <col min="2305" max="2307" width="2" style="654" customWidth="1"/>
    <col min="2308" max="2308" width="2.5" style="654" customWidth="1"/>
    <col min="2309" max="2309" width="45.5" style="654" customWidth="1"/>
    <col min="2310" max="2310" width="7.1640625" style="654" customWidth="1"/>
    <col min="2311" max="2311" width="0.5" style="654" customWidth="1"/>
    <col min="2312" max="2349" width="10.5" style="654" customWidth="1"/>
    <col min="2350" max="2355" width="9.5" style="654" customWidth="1"/>
    <col min="2356" max="2356" width="10.5" style="654" customWidth="1"/>
    <col min="2357" max="2361" width="9.5" style="654" customWidth="1"/>
    <col min="2362" max="2560" width="8.5" style="654"/>
    <col min="2561" max="2563" width="2" style="654" customWidth="1"/>
    <col min="2564" max="2564" width="2.5" style="654" customWidth="1"/>
    <col min="2565" max="2565" width="45.5" style="654" customWidth="1"/>
    <col min="2566" max="2566" width="7.1640625" style="654" customWidth="1"/>
    <col min="2567" max="2567" width="0.5" style="654" customWidth="1"/>
    <col min="2568" max="2605" width="10.5" style="654" customWidth="1"/>
    <col min="2606" max="2611" width="9.5" style="654" customWidth="1"/>
    <col min="2612" max="2612" width="10.5" style="654" customWidth="1"/>
    <col min="2613" max="2617" width="9.5" style="654" customWidth="1"/>
    <col min="2618" max="2816" width="8.5" style="654"/>
    <col min="2817" max="2819" width="2" style="654" customWidth="1"/>
    <col min="2820" max="2820" width="2.5" style="654" customWidth="1"/>
    <col min="2821" max="2821" width="45.5" style="654" customWidth="1"/>
    <col min="2822" max="2822" width="7.1640625" style="654" customWidth="1"/>
    <col min="2823" max="2823" width="0.5" style="654" customWidth="1"/>
    <col min="2824" max="2861" width="10.5" style="654" customWidth="1"/>
    <col min="2862" max="2867" width="9.5" style="654" customWidth="1"/>
    <col min="2868" max="2868" width="10.5" style="654" customWidth="1"/>
    <col min="2869" max="2873" width="9.5" style="654" customWidth="1"/>
    <col min="2874" max="3072" width="8.5" style="654"/>
    <col min="3073" max="3075" width="2" style="654" customWidth="1"/>
    <col min="3076" max="3076" width="2.5" style="654" customWidth="1"/>
    <col min="3077" max="3077" width="45.5" style="654" customWidth="1"/>
    <col min="3078" max="3078" width="7.1640625" style="654" customWidth="1"/>
    <col min="3079" max="3079" width="0.5" style="654" customWidth="1"/>
    <col min="3080" max="3117" width="10.5" style="654" customWidth="1"/>
    <col min="3118" max="3123" width="9.5" style="654" customWidth="1"/>
    <col min="3124" max="3124" width="10.5" style="654" customWidth="1"/>
    <col min="3125" max="3129" width="9.5" style="654" customWidth="1"/>
    <col min="3130" max="3328" width="8.5" style="654"/>
    <col min="3329" max="3331" width="2" style="654" customWidth="1"/>
    <col min="3332" max="3332" width="2.5" style="654" customWidth="1"/>
    <col min="3333" max="3333" width="45.5" style="654" customWidth="1"/>
    <col min="3334" max="3334" width="7.1640625" style="654" customWidth="1"/>
    <col min="3335" max="3335" width="0.5" style="654" customWidth="1"/>
    <col min="3336" max="3373" width="10.5" style="654" customWidth="1"/>
    <col min="3374" max="3379" width="9.5" style="654" customWidth="1"/>
    <col min="3380" max="3380" width="10.5" style="654" customWidth="1"/>
    <col min="3381" max="3385" width="9.5" style="654" customWidth="1"/>
    <col min="3386" max="3584" width="8.5" style="654"/>
    <col min="3585" max="3587" width="2" style="654" customWidth="1"/>
    <col min="3588" max="3588" width="2.5" style="654" customWidth="1"/>
    <col min="3589" max="3589" width="45.5" style="654" customWidth="1"/>
    <col min="3590" max="3590" width="7.1640625" style="654" customWidth="1"/>
    <col min="3591" max="3591" width="0.5" style="654" customWidth="1"/>
    <col min="3592" max="3629" width="10.5" style="654" customWidth="1"/>
    <col min="3630" max="3635" width="9.5" style="654" customWidth="1"/>
    <col min="3636" max="3636" width="10.5" style="654" customWidth="1"/>
    <col min="3637" max="3641" width="9.5" style="654" customWidth="1"/>
    <col min="3642" max="3840" width="8.5" style="654"/>
    <col min="3841" max="3843" width="2" style="654" customWidth="1"/>
    <col min="3844" max="3844" width="2.5" style="654" customWidth="1"/>
    <col min="3845" max="3845" width="45.5" style="654" customWidth="1"/>
    <col min="3846" max="3846" width="7.1640625" style="654" customWidth="1"/>
    <col min="3847" max="3847" width="0.5" style="654" customWidth="1"/>
    <col min="3848" max="3885" width="10.5" style="654" customWidth="1"/>
    <col min="3886" max="3891" width="9.5" style="654" customWidth="1"/>
    <col min="3892" max="3892" width="10.5" style="654" customWidth="1"/>
    <col min="3893" max="3897" width="9.5" style="654" customWidth="1"/>
    <col min="3898" max="4096" width="8.5" style="654"/>
    <col min="4097" max="4099" width="2" style="654" customWidth="1"/>
    <col min="4100" max="4100" width="2.5" style="654" customWidth="1"/>
    <col min="4101" max="4101" width="45.5" style="654" customWidth="1"/>
    <col min="4102" max="4102" width="7.1640625" style="654" customWidth="1"/>
    <col min="4103" max="4103" width="0.5" style="654" customWidth="1"/>
    <col min="4104" max="4141" width="10.5" style="654" customWidth="1"/>
    <col min="4142" max="4147" width="9.5" style="654" customWidth="1"/>
    <col min="4148" max="4148" width="10.5" style="654" customWidth="1"/>
    <col min="4149" max="4153" width="9.5" style="654" customWidth="1"/>
    <col min="4154" max="4352" width="8.5" style="654"/>
    <col min="4353" max="4355" width="2" style="654" customWidth="1"/>
    <col min="4356" max="4356" width="2.5" style="654" customWidth="1"/>
    <col min="4357" max="4357" width="45.5" style="654" customWidth="1"/>
    <col min="4358" max="4358" width="7.1640625" style="654" customWidth="1"/>
    <col min="4359" max="4359" width="0.5" style="654" customWidth="1"/>
    <col min="4360" max="4397" width="10.5" style="654" customWidth="1"/>
    <col min="4398" max="4403" width="9.5" style="654" customWidth="1"/>
    <col min="4404" max="4404" width="10.5" style="654" customWidth="1"/>
    <col min="4405" max="4409" width="9.5" style="654" customWidth="1"/>
    <col min="4410" max="4608" width="8.5" style="654"/>
    <col min="4609" max="4611" width="2" style="654" customWidth="1"/>
    <col min="4612" max="4612" width="2.5" style="654" customWidth="1"/>
    <col min="4613" max="4613" width="45.5" style="654" customWidth="1"/>
    <col min="4614" max="4614" width="7.1640625" style="654" customWidth="1"/>
    <col min="4615" max="4615" width="0.5" style="654" customWidth="1"/>
    <col min="4616" max="4653" width="10.5" style="654" customWidth="1"/>
    <col min="4654" max="4659" width="9.5" style="654" customWidth="1"/>
    <col min="4660" max="4660" width="10.5" style="654" customWidth="1"/>
    <col min="4661" max="4665" width="9.5" style="654" customWidth="1"/>
    <col min="4666" max="4864" width="8.5" style="654"/>
    <col min="4865" max="4867" width="2" style="654" customWidth="1"/>
    <col min="4868" max="4868" width="2.5" style="654" customWidth="1"/>
    <col min="4869" max="4869" width="45.5" style="654" customWidth="1"/>
    <col min="4870" max="4870" width="7.1640625" style="654" customWidth="1"/>
    <col min="4871" max="4871" width="0.5" style="654" customWidth="1"/>
    <col min="4872" max="4909" width="10.5" style="654" customWidth="1"/>
    <col min="4910" max="4915" width="9.5" style="654" customWidth="1"/>
    <col min="4916" max="4916" width="10.5" style="654" customWidth="1"/>
    <col min="4917" max="4921" width="9.5" style="654" customWidth="1"/>
    <col min="4922" max="5120" width="8.5" style="654"/>
    <col min="5121" max="5123" width="2" style="654" customWidth="1"/>
    <col min="5124" max="5124" width="2.5" style="654" customWidth="1"/>
    <col min="5125" max="5125" width="45.5" style="654" customWidth="1"/>
    <col min="5126" max="5126" width="7.1640625" style="654" customWidth="1"/>
    <col min="5127" max="5127" width="0.5" style="654" customWidth="1"/>
    <col min="5128" max="5165" width="10.5" style="654" customWidth="1"/>
    <col min="5166" max="5171" width="9.5" style="654" customWidth="1"/>
    <col min="5172" max="5172" width="10.5" style="654" customWidth="1"/>
    <col min="5173" max="5177" width="9.5" style="654" customWidth="1"/>
    <col min="5178" max="5376" width="8.5" style="654"/>
    <col min="5377" max="5379" width="2" style="654" customWidth="1"/>
    <col min="5380" max="5380" width="2.5" style="654" customWidth="1"/>
    <col min="5381" max="5381" width="45.5" style="654" customWidth="1"/>
    <col min="5382" max="5382" width="7.1640625" style="654" customWidth="1"/>
    <col min="5383" max="5383" width="0.5" style="654" customWidth="1"/>
    <col min="5384" max="5421" width="10.5" style="654" customWidth="1"/>
    <col min="5422" max="5427" width="9.5" style="654" customWidth="1"/>
    <col min="5428" max="5428" width="10.5" style="654" customWidth="1"/>
    <col min="5429" max="5433" width="9.5" style="654" customWidth="1"/>
    <col min="5434" max="5632" width="8.5" style="654"/>
    <col min="5633" max="5635" width="2" style="654" customWidth="1"/>
    <col min="5636" max="5636" width="2.5" style="654" customWidth="1"/>
    <col min="5637" max="5637" width="45.5" style="654" customWidth="1"/>
    <col min="5638" max="5638" width="7.1640625" style="654" customWidth="1"/>
    <col min="5639" max="5639" width="0.5" style="654" customWidth="1"/>
    <col min="5640" max="5677" width="10.5" style="654" customWidth="1"/>
    <col min="5678" max="5683" width="9.5" style="654" customWidth="1"/>
    <col min="5684" max="5684" width="10.5" style="654" customWidth="1"/>
    <col min="5685" max="5689" width="9.5" style="654" customWidth="1"/>
    <col min="5690" max="5888" width="8.5" style="654"/>
    <col min="5889" max="5891" width="2" style="654" customWidth="1"/>
    <col min="5892" max="5892" width="2.5" style="654" customWidth="1"/>
    <col min="5893" max="5893" width="45.5" style="654" customWidth="1"/>
    <col min="5894" max="5894" width="7.1640625" style="654" customWidth="1"/>
    <col min="5895" max="5895" width="0.5" style="654" customWidth="1"/>
    <col min="5896" max="5933" width="10.5" style="654" customWidth="1"/>
    <col min="5934" max="5939" width="9.5" style="654" customWidth="1"/>
    <col min="5940" max="5940" width="10.5" style="654" customWidth="1"/>
    <col min="5941" max="5945" width="9.5" style="654" customWidth="1"/>
    <col min="5946" max="6144" width="8.5" style="654"/>
    <col min="6145" max="6147" width="2" style="654" customWidth="1"/>
    <col min="6148" max="6148" width="2.5" style="654" customWidth="1"/>
    <col min="6149" max="6149" width="45.5" style="654" customWidth="1"/>
    <col min="6150" max="6150" width="7.1640625" style="654" customWidth="1"/>
    <col min="6151" max="6151" width="0.5" style="654" customWidth="1"/>
    <col min="6152" max="6189" width="10.5" style="654" customWidth="1"/>
    <col min="6190" max="6195" width="9.5" style="654" customWidth="1"/>
    <col min="6196" max="6196" width="10.5" style="654" customWidth="1"/>
    <col min="6197" max="6201" width="9.5" style="654" customWidth="1"/>
    <col min="6202" max="6400" width="8.5" style="654"/>
    <col min="6401" max="6403" width="2" style="654" customWidth="1"/>
    <col min="6404" max="6404" width="2.5" style="654" customWidth="1"/>
    <col min="6405" max="6405" width="45.5" style="654" customWidth="1"/>
    <col min="6406" max="6406" width="7.1640625" style="654" customWidth="1"/>
    <col min="6407" max="6407" width="0.5" style="654" customWidth="1"/>
    <col min="6408" max="6445" width="10.5" style="654" customWidth="1"/>
    <col min="6446" max="6451" width="9.5" style="654" customWidth="1"/>
    <col min="6452" max="6452" width="10.5" style="654" customWidth="1"/>
    <col min="6453" max="6457" width="9.5" style="654" customWidth="1"/>
    <col min="6458" max="6656" width="8.5" style="654"/>
    <col min="6657" max="6659" width="2" style="654" customWidth="1"/>
    <col min="6660" max="6660" width="2.5" style="654" customWidth="1"/>
    <col min="6661" max="6661" width="45.5" style="654" customWidth="1"/>
    <col min="6662" max="6662" width="7.1640625" style="654" customWidth="1"/>
    <col min="6663" max="6663" width="0.5" style="654" customWidth="1"/>
    <col min="6664" max="6701" width="10.5" style="654" customWidth="1"/>
    <col min="6702" max="6707" width="9.5" style="654" customWidth="1"/>
    <col min="6708" max="6708" width="10.5" style="654" customWidth="1"/>
    <col min="6709" max="6713" width="9.5" style="654" customWidth="1"/>
    <col min="6714" max="6912" width="8.5" style="654"/>
    <col min="6913" max="6915" width="2" style="654" customWidth="1"/>
    <col min="6916" max="6916" width="2.5" style="654" customWidth="1"/>
    <col min="6917" max="6917" width="45.5" style="654" customWidth="1"/>
    <col min="6918" max="6918" width="7.1640625" style="654" customWidth="1"/>
    <col min="6919" max="6919" width="0.5" style="654" customWidth="1"/>
    <col min="6920" max="6957" width="10.5" style="654" customWidth="1"/>
    <col min="6958" max="6963" width="9.5" style="654" customWidth="1"/>
    <col min="6964" max="6964" width="10.5" style="654" customWidth="1"/>
    <col min="6965" max="6969" width="9.5" style="654" customWidth="1"/>
    <col min="6970" max="7168" width="8.5" style="654"/>
    <col min="7169" max="7171" width="2" style="654" customWidth="1"/>
    <col min="7172" max="7172" width="2.5" style="654" customWidth="1"/>
    <col min="7173" max="7173" width="45.5" style="654" customWidth="1"/>
    <col min="7174" max="7174" width="7.1640625" style="654" customWidth="1"/>
    <col min="7175" max="7175" width="0.5" style="654" customWidth="1"/>
    <col min="7176" max="7213" width="10.5" style="654" customWidth="1"/>
    <col min="7214" max="7219" width="9.5" style="654" customWidth="1"/>
    <col min="7220" max="7220" width="10.5" style="654" customWidth="1"/>
    <col min="7221" max="7225" width="9.5" style="654" customWidth="1"/>
    <col min="7226" max="7424" width="8.5" style="654"/>
    <col min="7425" max="7427" width="2" style="654" customWidth="1"/>
    <col min="7428" max="7428" width="2.5" style="654" customWidth="1"/>
    <col min="7429" max="7429" width="45.5" style="654" customWidth="1"/>
    <col min="7430" max="7430" width="7.1640625" style="654" customWidth="1"/>
    <col min="7431" max="7431" width="0.5" style="654" customWidth="1"/>
    <col min="7432" max="7469" width="10.5" style="654" customWidth="1"/>
    <col min="7470" max="7475" width="9.5" style="654" customWidth="1"/>
    <col min="7476" max="7476" width="10.5" style="654" customWidth="1"/>
    <col min="7477" max="7481" width="9.5" style="654" customWidth="1"/>
    <col min="7482" max="7680" width="8.5" style="654"/>
    <col min="7681" max="7683" width="2" style="654" customWidth="1"/>
    <col min="7684" max="7684" width="2.5" style="654" customWidth="1"/>
    <col min="7685" max="7685" width="45.5" style="654" customWidth="1"/>
    <col min="7686" max="7686" width="7.1640625" style="654" customWidth="1"/>
    <col min="7687" max="7687" width="0.5" style="654" customWidth="1"/>
    <col min="7688" max="7725" width="10.5" style="654" customWidth="1"/>
    <col min="7726" max="7731" width="9.5" style="654" customWidth="1"/>
    <col min="7732" max="7732" width="10.5" style="654" customWidth="1"/>
    <col min="7733" max="7737" width="9.5" style="654" customWidth="1"/>
    <col min="7738" max="7936" width="8.5" style="654"/>
    <col min="7937" max="7939" width="2" style="654" customWidth="1"/>
    <col min="7940" max="7940" width="2.5" style="654" customWidth="1"/>
    <col min="7941" max="7941" width="45.5" style="654" customWidth="1"/>
    <col min="7942" max="7942" width="7.1640625" style="654" customWidth="1"/>
    <col min="7943" max="7943" width="0.5" style="654" customWidth="1"/>
    <col min="7944" max="7981" width="10.5" style="654" customWidth="1"/>
    <col min="7982" max="7987" width="9.5" style="654" customWidth="1"/>
    <col min="7988" max="7988" width="10.5" style="654" customWidth="1"/>
    <col min="7989" max="7993" width="9.5" style="654" customWidth="1"/>
    <col min="7994" max="8192" width="8.5" style="654"/>
    <col min="8193" max="8195" width="2" style="654" customWidth="1"/>
    <col min="8196" max="8196" width="2.5" style="654" customWidth="1"/>
    <col min="8197" max="8197" width="45.5" style="654" customWidth="1"/>
    <col min="8198" max="8198" width="7.1640625" style="654" customWidth="1"/>
    <col min="8199" max="8199" width="0.5" style="654" customWidth="1"/>
    <col min="8200" max="8237" width="10.5" style="654" customWidth="1"/>
    <col min="8238" max="8243" width="9.5" style="654" customWidth="1"/>
    <col min="8244" max="8244" width="10.5" style="654" customWidth="1"/>
    <col min="8245" max="8249" width="9.5" style="654" customWidth="1"/>
    <col min="8250" max="8448" width="8.5" style="654"/>
    <col min="8449" max="8451" width="2" style="654" customWidth="1"/>
    <col min="8452" max="8452" width="2.5" style="654" customWidth="1"/>
    <col min="8453" max="8453" width="45.5" style="654" customWidth="1"/>
    <col min="8454" max="8454" width="7.1640625" style="654" customWidth="1"/>
    <col min="8455" max="8455" width="0.5" style="654" customWidth="1"/>
    <col min="8456" max="8493" width="10.5" style="654" customWidth="1"/>
    <col min="8494" max="8499" width="9.5" style="654" customWidth="1"/>
    <col min="8500" max="8500" width="10.5" style="654" customWidth="1"/>
    <col min="8501" max="8505" width="9.5" style="654" customWidth="1"/>
    <col min="8506" max="8704" width="8.5" style="654"/>
    <col min="8705" max="8707" width="2" style="654" customWidth="1"/>
    <col min="8708" max="8708" width="2.5" style="654" customWidth="1"/>
    <col min="8709" max="8709" width="45.5" style="654" customWidth="1"/>
    <col min="8710" max="8710" width="7.1640625" style="654" customWidth="1"/>
    <col min="8711" max="8711" width="0.5" style="654" customWidth="1"/>
    <col min="8712" max="8749" width="10.5" style="654" customWidth="1"/>
    <col min="8750" max="8755" width="9.5" style="654" customWidth="1"/>
    <col min="8756" max="8756" width="10.5" style="654" customWidth="1"/>
    <col min="8757" max="8761" width="9.5" style="654" customWidth="1"/>
    <col min="8762" max="8960" width="8.5" style="654"/>
    <col min="8961" max="8963" width="2" style="654" customWidth="1"/>
    <col min="8964" max="8964" width="2.5" style="654" customWidth="1"/>
    <col min="8965" max="8965" width="45.5" style="654" customWidth="1"/>
    <col min="8966" max="8966" width="7.1640625" style="654" customWidth="1"/>
    <col min="8967" max="8967" width="0.5" style="654" customWidth="1"/>
    <col min="8968" max="9005" width="10.5" style="654" customWidth="1"/>
    <col min="9006" max="9011" width="9.5" style="654" customWidth="1"/>
    <col min="9012" max="9012" width="10.5" style="654" customWidth="1"/>
    <col min="9013" max="9017" width="9.5" style="654" customWidth="1"/>
    <col min="9018" max="9216" width="8.5" style="654"/>
    <col min="9217" max="9219" width="2" style="654" customWidth="1"/>
    <col min="9220" max="9220" width="2.5" style="654" customWidth="1"/>
    <col min="9221" max="9221" width="45.5" style="654" customWidth="1"/>
    <col min="9222" max="9222" width="7.1640625" style="654" customWidth="1"/>
    <col min="9223" max="9223" width="0.5" style="654" customWidth="1"/>
    <col min="9224" max="9261" width="10.5" style="654" customWidth="1"/>
    <col min="9262" max="9267" width="9.5" style="654" customWidth="1"/>
    <col min="9268" max="9268" width="10.5" style="654" customWidth="1"/>
    <col min="9269" max="9273" width="9.5" style="654" customWidth="1"/>
    <col min="9274" max="9472" width="8.5" style="654"/>
    <col min="9473" max="9475" width="2" style="654" customWidth="1"/>
    <col min="9476" max="9476" width="2.5" style="654" customWidth="1"/>
    <col min="9477" max="9477" width="45.5" style="654" customWidth="1"/>
    <col min="9478" max="9478" width="7.1640625" style="654" customWidth="1"/>
    <col min="9479" max="9479" width="0.5" style="654" customWidth="1"/>
    <col min="9480" max="9517" width="10.5" style="654" customWidth="1"/>
    <col min="9518" max="9523" width="9.5" style="654" customWidth="1"/>
    <col min="9524" max="9524" width="10.5" style="654" customWidth="1"/>
    <col min="9525" max="9529" width="9.5" style="654" customWidth="1"/>
    <col min="9530" max="9728" width="8.5" style="654"/>
    <col min="9729" max="9731" width="2" style="654" customWidth="1"/>
    <col min="9732" max="9732" width="2.5" style="654" customWidth="1"/>
    <col min="9733" max="9733" width="45.5" style="654" customWidth="1"/>
    <col min="9734" max="9734" width="7.1640625" style="654" customWidth="1"/>
    <col min="9735" max="9735" width="0.5" style="654" customWidth="1"/>
    <col min="9736" max="9773" width="10.5" style="654" customWidth="1"/>
    <col min="9774" max="9779" width="9.5" style="654" customWidth="1"/>
    <col min="9780" max="9780" width="10.5" style="654" customWidth="1"/>
    <col min="9781" max="9785" width="9.5" style="654" customWidth="1"/>
    <col min="9786" max="9984" width="8.5" style="654"/>
    <col min="9985" max="9987" width="2" style="654" customWidth="1"/>
    <col min="9988" max="9988" width="2.5" style="654" customWidth="1"/>
    <col min="9989" max="9989" width="45.5" style="654" customWidth="1"/>
    <col min="9990" max="9990" width="7.1640625" style="654" customWidth="1"/>
    <col min="9991" max="9991" width="0.5" style="654" customWidth="1"/>
    <col min="9992" max="10029" width="10.5" style="654" customWidth="1"/>
    <col min="10030" max="10035" width="9.5" style="654" customWidth="1"/>
    <col min="10036" max="10036" width="10.5" style="654" customWidth="1"/>
    <col min="10037" max="10041" width="9.5" style="654" customWidth="1"/>
    <col min="10042" max="10240" width="8.5" style="654"/>
    <col min="10241" max="10243" width="2" style="654" customWidth="1"/>
    <col min="10244" max="10244" width="2.5" style="654" customWidth="1"/>
    <col min="10245" max="10245" width="45.5" style="654" customWidth="1"/>
    <col min="10246" max="10246" width="7.1640625" style="654" customWidth="1"/>
    <col min="10247" max="10247" width="0.5" style="654" customWidth="1"/>
    <col min="10248" max="10285" width="10.5" style="654" customWidth="1"/>
    <col min="10286" max="10291" width="9.5" style="654" customWidth="1"/>
    <col min="10292" max="10292" width="10.5" style="654" customWidth="1"/>
    <col min="10293" max="10297" width="9.5" style="654" customWidth="1"/>
    <col min="10298" max="10496" width="8.5" style="654"/>
    <col min="10497" max="10499" width="2" style="654" customWidth="1"/>
    <col min="10500" max="10500" width="2.5" style="654" customWidth="1"/>
    <col min="10501" max="10501" width="45.5" style="654" customWidth="1"/>
    <col min="10502" max="10502" width="7.1640625" style="654" customWidth="1"/>
    <col min="10503" max="10503" width="0.5" style="654" customWidth="1"/>
    <col min="10504" max="10541" width="10.5" style="654" customWidth="1"/>
    <col min="10542" max="10547" width="9.5" style="654" customWidth="1"/>
    <col min="10548" max="10548" width="10.5" style="654" customWidth="1"/>
    <col min="10549" max="10553" width="9.5" style="654" customWidth="1"/>
    <col min="10554" max="10752" width="8.5" style="654"/>
    <col min="10753" max="10755" width="2" style="654" customWidth="1"/>
    <col min="10756" max="10756" width="2.5" style="654" customWidth="1"/>
    <col min="10757" max="10757" width="45.5" style="654" customWidth="1"/>
    <col min="10758" max="10758" width="7.1640625" style="654" customWidth="1"/>
    <col min="10759" max="10759" width="0.5" style="654" customWidth="1"/>
    <col min="10760" max="10797" width="10.5" style="654" customWidth="1"/>
    <col min="10798" max="10803" width="9.5" style="654" customWidth="1"/>
    <col min="10804" max="10804" width="10.5" style="654" customWidth="1"/>
    <col min="10805" max="10809" width="9.5" style="654" customWidth="1"/>
    <col min="10810" max="11008" width="8.5" style="654"/>
    <col min="11009" max="11011" width="2" style="654" customWidth="1"/>
    <col min="11012" max="11012" width="2.5" style="654" customWidth="1"/>
    <col min="11013" max="11013" width="45.5" style="654" customWidth="1"/>
    <col min="11014" max="11014" width="7.1640625" style="654" customWidth="1"/>
    <col min="11015" max="11015" width="0.5" style="654" customWidth="1"/>
    <col min="11016" max="11053" width="10.5" style="654" customWidth="1"/>
    <col min="11054" max="11059" width="9.5" style="654" customWidth="1"/>
    <col min="11060" max="11060" width="10.5" style="654" customWidth="1"/>
    <col min="11061" max="11065" width="9.5" style="654" customWidth="1"/>
    <col min="11066" max="11264" width="8.5" style="654"/>
    <col min="11265" max="11267" width="2" style="654" customWidth="1"/>
    <col min="11268" max="11268" width="2.5" style="654" customWidth="1"/>
    <col min="11269" max="11269" width="45.5" style="654" customWidth="1"/>
    <col min="11270" max="11270" width="7.1640625" style="654" customWidth="1"/>
    <col min="11271" max="11271" width="0.5" style="654" customWidth="1"/>
    <col min="11272" max="11309" width="10.5" style="654" customWidth="1"/>
    <col min="11310" max="11315" width="9.5" style="654" customWidth="1"/>
    <col min="11316" max="11316" width="10.5" style="654" customWidth="1"/>
    <col min="11317" max="11321" width="9.5" style="654" customWidth="1"/>
    <col min="11322" max="11520" width="8.5" style="654"/>
    <col min="11521" max="11523" width="2" style="654" customWidth="1"/>
    <col min="11524" max="11524" width="2.5" style="654" customWidth="1"/>
    <col min="11525" max="11525" width="45.5" style="654" customWidth="1"/>
    <col min="11526" max="11526" width="7.1640625" style="654" customWidth="1"/>
    <col min="11527" max="11527" width="0.5" style="654" customWidth="1"/>
    <col min="11528" max="11565" width="10.5" style="654" customWidth="1"/>
    <col min="11566" max="11571" width="9.5" style="654" customWidth="1"/>
    <col min="11572" max="11572" width="10.5" style="654" customWidth="1"/>
    <col min="11573" max="11577" width="9.5" style="654" customWidth="1"/>
    <col min="11578" max="11776" width="8.5" style="654"/>
    <col min="11777" max="11779" width="2" style="654" customWidth="1"/>
    <col min="11780" max="11780" width="2.5" style="654" customWidth="1"/>
    <col min="11781" max="11781" width="45.5" style="654" customWidth="1"/>
    <col min="11782" max="11782" width="7.1640625" style="654" customWidth="1"/>
    <col min="11783" max="11783" width="0.5" style="654" customWidth="1"/>
    <col min="11784" max="11821" width="10.5" style="654" customWidth="1"/>
    <col min="11822" max="11827" width="9.5" style="654" customWidth="1"/>
    <col min="11828" max="11828" width="10.5" style="654" customWidth="1"/>
    <col min="11829" max="11833" width="9.5" style="654" customWidth="1"/>
    <col min="11834" max="12032" width="8.5" style="654"/>
    <col min="12033" max="12035" width="2" style="654" customWidth="1"/>
    <col min="12036" max="12036" width="2.5" style="654" customWidth="1"/>
    <col min="12037" max="12037" width="45.5" style="654" customWidth="1"/>
    <col min="12038" max="12038" width="7.1640625" style="654" customWidth="1"/>
    <col min="12039" max="12039" width="0.5" style="654" customWidth="1"/>
    <col min="12040" max="12077" width="10.5" style="654" customWidth="1"/>
    <col min="12078" max="12083" width="9.5" style="654" customWidth="1"/>
    <col min="12084" max="12084" width="10.5" style="654" customWidth="1"/>
    <col min="12085" max="12089" width="9.5" style="654" customWidth="1"/>
    <col min="12090" max="12288" width="8.5" style="654"/>
    <col min="12289" max="12291" width="2" style="654" customWidth="1"/>
    <col min="12292" max="12292" width="2.5" style="654" customWidth="1"/>
    <col min="12293" max="12293" width="45.5" style="654" customWidth="1"/>
    <col min="12294" max="12294" width="7.1640625" style="654" customWidth="1"/>
    <col min="12295" max="12295" width="0.5" style="654" customWidth="1"/>
    <col min="12296" max="12333" width="10.5" style="654" customWidth="1"/>
    <col min="12334" max="12339" width="9.5" style="654" customWidth="1"/>
    <col min="12340" max="12340" width="10.5" style="654" customWidth="1"/>
    <col min="12341" max="12345" width="9.5" style="654" customWidth="1"/>
    <col min="12346" max="12544" width="8.5" style="654"/>
    <col min="12545" max="12547" width="2" style="654" customWidth="1"/>
    <col min="12548" max="12548" width="2.5" style="654" customWidth="1"/>
    <col min="12549" max="12549" width="45.5" style="654" customWidth="1"/>
    <col min="12550" max="12550" width="7.1640625" style="654" customWidth="1"/>
    <col min="12551" max="12551" width="0.5" style="654" customWidth="1"/>
    <col min="12552" max="12589" width="10.5" style="654" customWidth="1"/>
    <col min="12590" max="12595" width="9.5" style="654" customWidth="1"/>
    <col min="12596" max="12596" width="10.5" style="654" customWidth="1"/>
    <col min="12597" max="12601" width="9.5" style="654" customWidth="1"/>
    <col min="12602" max="12800" width="8.5" style="654"/>
    <col min="12801" max="12803" width="2" style="654" customWidth="1"/>
    <col min="12804" max="12804" width="2.5" style="654" customWidth="1"/>
    <col min="12805" max="12805" width="45.5" style="654" customWidth="1"/>
    <col min="12806" max="12806" width="7.1640625" style="654" customWidth="1"/>
    <col min="12807" max="12807" width="0.5" style="654" customWidth="1"/>
    <col min="12808" max="12845" width="10.5" style="654" customWidth="1"/>
    <col min="12846" max="12851" width="9.5" style="654" customWidth="1"/>
    <col min="12852" max="12852" width="10.5" style="654" customWidth="1"/>
    <col min="12853" max="12857" width="9.5" style="654" customWidth="1"/>
    <col min="12858" max="13056" width="8.5" style="654"/>
    <col min="13057" max="13059" width="2" style="654" customWidth="1"/>
    <col min="13060" max="13060" width="2.5" style="654" customWidth="1"/>
    <col min="13061" max="13061" width="45.5" style="654" customWidth="1"/>
    <col min="13062" max="13062" width="7.1640625" style="654" customWidth="1"/>
    <col min="13063" max="13063" width="0.5" style="654" customWidth="1"/>
    <col min="13064" max="13101" width="10.5" style="654" customWidth="1"/>
    <col min="13102" max="13107" width="9.5" style="654" customWidth="1"/>
    <col min="13108" max="13108" width="10.5" style="654" customWidth="1"/>
    <col min="13109" max="13113" width="9.5" style="654" customWidth="1"/>
    <col min="13114" max="13312" width="8.5" style="654"/>
    <col min="13313" max="13315" width="2" style="654" customWidth="1"/>
    <col min="13316" max="13316" width="2.5" style="654" customWidth="1"/>
    <col min="13317" max="13317" width="45.5" style="654" customWidth="1"/>
    <col min="13318" max="13318" width="7.1640625" style="654" customWidth="1"/>
    <col min="13319" max="13319" width="0.5" style="654" customWidth="1"/>
    <col min="13320" max="13357" width="10.5" style="654" customWidth="1"/>
    <col min="13358" max="13363" width="9.5" style="654" customWidth="1"/>
    <col min="13364" max="13364" width="10.5" style="654" customWidth="1"/>
    <col min="13365" max="13369" width="9.5" style="654" customWidth="1"/>
    <col min="13370" max="13568" width="8.5" style="654"/>
    <col min="13569" max="13571" width="2" style="654" customWidth="1"/>
    <col min="13572" max="13572" width="2.5" style="654" customWidth="1"/>
    <col min="13573" max="13573" width="45.5" style="654" customWidth="1"/>
    <col min="13574" max="13574" width="7.1640625" style="654" customWidth="1"/>
    <col min="13575" max="13575" width="0.5" style="654" customWidth="1"/>
    <col min="13576" max="13613" width="10.5" style="654" customWidth="1"/>
    <col min="13614" max="13619" width="9.5" style="654" customWidth="1"/>
    <col min="13620" max="13620" width="10.5" style="654" customWidth="1"/>
    <col min="13621" max="13625" width="9.5" style="654" customWidth="1"/>
    <col min="13626" max="13824" width="8.5" style="654"/>
    <col min="13825" max="13827" width="2" style="654" customWidth="1"/>
    <col min="13828" max="13828" width="2.5" style="654" customWidth="1"/>
    <col min="13829" max="13829" width="45.5" style="654" customWidth="1"/>
    <col min="13830" max="13830" width="7.1640625" style="654" customWidth="1"/>
    <col min="13831" max="13831" width="0.5" style="654" customWidth="1"/>
    <col min="13832" max="13869" width="10.5" style="654" customWidth="1"/>
    <col min="13870" max="13875" width="9.5" style="654" customWidth="1"/>
    <col min="13876" max="13876" width="10.5" style="654" customWidth="1"/>
    <col min="13877" max="13881" width="9.5" style="654" customWidth="1"/>
    <col min="13882" max="14080" width="8.5" style="654"/>
    <col min="14081" max="14083" width="2" style="654" customWidth="1"/>
    <col min="14084" max="14084" width="2.5" style="654" customWidth="1"/>
    <col min="14085" max="14085" width="45.5" style="654" customWidth="1"/>
    <col min="14086" max="14086" width="7.1640625" style="654" customWidth="1"/>
    <col min="14087" max="14087" width="0.5" style="654" customWidth="1"/>
    <col min="14088" max="14125" width="10.5" style="654" customWidth="1"/>
    <col min="14126" max="14131" width="9.5" style="654" customWidth="1"/>
    <col min="14132" max="14132" width="10.5" style="654" customWidth="1"/>
    <col min="14133" max="14137" width="9.5" style="654" customWidth="1"/>
    <col min="14138" max="14336" width="8.5" style="654"/>
    <col min="14337" max="14339" width="2" style="654" customWidth="1"/>
    <col min="14340" max="14340" width="2.5" style="654" customWidth="1"/>
    <col min="14341" max="14341" width="45.5" style="654" customWidth="1"/>
    <col min="14342" max="14342" width="7.1640625" style="654" customWidth="1"/>
    <col min="14343" max="14343" width="0.5" style="654" customWidth="1"/>
    <col min="14344" max="14381" width="10.5" style="654" customWidth="1"/>
    <col min="14382" max="14387" width="9.5" style="654" customWidth="1"/>
    <col min="14388" max="14388" width="10.5" style="654" customWidth="1"/>
    <col min="14389" max="14393" width="9.5" style="654" customWidth="1"/>
    <col min="14394" max="14592" width="8.5" style="654"/>
    <col min="14593" max="14595" width="2" style="654" customWidth="1"/>
    <col min="14596" max="14596" width="2.5" style="654" customWidth="1"/>
    <col min="14597" max="14597" width="45.5" style="654" customWidth="1"/>
    <col min="14598" max="14598" width="7.1640625" style="654" customWidth="1"/>
    <col min="14599" max="14599" width="0.5" style="654" customWidth="1"/>
    <col min="14600" max="14637" width="10.5" style="654" customWidth="1"/>
    <col min="14638" max="14643" width="9.5" style="654" customWidth="1"/>
    <col min="14644" max="14644" width="10.5" style="654" customWidth="1"/>
    <col min="14645" max="14649" width="9.5" style="654" customWidth="1"/>
    <col min="14650" max="14848" width="8.5" style="654"/>
    <col min="14849" max="14851" width="2" style="654" customWidth="1"/>
    <col min="14852" max="14852" width="2.5" style="654" customWidth="1"/>
    <col min="14853" max="14853" width="45.5" style="654" customWidth="1"/>
    <col min="14854" max="14854" width="7.1640625" style="654" customWidth="1"/>
    <col min="14855" max="14855" width="0.5" style="654" customWidth="1"/>
    <col min="14856" max="14893" width="10.5" style="654" customWidth="1"/>
    <col min="14894" max="14899" width="9.5" style="654" customWidth="1"/>
    <col min="14900" max="14900" width="10.5" style="654" customWidth="1"/>
    <col min="14901" max="14905" width="9.5" style="654" customWidth="1"/>
    <col min="14906" max="15104" width="8.5" style="654"/>
    <col min="15105" max="15107" width="2" style="654" customWidth="1"/>
    <col min="15108" max="15108" width="2.5" style="654" customWidth="1"/>
    <col min="15109" max="15109" width="45.5" style="654" customWidth="1"/>
    <col min="15110" max="15110" width="7.1640625" style="654" customWidth="1"/>
    <col min="15111" max="15111" width="0.5" style="654" customWidth="1"/>
    <col min="15112" max="15149" width="10.5" style="654" customWidth="1"/>
    <col min="15150" max="15155" width="9.5" style="654" customWidth="1"/>
    <col min="15156" max="15156" width="10.5" style="654" customWidth="1"/>
    <col min="15157" max="15161" width="9.5" style="654" customWidth="1"/>
    <col min="15162" max="15360" width="8.5" style="654"/>
    <col min="15361" max="15363" width="2" style="654" customWidth="1"/>
    <col min="15364" max="15364" width="2.5" style="654" customWidth="1"/>
    <col min="15365" max="15365" width="45.5" style="654" customWidth="1"/>
    <col min="15366" max="15366" width="7.1640625" style="654" customWidth="1"/>
    <col min="15367" max="15367" width="0.5" style="654" customWidth="1"/>
    <col min="15368" max="15405" width="10.5" style="654" customWidth="1"/>
    <col min="15406" max="15411" width="9.5" style="654" customWidth="1"/>
    <col min="15412" max="15412" width="10.5" style="654" customWidth="1"/>
    <col min="15413" max="15417" width="9.5" style="654" customWidth="1"/>
    <col min="15418" max="15616" width="8.5" style="654"/>
    <col min="15617" max="15619" width="2" style="654" customWidth="1"/>
    <col min="15620" max="15620" width="2.5" style="654" customWidth="1"/>
    <col min="15621" max="15621" width="45.5" style="654" customWidth="1"/>
    <col min="15622" max="15622" width="7.1640625" style="654" customWidth="1"/>
    <col min="15623" max="15623" width="0.5" style="654" customWidth="1"/>
    <col min="15624" max="15661" width="10.5" style="654" customWidth="1"/>
    <col min="15662" max="15667" width="9.5" style="654" customWidth="1"/>
    <col min="15668" max="15668" width="10.5" style="654" customWidth="1"/>
    <col min="15669" max="15673" width="9.5" style="654" customWidth="1"/>
    <col min="15674" max="15872" width="8.5" style="654"/>
    <col min="15873" max="15875" width="2" style="654" customWidth="1"/>
    <col min="15876" max="15876" width="2.5" style="654" customWidth="1"/>
    <col min="15877" max="15877" width="45.5" style="654" customWidth="1"/>
    <col min="15878" max="15878" width="7.1640625" style="654" customWidth="1"/>
    <col min="15879" max="15879" width="0.5" style="654" customWidth="1"/>
    <col min="15880" max="15917" width="10.5" style="654" customWidth="1"/>
    <col min="15918" max="15923" width="9.5" style="654" customWidth="1"/>
    <col min="15924" max="15924" width="10.5" style="654" customWidth="1"/>
    <col min="15925" max="15929" width="9.5" style="654" customWidth="1"/>
    <col min="15930" max="16128" width="8.5" style="654"/>
    <col min="16129" max="16131" width="2" style="654" customWidth="1"/>
    <col min="16132" max="16132" width="2.5" style="654" customWidth="1"/>
    <col min="16133" max="16133" width="45.5" style="654" customWidth="1"/>
    <col min="16134" max="16134" width="7.1640625" style="654" customWidth="1"/>
    <col min="16135" max="16135" width="0.5" style="654" customWidth="1"/>
    <col min="16136" max="16173" width="10.5" style="654" customWidth="1"/>
    <col min="16174" max="16179" width="9.5" style="654" customWidth="1"/>
    <col min="16180" max="16180" width="10.5" style="654" customWidth="1"/>
    <col min="16181" max="16185" width="9.5" style="654" customWidth="1"/>
    <col min="16186" max="16384" width="8.5" style="654"/>
  </cols>
  <sheetData>
    <row r="1" spans="1:73">
      <c r="A1" s="656"/>
      <c r="B1" s="656"/>
      <c r="C1" s="656"/>
      <c r="D1" s="656"/>
      <c r="E1" s="757"/>
      <c r="F1" s="658"/>
      <c r="G1" s="658"/>
      <c r="H1" s="756" t="s">
        <v>1352</v>
      </c>
      <c r="I1" s="756">
        <v>2000</v>
      </c>
      <c r="J1" s="756">
        <v>2115</v>
      </c>
      <c r="K1" s="756">
        <v>2116</v>
      </c>
      <c r="L1" s="756">
        <v>2117</v>
      </c>
      <c r="M1" s="756">
        <v>2118</v>
      </c>
      <c r="N1" s="756">
        <v>2210</v>
      </c>
      <c r="O1" s="756">
        <v>2112</v>
      </c>
      <c r="P1" s="756">
        <v>2121</v>
      </c>
      <c r="Q1" s="756">
        <v>2122</v>
      </c>
      <c r="R1" s="756">
        <v>2130</v>
      </c>
      <c r="S1" s="756">
        <v>2230</v>
      </c>
      <c r="T1" s="756">
        <v>2310</v>
      </c>
      <c r="U1" s="756">
        <v>2330</v>
      </c>
      <c r="V1" s="756">
        <v>2410</v>
      </c>
      <c r="W1" s="756">
        <v>3000</v>
      </c>
      <c r="X1" s="756">
        <v>3105</v>
      </c>
      <c r="Y1" s="756">
        <v>3106</v>
      </c>
      <c r="Z1" s="756">
        <v>3191</v>
      </c>
      <c r="AA1" s="756">
        <v>3192</v>
      </c>
      <c r="AB1" s="756">
        <v>3193</v>
      </c>
      <c r="AC1" s="756">
        <v>3214</v>
      </c>
      <c r="AD1" s="756">
        <v>3215</v>
      </c>
      <c r="AE1" s="756">
        <v>3220</v>
      </c>
      <c r="AF1" s="756">
        <v>3234</v>
      </c>
      <c r="AG1" s="756">
        <v>3235</v>
      </c>
      <c r="AH1" s="756">
        <v>3246</v>
      </c>
      <c r="AI1" s="756">
        <v>3247</v>
      </c>
      <c r="AJ1" s="756">
        <v>3244</v>
      </c>
      <c r="AK1" s="756">
        <v>3250</v>
      </c>
      <c r="AL1" s="756">
        <v>3260</v>
      </c>
      <c r="AM1" s="756" t="s">
        <v>1351</v>
      </c>
      <c r="AN1" s="756">
        <v>3281</v>
      </c>
      <c r="AO1" s="756">
        <v>3282</v>
      </c>
      <c r="AP1" s="756">
        <v>3283</v>
      </c>
      <c r="AQ1" s="756">
        <v>3285</v>
      </c>
      <c r="AR1" s="756">
        <v>3286</v>
      </c>
      <c r="AS1" s="756">
        <v>3295</v>
      </c>
      <c r="AT1" s="756">
        <v>4000</v>
      </c>
      <c r="AU1" s="756">
        <v>4100</v>
      </c>
      <c r="AV1" s="756">
        <v>4210</v>
      </c>
      <c r="AW1" s="756">
        <v>4220</v>
      </c>
      <c r="AX1" s="756">
        <v>4230</v>
      </c>
      <c r="AY1" s="756">
        <v>4240</v>
      </c>
      <c r="AZ1" s="756">
        <v>5500</v>
      </c>
      <c r="BA1" s="756">
        <v>5510</v>
      </c>
      <c r="BB1" s="756">
        <v>5520</v>
      </c>
      <c r="BC1" s="756">
        <v>5535</v>
      </c>
      <c r="BD1" s="756">
        <v>5532</v>
      </c>
      <c r="BE1" s="756">
        <v>5534</v>
      </c>
      <c r="BF1" s="756">
        <v>5541</v>
      </c>
      <c r="BG1" s="756">
        <v>5544</v>
      </c>
      <c r="BH1" s="756">
        <v>5542</v>
      </c>
      <c r="BI1" s="756">
        <v>55431</v>
      </c>
      <c r="BJ1" s="756">
        <v>5546</v>
      </c>
      <c r="BK1" s="756">
        <v>5547</v>
      </c>
      <c r="BL1" s="756">
        <v>5549</v>
      </c>
      <c r="BM1" s="756">
        <v>5548</v>
      </c>
      <c r="BN1" s="756">
        <v>5550</v>
      </c>
      <c r="BO1" s="749">
        <v>7200</v>
      </c>
      <c r="BP1" s="756">
        <v>7100</v>
      </c>
      <c r="BQ1" s="756">
        <v>55432</v>
      </c>
      <c r="BR1" s="756">
        <v>5100</v>
      </c>
      <c r="BS1" s="756">
        <v>5200</v>
      </c>
      <c r="BT1" s="756">
        <v>6000</v>
      </c>
      <c r="BU1" s="747"/>
    </row>
    <row r="2" spans="1:73" ht="38.25" customHeight="1">
      <c r="A2" s="746" t="s">
        <v>1350</v>
      </c>
      <c r="B2" s="746"/>
      <c r="C2" s="746"/>
      <c r="D2" s="746"/>
      <c r="E2" s="745" t="s">
        <v>1349</v>
      </c>
      <c r="F2" s="744" t="s">
        <v>954</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196256.83099264355</v>
      </c>
      <c r="I4" s="723">
        <v>1124.1998662462979</v>
      </c>
      <c r="J4" s="725">
        <v>0</v>
      </c>
      <c r="K4" s="725">
        <v>0</v>
      </c>
      <c r="L4" s="725">
        <v>1124.1998662462979</v>
      </c>
      <c r="M4" s="725">
        <v>0</v>
      </c>
      <c r="N4" s="725">
        <v>0</v>
      </c>
      <c r="O4" s="725"/>
      <c r="P4" s="725"/>
      <c r="Q4" s="725"/>
      <c r="R4" s="725"/>
      <c r="S4" s="725"/>
      <c r="T4" s="725">
        <v>0</v>
      </c>
      <c r="U4" s="725"/>
      <c r="V4" s="725">
        <v>0</v>
      </c>
      <c r="W4" s="723">
        <v>86954.046049488868</v>
      </c>
      <c r="X4" s="725">
        <v>76948.074902073175</v>
      </c>
      <c r="Y4" s="725">
        <v>9954.117703257858</v>
      </c>
      <c r="Z4" s="725"/>
      <c r="AA4" s="725">
        <v>51.853444157829365</v>
      </c>
      <c r="AB4" s="725"/>
      <c r="AC4" s="725"/>
      <c r="AD4" s="725"/>
      <c r="AE4" s="725"/>
      <c r="AF4" s="725"/>
      <c r="AG4" s="725"/>
      <c r="AH4" s="725"/>
      <c r="AI4" s="725"/>
      <c r="AJ4" s="725"/>
      <c r="AK4" s="725"/>
      <c r="AL4" s="725"/>
      <c r="AM4" s="725"/>
      <c r="AN4" s="725"/>
      <c r="AO4" s="725"/>
      <c r="AP4" s="725"/>
      <c r="AQ4" s="725"/>
      <c r="AR4" s="725"/>
      <c r="AS4" s="725"/>
      <c r="AT4" s="723">
        <v>94989.705741855345</v>
      </c>
      <c r="AU4" s="725">
        <v>94989.705741855345</v>
      </c>
      <c r="AV4" s="725"/>
      <c r="AW4" s="725"/>
      <c r="AX4" s="725"/>
      <c r="AY4" s="725"/>
      <c r="AZ4" s="723">
        <v>12964.459730581828</v>
      </c>
      <c r="BA4" s="725">
        <v>11684.771185631031</v>
      </c>
      <c r="BB4" s="725">
        <v>190.55125632941625</v>
      </c>
      <c r="BC4" s="725">
        <v>0</v>
      </c>
      <c r="BD4" s="725">
        <v>0</v>
      </c>
      <c r="BE4" s="725">
        <v>0</v>
      </c>
      <c r="BF4" s="725">
        <v>840.52259482182092</v>
      </c>
      <c r="BG4" s="725"/>
      <c r="BH4" s="725">
        <v>23.144167383204355</v>
      </c>
      <c r="BI4" s="725">
        <v>221.95949173593198</v>
      </c>
      <c r="BJ4" s="725">
        <v>0</v>
      </c>
      <c r="BK4" s="725">
        <v>0</v>
      </c>
      <c r="BL4" s="725">
        <v>0</v>
      </c>
      <c r="BM4" s="725">
        <v>3.5110346804241903</v>
      </c>
      <c r="BN4" s="725">
        <v>0</v>
      </c>
      <c r="BO4" s="723">
        <v>224.41960447119519</v>
      </c>
      <c r="BP4" s="725">
        <v>2.4601127352632082</v>
      </c>
      <c r="BQ4" s="725">
        <v>221.95949173593198</v>
      </c>
      <c r="BR4" s="724">
        <v>0</v>
      </c>
      <c r="BS4" s="724"/>
      <c r="BT4" s="723"/>
    </row>
    <row r="5" spans="1:73">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c r="A12" s="680" t="s">
        <v>968</v>
      </c>
      <c r="B12" s="679" t="s">
        <v>164</v>
      </c>
      <c r="C12" s="679"/>
      <c r="D12" s="679"/>
      <c r="E12" s="679"/>
      <c r="F12" s="678" t="s">
        <v>1276</v>
      </c>
      <c r="G12" s="678"/>
      <c r="H12" s="677">
        <v>6989.466895958727</v>
      </c>
      <c r="I12" s="674">
        <v>820.48342409477402</v>
      </c>
      <c r="J12" s="676">
        <v>0</v>
      </c>
      <c r="K12" s="676">
        <v>0</v>
      </c>
      <c r="L12" s="676">
        <v>510.74806534823728</v>
      </c>
      <c r="M12" s="676">
        <v>0</v>
      </c>
      <c r="N12" s="676">
        <v>0</v>
      </c>
      <c r="O12" s="676">
        <v>0</v>
      </c>
      <c r="P12" s="676">
        <v>309.73535874653675</v>
      </c>
      <c r="Q12" s="676">
        <v>0</v>
      </c>
      <c r="R12" s="676">
        <v>0</v>
      </c>
      <c r="S12" s="676">
        <v>0</v>
      </c>
      <c r="T12" s="676">
        <v>0</v>
      </c>
      <c r="U12" s="676">
        <v>0</v>
      </c>
      <c r="V12" s="676">
        <v>0</v>
      </c>
      <c r="W12" s="674">
        <v>5474.1329893952416</v>
      </c>
      <c r="X12" s="676">
        <v>1241.2821247730963</v>
      </c>
      <c r="Y12" s="676"/>
      <c r="Z12" s="676"/>
      <c r="AA12" s="676"/>
      <c r="AB12" s="676"/>
      <c r="AC12" s="676"/>
      <c r="AD12" s="676">
        <v>63.867392758192409</v>
      </c>
      <c r="AE12" s="676">
        <v>183.88745581350912</v>
      </c>
      <c r="AF12" s="676">
        <v>174.04700487245628</v>
      </c>
      <c r="AG12" s="676"/>
      <c r="AH12" s="676"/>
      <c r="AI12" s="676">
        <v>396.34088086366677</v>
      </c>
      <c r="AJ12" s="676">
        <v>154.41387216967613</v>
      </c>
      <c r="AK12" s="676">
        <v>163.5616700105092</v>
      </c>
      <c r="AL12" s="676">
        <v>1145.7437661220979</v>
      </c>
      <c r="AM12" s="676">
        <v>1133.0849336008407</v>
      </c>
      <c r="AN12" s="676">
        <v>19.776440240756664</v>
      </c>
      <c r="AO12" s="676">
        <v>42.132416165090284</v>
      </c>
      <c r="AP12" s="676">
        <v>403.33906563485237</v>
      </c>
      <c r="AQ12" s="676">
        <v>333.54829464029808</v>
      </c>
      <c r="AR12" s="676"/>
      <c r="AS12" s="676">
        <v>19.107671730199673</v>
      </c>
      <c r="AT12" s="674">
        <v>0</v>
      </c>
      <c r="AU12" s="676">
        <v>0</v>
      </c>
      <c r="AV12" s="676"/>
      <c r="AW12" s="676"/>
      <c r="AX12" s="676"/>
      <c r="AY12" s="676"/>
      <c r="AZ12" s="674">
        <v>149.11149326454571</v>
      </c>
      <c r="BA12" s="676"/>
      <c r="BB12" s="676"/>
      <c r="BC12" s="676"/>
      <c r="BD12" s="676">
        <v>0</v>
      </c>
      <c r="BE12" s="676"/>
      <c r="BF12" s="676">
        <v>21.066208082545142</v>
      </c>
      <c r="BG12" s="676">
        <v>0</v>
      </c>
      <c r="BH12" s="676">
        <v>0</v>
      </c>
      <c r="BI12" s="676">
        <v>0</v>
      </c>
      <c r="BJ12" s="676">
        <v>9.8165663513900832</v>
      </c>
      <c r="BK12" s="676">
        <v>114.55049202254705</v>
      </c>
      <c r="BL12" s="676">
        <v>0</v>
      </c>
      <c r="BM12" s="676">
        <v>3.6782268080634375</v>
      </c>
      <c r="BN12" s="676">
        <v>0</v>
      </c>
      <c r="BO12" s="674">
        <v>0</v>
      </c>
      <c r="BP12" s="676">
        <v>0</v>
      </c>
      <c r="BQ12" s="676">
        <v>0</v>
      </c>
      <c r="BR12" s="675"/>
      <c r="BS12" s="675">
        <v>0</v>
      </c>
      <c r="BT12" s="674">
        <v>545.73898920416548</v>
      </c>
    </row>
    <row r="13" spans="1:73">
      <c r="A13" s="680" t="s">
        <v>968</v>
      </c>
      <c r="B13" s="679" t="s">
        <v>1275</v>
      </c>
      <c r="C13" s="679"/>
      <c r="D13" s="679"/>
      <c r="E13" s="679"/>
      <c r="F13" s="678" t="s">
        <v>1274</v>
      </c>
      <c r="G13" s="678"/>
      <c r="H13" s="677">
        <v>481.53721219069456</v>
      </c>
      <c r="I13" s="674">
        <v>-15.429444922136238</v>
      </c>
      <c r="J13" s="676">
        <v>0</v>
      </c>
      <c r="K13" s="676">
        <v>0</v>
      </c>
      <c r="L13" s="676">
        <v>-16.766981943250215</v>
      </c>
      <c r="M13" s="676">
        <v>0</v>
      </c>
      <c r="N13" s="676">
        <v>0</v>
      </c>
      <c r="O13" s="676">
        <v>0</v>
      </c>
      <c r="P13" s="676">
        <v>1.3614216107767267</v>
      </c>
      <c r="Q13" s="676">
        <v>0</v>
      </c>
      <c r="R13" s="676">
        <v>0</v>
      </c>
      <c r="S13" s="676">
        <v>0</v>
      </c>
      <c r="T13" s="676">
        <v>0</v>
      </c>
      <c r="U13" s="676">
        <v>0</v>
      </c>
      <c r="V13" s="676">
        <v>0</v>
      </c>
      <c r="W13" s="674">
        <v>496.77558039552878</v>
      </c>
      <c r="X13" s="676">
        <v>306.00936275914779</v>
      </c>
      <c r="Y13" s="676"/>
      <c r="Z13" s="676"/>
      <c r="AA13" s="676"/>
      <c r="AB13" s="676"/>
      <c r="AC13" s="676"/>
      <c r="AD13" s="676">
        <v>0</v>
      </c>
      <c r="AE13" s="676">
        <v>19.824209420082163</v>
      </c>
      <c r="AF13" s="676">
        <v>68.166618897487339</v>
      </c>
      <c r="AG13" s="676"/>
      <c r="AH13" s="676"/>
      <c r="AI13" s="676">
        <v>49.417216012228906</v>
      </c>
      <c r="AJ13" s="676">
        <v>9.2672207891468421</v>
      </c>
      <c r="AK13" s="676">
        <v>80.729913060093622</v>
      </c>
      <c r="AL13" s="676">
        <v>-39.122957867583835</v>
      </c>
      <c r="AM13" s="676">
        <v>13.375370211139773</v>
      </c>
      <c r="AN13" s="676"/>
      <c r="AO13" s="676"/>
      <c r="AP13" s="676"/>
      <c r="AQ13" s="676">
        <v>-10.867488296551064</v>
      </c>
      <c r="AR13" s="676"/>
      <c r="AS13" s="676"/>
      <c r="AT13" s="674">
        <v>0.16719212763924715</v>
      </c>
      <c r="AU13" s="676">
        <v>0.16719212763924715</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c r="A14" s="680" t="s">
        <v>1081</v>
      </c>
      <c r="B14" s="679" t="s">
        <v>170</v>
      </c>
      <c r="C14" s="679"/>
      <c r="D14" s="679"/>
      <c r="E14" s="679"/>
      <c r="F14" s="678" t="s">
        <v>1273</v>
      </c>
      <c r="G14" s="678"/>
      <c r="H14" s="677">
        <v>174346.56539600648</v>
      </c>
      <c r="I14" s="674">
        <v>1079.2251839113403</v>
      </c>
      <c r="J14" s="676">
        <v>0</v>
      </c>
      <c r="K14" s="676">
        <v>0</v>
      </c>
      <c r="L14" s="676">
        <v>1079.2251839113403</v>
      </c>
      <c r="M14" s="676">
        <v>0</v>
      </c>
      <c r="N14" s="676">
        <v>0</v>
      </c>
      <c r="O14" s="676">
        <v>0</v>
      </c>
      <c r="P14" s="676">
        <v>0</v>
      </c>
      <c r="Q14" s="676">
        <v>0</v>
      </c>
      <c r="R14" s="676">
        <v>0</v>
      </c>
      <c r="S14" s="676">
        <v>0</v>
      </c>
      <c r="T14" s="676">
        <v>0</v>
      </c>
      <c r="U14" s="676">
        <v>0</v>
      </c>
      <c r="V14" s="676">
        <v>0</v>
      </c>
      <c r="W14" s="674">
        <v>81313.676316040888</v>
      </c>
      <c r="X14" s="676">
        <v>65136.094391898347</v>
      </c>
      <c r="Y14" s="676"/>
      <c r="Z14" s="676"/>
      <c r="AA14" s="676"/>
      <c r="AB14" s="676"/>
      <c r="AC14" s="676"/>
      <c r="AD14" s="676">
        <v>1168.243049584408</v>
      </c>
      <c r="AE14" s="676">
        <v>5420.6076239610202</v>
      </c>
      <c r="AF14" s="676">
        <v>2241.7598165663512</v>
      </c>
      <c r="AG14" s="676"/>
      <c r="AH14" s="676"/>
      <c r="AI14" s="676">
        <v>12.348332855641539</v>
      </c>
      <c r="AJ14" s="676">
        <v>118.37202636858699</v>
      </c>
      <c r="AK14" s="676">
        <v>2773.3830132798316</v>
      </c>
      <c r="AL14" s="676">
        <v>2842.2422852775389</v>
      </c>
      <c r="AM14" s="676">
        <v>1502.8183815802045</v>
      </c>
      <c r="AN14" s="676"/>
      <c r="AO14" s="676"/>
      <c r="AP14" s="676">
        <v>0.93149899684723414</v>
      </c>
      <c r="AQ14" s="676">
        <v>77.744339352249924</v>
      </c>
      <c r="AR14" s="676"/>
      <c r="AS14" s="676">
        <v>19.107671730199673</v>
      </c>
      <c r="AT14" s="674">
        <v>90050.492022547041</v>
      </c>
      <c r="AU14" s="676">
        <v>90050.492022547041</v>
      </c>
      <c r="AV14" s="676"/>
      <c r="AW14" s="676"/>
      <c r="AX14" s="676"/>
      <c r="AY14" s="676"/>
      <c r="AZ14" s="674">
        <v>17.364096684818954</v>
      </c>
      <c r="BA14" s="676"/>
      <c r="BB14" s="676"/>
      <c r="BC14" s="676"/>
      <c r="BD14" s="676">
        <v>0</v>
      </c>
      <c r="BE14" s="676"/>
      <c r="BF14" s="676">
        <v>17.364096684818954</v>
      </c>
      <c r="BG14" s="676">
        <v>0</v>
      </c>
      <c r="BH14" s="676">
        <v>0</v>
      </c>
      <c r="BI14" s="676">
        <v>0</v>
      </c>
      <c r="BJ14" s="676">
        <v>0</v>
      </c>
      <c r="BK14" s="676">
        <v>0</v>
      </c>
      <c r="BL14" s="676">
        <v>0</v>
      </c>
      <c r="BM14" s="676">
        <v>0</v>
      </c>
      <c r="BN14" s="676">
        <v>0</v>
      </c>
      <c r="BO14" s="674">
        <v>0</v>
      </c>
      <c r="BP14" s="676">
        <v>0</v>
      </c>
      <c r="BQ14" s="676">
        <v>0</v>
      </c>
      <c r="BR14" s="675"/>
      <c r="BS14" s="675">
        <v>0</v>
      </c>
      <c r="BT14" s="674">
        <v>1885.8077768223941</v>
      </c>
    </row>
    <row r="15" spans="1:73">
      <c r="A15" s="680" t="s">
        <v>1081</v>
      </c>
      <c r="B15" s="679" t="s">
        <v>1272</v>
      </c>
      <c r="C15" s="679"/>
      <c r="D15" s="679"/>
      <c r="E15" s="679"/>
      <c r="F15" s="678" t="s">
        <v>1271</v>
      </c>
      <c r="G15" s="678"/>
      <c r="H15" s="677">
        <v>144.52565204929778</v>
      </c>
      <c r="I15" s="674">
        <v>0</v>
      </c>
      <c r="J15" s="676">
        <v>0</v>
      </c>
      <c r="K15" s="676">
        <v>0</v>
      </c>
      <c r="L15" s="676">
        <v>0</v>
      </c>
      <c r="M15" s="676">
        <v>0</v>
      </c>
      <c r="N15" s="676">
        <v>0</v>
      </c>
      <c r="O15" s="676">
        <v>0</v>
      </c>
      <c r="P15" s="676">
        <v>0</v>
      </c>
      <c r="Q15" s="676">
        <v>0</v>
      </c>
      <c r="R15" s="676">
        <v>0</v>
      </c>
      <c r="S15" s="676">
        <v>0</v>
      </c>
      <c r="T15" s="676">
        <v>0</v>
      </c>
      <c r="U15" s="676">
        <v>0</v>
      </c>
      <c r="V15" s="676">
        <v>0</v>
      </c>
      <c r="W15" s="674">
        <v>144.52565204929778</v>
      </c>
      <c r="X15" s="676"/>
      <c r="Y15" s="676"/>
      <c r="Z15" s="676"/>
      <c r="AA15" s="676"/>
      <c r="AB15" s="676"/>
      <c r="AC15" s="676"/>
      <c r="AD15" s="676"/>
      <c r="AE15" s="676"/>
      <c r="AF15" s="676"/>
      <c r="AG15" s="676"/>
      <c r="AH15" s="676"/>
      <c r="AI15" s="676"/>
      <c r="AJ15" s="676"/>
      <c r="AK15" s="676"/>
      <c r="AL15" s="676">
        <v>70.00573230151906</v>
      </c>
      <c r="AM15" s="676">
        <v>74.519919747778729</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c r="A17" s="755" t="s">
        <v>1268</v>
      </c>
      <c r="B17" s="755"/>
      <c r="C17" s="755"/>
      <c r="D17" s="755"/>
      <c r="E17" s="755"/>
      <c r="F17" s="658" t="s">
        <v>1267</v>
      </c>
      <c r="G17" s="658"/>
      <c r="H17" s="754">
        <v>29236.720168147509</v>
      </c>
      <c r="I17" s="704">
        <v>850.0286615075953</v>
      </c>
      <c r="J17" s="753">
        <v>0</v>
      </c>
      <c r="K17" s="753">
        <v>0</v>
      </c>
      <c r="L17" s="753">
        <v>538.93188115028181</v>
      </c>
      <c r="M17" s="753">
        <v>0</v>
      </c>
      <c r="N17" s="753">
        <v>0</v>
      </c>
      <c r="O17" s="753">
        <v>0</v>
      </c>
      <c r="P17" s="753">
        <v>311.07289576765072</v>
      </c>
      <c r="Q17" s="753">
        <v>0</v>
      </c>
      <c r="R17" s="753">
        <v>0</v>
      </c>
      <c r="S17" s="753">
        <v>0</v>
      </c>
      <c r="T17" s="753">
        <v>0</v>
      </c>
      <c r="U17" s="753">
        <v>0</v>
      </c>
      <c r="V17" s="753">
        <v>0</v>
      </c>
      <c r="W17" s="704">
        <v>11466.752651189452</v>
      </c>
      <c r="X17" s="753">
        <v>13359.248113117415</v>
      </c>
      <c r="Y17" s="753">
        <v>9954.117703257858</v>
      </c>
      <c r="Z17" s="753"/>
      <c r="AA17" s="753">
        <v>51.853444157829365</v>
      </c>
      <c r="AB17" s="753"/>
      <c r="AC17" s="753"/>
      <c r="AD17" s="753">
        <v>-1104.3756568262156</v>
      </c>
      <c r="AE17" s="753">
        <v>-5216.9198433170914</v>
      </c>
      <c r="AF17" s="753">
        <v>-1999.5461927964077</v>
      </c>
      <c r="AG17" s="753"/>
      <c r="AH17" s="753"/>
      <c r="AI17" s="753">
        <v>433.38587943059139</v>
      </c>
      <c r="AJ17" s="753">
        <v>45.285182000573229</v>
      </c>
      <c r="AK17" s="753">
        <v>-2529.0675456195663</v>
      </c>
      <c r="AL17" s="753">
        <v>-1805.603324734881</v>
      </c>
      <c r="AM17" s="753">
        <v>-430.87799751600267</v>
      </c>
      <c r="AN17" s="753">
        <v>19.776440240756664</v>
      </c>
      <c r="AO17" s="753">
        <v>42.132416165090284</v>
      </c>
      <c r="AP17" s="753">
        <v>402.40756663800516</v>
      </c>
      <c r="AQ17" s="753">
        <v>244.93646699149707</v>
      </c>
      <c r="AR17" s="753"/>
      <c r="AS17" s="753">
        <v>0</v>
      </c>
      <c r="AT17" s="704">
        <v>4939.380911435941</v>
      </c>
      <c r="AU17" s="753">
        <v>4939.380911435941</v>
      </c>
      <c r="AV17" s="753">
        <v>0</v>
      </c>
      <c r="AW17" s="753">
        <v>0</v>
      </c>
      <c r="AX17" s="753">
        <v>0</v>
      </c>
      <c r="AY17" s="753">
        <v>0</v>
      </c>
      <c r="AZ17" s="704">
        <v>13096.207127161555</v>
      </c>
      <c r="BA17" s="753">
        <v>11684.771185631031</v>
      </c>
      <c r="BB17" s="753">
        <v>190.55125632941625</v>
      </c>
      <c r="BC17" s="753">
        <v>0</v>
      </c>
      <c r="BD17" s="753">
        <v>0</v>
      </c>
      <c r="BE17" s="753">
        <v>0</v>
      </c>
      <c r="BF17" s="753">
        <v>844.2247062195471</v>
      </c>
      <c r="BG17" s="753">
        <v>0</v>
      </c>
      <c r="BH17" s="753">
        <v>23.144167383204355</v>
      </c>
      <c r="BI17" s="753">
        <v>221.95949173593198</v>
      </c>
      <c r="BJ17" s="753">
        <v>9.8165663513900832</v>
      </c>
      <c r="BK17" s="753">
        <v>114.55049202254705</v>
      </c>
      <c r="BL17" s="753">
        <v>0</v>
      </c>
      <c r="BM17" s="753">
        <v>7.1892614884876274</v>
      </c>
      <c r="BN17" s="753">
        <v>0</v>
      </c>
      <c r="BO17" s="704">
        <v>224.41960447119519</v>
      </c>
      <c r="BP17" s="753">
        <v>2.4601127352632082</v>
      </c>
      <c r="BQ17" s="753">
        <v>221.95949173593198</v>
      </c>
      <c r="BR17" s="705">
        <v>0</v>
      </c>
      <c r="BS17" s="705">
        <v>0</v>
      </c>
      <c r="BT17" s="704">
        <v>-1340.0687876182287</v>
      </c>
    </row>
    <row r="18" spans="1:72">
      <c r="A18" s="755" t="s">
        <v>1266</v>
      </c>
      <c r="B18" s="755"/>
      <c r="C18" s="755"/>
      <c r="D18" s="755"/>
      <c r="E18" s="755"/>
      <c r="F18" s="658" t="s">
        <v>1265</v>
      </c>
      <c r="G18" s="658"/>
      <c r="H18" s="754">
        <v>16106.477500716537</v>
      </c>
      <c r="I18" s="704">
        <v>101.36619852870928</v>
      </c>
      <c r="J18" s="753">
        <v>0</v>
      </c>
      <c r="K18" s="753">
        <v>0</v>
      </c>
      <c r="L18" s="753">
        <v>16.766981943250215</v>
      </c>
      <c r="M18" s="753">
        <v>0</v>
      </c>
      <c r="N18" s="753">
        <v>0</v>
      </c>
      <c r="O18" s="753">
        <v>0</v>
      </c>
      <c r="P18" s="753">
        <v>84.575331995796304</v>
      </c>
      <c r="Q18" s="753">
        <v>0</v>
      </c>
      <c r="R18" s="753">
        <v>0</v>
      </c>
      <c r="S18" s="753">
        <v>0</v>
      </c>
      <c r="T18" s="753">
        <v>0</v>
      </c>
      <c r="U18" s="753">
        <v>0</v>
      </c>
      <c r="V18" s="753">
        <v>0</v>
      </c>
      <c r="W18" s="704">
        <v>14864.932645457151</v>
      </c>
      <c r="X18" s="753">
        <v>12867.201681475111</v>
      </c>
      <c r="Y18" s="753">
        <v>1051.1607910576097</v>
      </c>
      <c r="Z18" s="753">
        <v>878.97678417884777</v>
      </c>
      <c r="AA18" s="753">
        <v>51.853444157829365</v>
      </c>
      <c r="AB18" s="753"/>
      <c r="AC18" s="753"/>
      <c r="AD18" s="753"/>
      <c r="AE18" s="753">
        <v>4.3947644979459248</v>
      </c>
      <c r="AF18" s="753"/>
      <c r="AG18" s="753"/>
      <c r="AH18" s="753"/>
      <c r="AI18" s="753"/>
      <c r="AJ18" s="753"/>
      <c r="AK18" s="753"/>
      <c r="AL18" s="753">
        <v>11.321295500143307</v>
      </c>
      <c r="AM18" s="753">
        <v>0</v>
      </c>
      <c r="AN18" s="753"/>
      <c r="AO18" s="753"/>
      <c r="AP18" s="753"/>
      <c r="AQ18" s="753"/>
      <c r="AR18" s="753"/>
      <c r="AS18" s="753"/>
      <c r="AT18" s="704">
        <v>372.12190694563867</v>
      </c>
      <c r="AU18" s="753">
        <v>357.33734594439665</v>
      </c>
      <c r="AV18" s="753">
        <v>0</v>
      </c>
      <c r="AW18" s="753">
        <v>14.784561001241999</v>
      </c>
      <c r="AX18" s="753">
        <v>0</v>
      </c>
      <c r="AY18" s="753">
        <v>0</v>
      </c>
      <c r="AZ18" s="704">
        <v>347.83127925862232</v>
      </c>
      <c r="BA18" s="753"/>
      <c r="BB18" s="753"/>
      <c r="BC18" s="753"/>
      <c r="BD18" s="753">
        <v>0</v>
      </c>
      <c r="BE18" s="753"/>
      <c r="BF18" s="753">
        <v>123.24448265978791</v>
      </c>
      <c r="BG18" s="753">
        <v>0</v>
      </c>
      <c r="BH18" s="753">
        <v>8.670106047578102</v>
      </c>
      <c r="BI18" s="753">
        <v>212.40565587083213</v>
      </c>
      <c r="BJ18" s="753">
        <v>0</v>
      </c>
      <c r="BK18" s="753">
        <v>0</v>
      </c>
      <c r="BL18" s="753">
        <v>0</v>
      </c>
      <c r="BM18" s="753">
        <v>3.5110346804241903</v>
      </c>
      <c r="BN18" s="753">
        <v>0</v>
      </c>
      <c r="BO18" s="704">
        <v>214.86576860609534</v>
      </c>
      <c r="BP18" s="753">
        <v>2.4601127352632082</v>
      </c>
      <c r="BQ18" s="753">
        <v>212.40565587083213</v>
      </c>
      <c r="BR18" s="705">
        <v>0</v>
      </c>
      <c r="BS18" s="705">
        <v>130.83978217254227</v>
      </c>
      <c r="BT18" s="704">
        <v>74.543804337441486</v>
      </c>
    </row>
    <row r="19" spans="1:72">
      <c r="A19" s="688" t="s">
        <v>968</v>
      </c>
      <c r="B19" s="687" t="s">
        <v>1222</v>
      </c>
      <c r="C19" s="687"/>
      <c r="D19" s="687"/>
      <c r="E19" s="687"/>
      <c r="F19" s="686" t="s">
        <v>1264</v>
      </c>
      <c r="G19" s="686"/>
      <c r="H19" s="685">
        <v>822.27476831948024</v>
      </c>
      <c r="I19" s="682">
        <v>16.766981943250215</v>
      </c>
      <c r="J19" s="684">
        <v>0</v>
      </c>
      <c r="K19" s="684">
        <v>0</v>
      </c>
      <c r="L19" s="684">
        <v>16.766981943250215</v>
      </c>
      <c r="M19" s="684">
        <v>0</v>
      </c>
      <c r="N19" s="684">
        <v>0</v>
      </c>
      <c r="O19" s="684">
        <v>0</v>
      </c>
      <c r="P19" s="684">
        <v>0</v>
      </c>
      <c r="Q19" s="684">
        <v>0</v>
      </c>
      <c r="R19" s="684">
        <v>0</v>
      </c>
      <c r="S19" s="684">
        <v>0</v>
      </c>
      <c r="T19" s="684">
        <v>0</v>
      </c>
      <c r="U19" s="684">
        <v>0</v>
      </c>
      <c r="V19" s="684">
        <v>0</v>
      </c>
      <c r="W19" s="682">
        <v>4.1081494219929295</v>
      </c>
      <c r="X19" s="684"/>
      <c r="Y19" s="684"/>
      <c r="Z19" s="684"/>
      <c r="AA19" s="684"/>
      <c r="AB19" s="684"/>
      <c r="AC19" s="684"/>
      <c r="AD19" s="684"/>
      <c r="AE19" s="684"/>
      <c r="AF19" s="684"/>
      <c r="AG19" s="684"/>
      <c r="AH19" s="684"/>
      <c r="AI19" s="684"/>
      <c r="AJ19" s="684"/>
      <c r="AK19" s="684"/>
      <c r="AL19" s="684">
        <v>4.1081494219929295</v>
      </c>
      <c r="AM19" s="684">
        <v>0</v>
      </c>
      <c r="AN19" s="684"/>
      <c r="AO19" s="684"/>
      <c r="AP19" s="684"/>
      <c r="AQ19" s="684"/>
      <c r="AR19" s="684"/>
      <c r="AS19" s="684"/>
      <c r="AT19" s="682">
        <v>360.60953472819335</v>
      </c>
      <c r="AU19" s="684">
        <v>346.03993503391609</v>
      </c>
      <c r="AV19" s="684">
        <v>0</v>
      </c>
      <c r="AW19" s="684">
        <v>14.569599694277251</v>
      </c>
      <c r="AX19" s="684">
        <v>0</v>
      </c>
      <c r="AY19" s="684">
        <v>0</v>
      </c>
      <c r="AZ19" s="682">
        <v>155.79917837011558</v>
      </c>
      <c r="BA19" s="684"/>
      <c r="BB19" s="684"/>
      <c r="BC19" s="684"/>
      <c r="BD19" s="684">
        <v>0</v>
      </c>
      <c r="BE19" s="684"/>
      <c r="BF19" s="684">
        <v>1.9107671730199673</v>
      </c>
      <c r="BG19" s="684"/>
      <c r="BH19" s="684">
        <v>2.2212668386357119</v>
      </c>
      <c r="BI19" s="684">
        <v>151.66714435845992</v>
      </c>
      <c r="BJ19" s="684">
        <v>0</v>
      </c>
      <c r="BK19" s="684">
        <v>0</v>
      </c>
      <c r="BL19" s="684">
        <v>0</v>
      </c>
      <c r="BM19" s="684">
        <v>0</v>
      </c>
      <c r="BN19" s="684">
        <v>0</v>
      </c>
      <c r="BO19" s="682">
        <v>154.12725709372313</v>
      </c>
      <c r="BP19" s="684">
        <v>2.4601127352632082</v>
      </c>
      <c r="BQ19" s="684">
        <v>151.66714435845992</v>
      </c>
      <c r="BR19" s="683"/>
      <c r="BS19" s="683">
        <v>130.83978217254227</v>
      </c>
      <c r="BT19" s="682"/>
    </row>
    <row r="20" spans="1:72">
      <c r="A20" s="681"/>
      <c r="B20" s="680" t="s">
        <v>968</v>
      </c>
      <c r="C20" s="679" t="s">
        <v>1220</v>
      </c>
      <c r="D20" s="679"/>
      <c r="E20" s="679"/>
      <c r="F20" s="678" t="s">
        <v>1263</v>
      </c>
      <c r="G20" s="678"/>
      <c r="H20" s="677">
        <v>336.91602178274576</v>
      </c>
      <c r="I20" s="674">
        <v>16.766981943250215</v>
      </c>
      <c r="J20" s="676">
        <v>0</v>
      </c>
      <c r="K20" s="676">
        <v>0</v>
      </c>
      <c r="L20" s="676">
        <v>16.766981943250215</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14.569599694277251</v>
      </c>
      <c r="AU20" s="676">
        <v>0</v>
      </c>
      <c r="AV20" s="676">
        <v>0</v>
      </c>
      <c r="AW20" s="676">
        <v>14.569599694277251</v>
      </c>
      <c r="AX20" s="676">
        <v>0</v>
      </c>
      <c r="AY20" s="676">
        <v>0</v>
      </c>
      <c r="AZ20" s="674">
        <v>153.88841119709562</v>
      </c>
      <c r="BA20" s="676"/>
      <c r="BB20" s="676"/>
      <c r="BC20" s="676"/>
      <c r="BD20" s="676">
        <v>0</v>
      </c>
      <c r="BE20" s="676"/>
      <c r="BF20" s="676">
        <v>0</v>
      </c>
      <c r="BG20" s="676"/>
      <c r="BH20" s="676">
        <v>2.2212668386357119</v>
      </c>
      <c r="BI20" s="676">
        <v>151.66714435845992</v>
      </c>
      <c r="BJ20" s="676">
        <v>0</v>
      </c>
      <c r="BK20" s="676">
        <v>0</v>
      </c>
      <c r="BL20" s="676">
        <v>0</v>
      </c>
      <c r="BM20" s="676">
        <v>0</v>
      </c>
      <c r="BN20" s="676">
        <v>0</v>
      </c>
      <c r="BO20" s="674">
        <v>151.66714435845992</v>
      </c>
      <c r="BP20" s="676">
        <v>0</v>
      </c>
      <c r="BQ20" s="676">
        <v>151.66714435845992</v>
      </c>
      <c r="BR20" s="675"/>
      <c r="BS20" s="675"/>
      <c r="BT20" s="674"/>
    </row>
    <row r="21" spans="1:72">
      <c r="A21" s="681"/>
      <c r="B21" s="680"/>
      <c r="C21" s="680" t="s">
        <v>968</v>
      </c>
      <c r="D21" s="679" t="s">
        <v>1262</v>
      </c>
      <c r="E21" s="679"/>
      <c r="F21" s="678" t="s">
        <v>1261</v>
      </c>
      <c r="G21" s="678"/>
      <c r="H21" s="677">
        <v>16.36094391898347</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14.569599694277251</v>
      </c>
      <c r="AU21" s="676">
        <v>0</v>
      </c>
      <c r="AV21" s="676">
        <v>0</v>
      </c>
      <c r="AW21" s="676">
        <v>14.569599694277251</v>
      </c>
      <c r="AX21" s="676">
        <v>0</v>
      </c>
      <c r="AY21" s="676">
        <v>0</v>
      </c>
      <c r="AZ21" s="674">
        <v>1.7913442247062195</v>
      </c>
      <c r="BA21" s="676"/>
      <c r="BB21" s="676"/>
      <c r="BC21" s="676"/>
      <c r="BD21" s="676">
        <v>0</v>
      </c>
      <c r="BE21" s="676"/>
      <c r="BF21" s="676">
        <v>0</v>
      </c>
      <c r="BG21" s="676"/>
      <c r="BH21" s="676">
        <v>1.7913442247062195</v>
      </c>
      <c r="BI21" s="676">
        <v>0</v>
      </c>
      <c r="BJ21" s="676">
        <v>0</v>
      </c>
      <c r="BK21" s="676">
        <v>0</v>
      </c>
      <c r="BL21" s="676">
        <v>0</v>
      </c>
      <c r="BM21" s="676">
        <v>0</v>
      </c>
      <c r="BN21" s="676">
        <v>0</v>
      </c>
      <c r="BO21" s="674">
        <v>0</v>
      </c>
      <c r="BP21" s="676">
        <v>0</v>
      </c>
      <c r="BQ21" s="676">
        <v>0</v>
      </c>
      <c r="BR21" s="675"/>
      <c r="BS21" s="675"/>
      <c r="BT21" s="674"/>
    </row>
    <row r="22" spans="1:72">
      <c r="A22" s="681"/>
      <c r="B22" s="680"/>
      <c r="C22" s="680" t="s">
        <v>968</v>
      </c>
      <c r="D22" s="679" t="s">
        <v>1260</v>
      </c>
      <c r="E22" s="679"/>
      <c r="F22" s="678" t="s">
        <v>1259</v>
      </c>
      <c r="G22" s="678"/>
      <c r="H22" s="677">
        <v>320.53119327409951</v>
      </c>
      <c r="I22" s="674">
        <v>16.766981943250215</v>
      </c>
      <c r="J22" s="676">
        <v>0</v>
      </c>
      <c r="K22" s="676">
        <v>0</v>
      </c>
      <c r="L22" s="676">
        <v>16.766981943250215</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152.0970669723894</v>
      </c>
      <c r="BA22" s="676"/>
      <c r="BB22" s="676"/>
      <c r="BC22" s="676"/>
      <c r="BD22" s="676">
        <v>0</v>
      </c>
      <c r="BE22" s="676"/>
      <c r="BF22" s="676">
        <v>0</v>
      </c>
      <c r="BG22" s="676"/>
      <c r="BH22" s="676">
        <v>0.42992261392949266</v>
      </c>
      <c r="BI22" s="676">
        <v>151.66714435845992</v>
      </c>
      <c r="BJ22" s="676">
        <v>0</v>
      </c>
      <c r="BK22" s="676">
        <v>0</v>
      </c>
      <c r="BL22" s="676">
        <v>0</v>
      </c>
      <c r="BM22" s="676">
        <v>0</v>
      </c>
      <c r="BN22" s="676">
        <v>0</v>
      </c>
      <c r="BO22" s="674">
        <v>151.66714435845992</v>
      </c>
      <c r="BP22" s="676">
        <v>0</v>
      </c>
      <c r="BQ22" s="676">
        <v>151.66714435845992</v>
      </c>
      <c r="BR22" s="675"/>
      <c r="BS22" s="675"/>
      <c r="BT22" s="674"/>
    </row>
    <row r="23" spans="1:72">
      <c r="A23" s="681"/>
      <c r="B23" s="680" t="s">
        <v>968</v>
      </c>
      <c r="C23" s="679" t="s">
        <v>1190</v>
      </c>
      <c r="D23" s="679"/>
      <c r="E23" s="679"/>
      <c r="F23" s="678" t="s">
        <v>1258</v>
      </c>
      <c r="G23" s="678"/>
      <c r="H23" s="677">
        <v>354.54284895385496</v>
      </c>
      <c r="I23" s="674">
        <v>0</v>
      </c>
      <c r="J23" s="676">
        <v>0</v>
      </c>
      <c r="K23" s="676">
        <v>0</v>
      </c>
      <c r="L23" s="676">
        <v>0</v>
      </c>
      <c r="M23" s="676">
        <v>0</v>
      </c>
      <c r="N23" s="676">
        <v>0</v>
      </c>
      <c r="O23" s="676">
        <v>0</v>
      </c>
      <c r="P23" s="676">
        <v>0</v>
      </c>
      <c r="Q23" s="676">
        <v>0</v>
      </c>
      <c r="R23" s="676">
        <v>0</v>
      </c>
      <c r="S23" s="676">
        <v>0</v>
      </c>
      <c r="T23" s="676">
        <v>0</v>
      </c>
      <c r="U23" s="676">
        <v>0</v>
      </c>
      <c r="V23" s="676">
        <v>0</v>
      </c>
      <c r="W23" s="674">
        <v>4.1081494219929295</v>
      </c>
      <c r="X23" s="676"/>
      <c r="Y23" s="676"/>
      <c r="Z23" s="676"/>
      <c r="AA23" s="676"/>
      <c r="AB23" s="676"/>
      <c r="AC23" s="676"/>
      <c r="AD23" s="676"/>
      <c r="AE23" s="676"/>
      <c r="AF23" s="676"/>
      <c r="AG23" s="676"/>
      <c r="AH23" s="676"/>
      <c r="AI23" s="676"/>
      <c r="AJ23" s="676"/>
      <c r="AK23" s="676"/>
      <c r="AL23" s="676">
        <v>4.1081494219929295</v>
      </c>
      <c r="AM23" s="676">
        <v>0</v>
      </c>
      <c r="AN23" s="676"/>
      <c r="AO23" s="676"/>
      <c r="AP23" s="676"/>
      <c r="AQ23" s="676"/>
      <c r="AR23" s="676"/>
      <c r="AS23" s="676"/>
      <c r="AT23" s="674">
        <v>346.03993503391609</v>
      </c>
      <c r="AU23" s="676">
        <v>346.03993503391609</v>
      </c>
      <c r="AV23" s="676">
        <v>0</v>
      </c>
      <c r="AW23" s="676">
        <v>0</v>
      </c>
      <c r="AX23" s="676">
        <v>0</v>
      </c>
      <c r="AY23" s="676">
        <v>0</v>
      </c>
      <c r="AZ23" s="674">
        <v>1.9107671730199673</v>
      </c>
      <c r="BA23" s="676"/>
      <c r="BB23" s="676"/>
      <c r="BC23" s="676"/>
      <c r="BD23" s="676">
        <v>0</v>
      </c>
      <c r="BE23" s="676"/>
      <c r="BF23" s="676">
        <v>1.9107671730199673</v>
      </c>
      <c r="BG23" s="676"/>
      <c r="BH23" s="676">
        <v>0</v>
      </c>
      <c r="BI23" s="676">
        <v>0</v>
      </c>
      <c r="BJ23" s="676">
        <v>0</v>
      </c>
      <c r="BK23" s="676">
        <v>0</v>
      </c>
      <c r="BL23" s="676">
        <v>0</v>
      </c>
      <c r="BM23" s="676">
        <v>0</v>
      </c>
      <c r="BN23" s="676">
        <v>0</v>
      </c>
      <c r="BO23" s="674">
        <v>2.4601127352632082</v>
      </c>
      <c r="BP23" s="676">
        <v>2.4601127352632082</v>
      </c>
      <c r="BQ23" s="676">
        <v>0</v>
      </c>
      <c r="BR23" s="675"/>
      <c r="BS23" s="675"/>
      <c r="BT23" s="674"/>
    </row>
    <row r="24" spans="1:72">
      <c r="A24" s="681"/>
      <c r="B24" s="680"/>
      <c r="C24" s="680" t="s">
        <v>968</v>
      </c>
      <c r="D24" s="679" t="s">
        <v>1257</v>
      </c>
      <c r="E24" s="679"/>
      <c r="F24" s="678" t="s">
        <v>1256</v>
      </c>
      <c r="G24" s="678"/>
      <c r="H24" s="677">
        <v>354.54284895385496</v>
      </c>
      <c r="I24" s="674">
        <v>0</v>
      </c>
      <c r="J24" s="676">
        <v>0</v>
      </c>
      <c r="K24" s="676">
        <v>0</v>
      </c>
      <c r="L24" s="676">
        <v>0</v>
      </c>
      <c r="M24" s="676">
        <v>0</v>
      </c>
      <c r="N24" s="676">
        <v>0</v>
      </c>
      <c r="O24" s="676">
        <v>0</v>
      </c>
      <c r="P24" s="676">
        <v>0</v>
      </c>
      <c r="Q24" s="676">
        <v>0</v>
      </c>
      <c r="R24" s="676">
        <v>0</v>
      </c>
      <c r="S24" s="676">
        <v>0</v>
      </c>
      <c r="T24" s="676">
        <v>0</v>
      </c>
      <c r="U24" s="676">
        <v>0</v>
      </c>
      <c r="V24" s="676">
        <v>0</v>
      </c>
      <c r="W24" s="674">
        <v>4.1081494219929295</v>
      </c>
      <c r="X24" s="676"/>
      <c r="Y24" s="676"/>
      <c r="Z24" s="676"/>
      <c r="AA24" s="676"/>
      <c r="AB24" s="676"/>
      <c r="AC24" s="676"/>
      <c r="AD24" s="676"/>
      <c r="AE24" s="676"/>
      <c r="AF24" s="676"/>
      <c r="AG24" s="676"/>
      <c r="AH24" s="676"/>
      <c r="AI24" s="676"/>
      <c r="AJ24" s="676"/>
      <c r="AK24" s="676"/>
      <c r="AL24" s="676">
        <v>4.1081494219929295</v>
      </c>
      <c r="AM24" s="676">
        <v>0</v>
      </c>
      <c r="AN24" s="676"/>
      <c r="AO24" s="676"/>
      <c r="AP24" s="676"/>
      <c r="AQ24" s="676"/>
      <c r="AR24" s="676"/>
      <c r="AS24" s="676"/>
      <c r="AT24" s="674">
        <v>346.03993503391609</v>
      </c>
      <c r="AU24" s="676">
        <v>346.03993503391609</v>
      </c>
      <c r="AV24" s="676">
        <v>0</v>
      </c>
      <c r="AW24" s="676">
        <v>0</v>
      </c>
      <c r="AX24" s="676">
        <v>0</v>
      </c>
      <c r="AY24" s="676">
        <v>0</v>
      </c>
      <c r="AZ24" s="674">
        <v>1.9107671730199673</v>
      </c>
      <c r="BA24" s="676"/>
      <c r="BB24" s="676"/>
      <c r="BC24" s="676"/>
      <c r="BD24" s="676">
        <v>0</v>
      </c>
      <c r="BE24" s="676"/>
      <c r="BF24" s="676">
        <v>1.9107671730199673</v>
      </c>
      <c r="BG24" s="676"/>
      <c r="BH24" s="676">
        <v>0</v>
      </c>
      <c r="BI24" s="676">
        <v>0</v>
      </c>
      <c r="BJ24" s="676">
        <v>0</v>
      </c>
      <c r="BK24" s="676">
        <v>0</v>
      </c>
      <c r="BL24" s="676">
        <v>0</v>
      </c>
      <c r="BM24" s="676">
        <v>0</v>
      </c>
      <c r="BN24" s="676">
        <v>0</v>
      </c>
      <c r="BO24" s="674">
        <v>2.4601127352632082</v>
      </c>
      <c r="BP24" s="676">
        <v>2.4601127352632082</v>
      </c>
      <c r="BQ24" s="676">
        <v>0</v>
      </c>
      <c r="BR24" s="675"/>
      <c r="BS24" s="675"/>
      <c r="BT24" s="674"/>
    </row>
    <row r="25" spans="1:72">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c r="A26" s="681"/>
      <c r="B26" s="680" t="s">
        <v>968</v>
      </c>
      <c r="C26" s="679" t="s">
        <v>1253</v>
      </c>
      <c r="D26" s="679"/>
      <c r="E26" s="679"/>
      <c r="F26" s="678" t="s">
        <v>1252</v>
      </c>
      <c r="G26" s="678"/>
      <c r="H26" s="677">
        <v>130.83978217254227</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130.83978217254227</v>
      </c>
      <c r="BT26" s="674"/>
    </row>
    <row r="27" spans="1:72">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c r="A29" s="680" t="s">
        <v>968</v>
      </c>
      <c r="B29" s="679" t="s">
        <v>1138</v>
      </c>
      <c r="C29" s="679"/>
      <c r="D29" s="679"/>
      <c r="E29" s="679"/>
      <c r="F29" s="678" t="s">
        <v>1248</v>
      </c>
      <c r="G29" s="678"/>
      <c r="H29" s="677">
        <v>84.575331995796304</v>
      </c>
      <c r="I29" s="674">
        <v>84.575331995796304</v>
      </c>
      <c r="J29" s="676"/>
      <c r="K29" s="676"/>
      <c r="L29" s="676"/>
      <c r="M29" s="676"/>
      <c r="N29" s="676"/>
      <c r="O29" s="676"/>
      <c r="P29" s="676">
        <v>84.575331995796304</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c r="A31" s="680" t="s">
        <v>968</v>
      </c>
      <c r="B31" s="679" t="s">
        <v>287</v>
      </c>
      <c r="C31" s="679"/>
      <c r="D31" s="679"/>
      <c r="E31" s="679"/>
      <c r="F31" s="678" t="s">
        <v>1246</v>
      </c>
      <c r="G31" s="678"/>
      <c r="H31" s="677">
        <v>14849.192700869398</v>
      </c>
      <c r="I31" s="674"/>
      <c r="J31" s="676"/>
      <c r="K31" s="676"/>
      <c r="L31" s="676"/>
      <c r="M31" s="676"/>
      <c r="N31" s="676"/>
      <c r="O31" s="676"/>
      <c r="P31" s="676"/>
      <c r="Q31" s="676"/>
      <c r="R31" s="676"/>
      <c r="S31" s="676"/>
      <c r="T31" s="676"/>
      <c r="U31" s="676"/>
      <c r="V31" s="676"/>
      <c r="W31" s="674">
        <v>14849.192700869398</v>
      </c>
      <c r="X31" s="676">
        <v>12867.201681475111</v>
      </c>
      <c r="Y31" s="676">
        <v>1051.1607910576097</v>
      </c>
      <c r="Z31" s="676">
        <v>878.97678417884777</v>
      </c>
      <c r="AA31" s="676">
        <v>51.853444157829365</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c r="A32" s="680" t="s">
        <v>968</v>
      </c>
      <c r="B32" s="679" t="s">
        <v>1245</v>
      </c>
      <c r="C32" s="679"/>
      <c r="D32" s="679"/>
      <c r="E32" s="679"/>
      <c r="F32" s="678" t="s">
        <v>1244</v>
      </c>
      <c r="G32" s="678"/>
      <c r="H32" s="677">
        <v>350.43469953186201</v>
      </c>
      <c r="I32" s="674">
        <v>0</v>
      </c>
      <c r="J32" s="676">
        <v>0</v>
      </c>
      <c r="K32" s="676">
        <v>0</v>
      </c>
      <c r="L32" s="676">
        <v>0</v>
      </c>
      <c r="M32" s="676">
        <v>0</v>
      </c>
      <c r="N32" s="676">
        <v>0</v>
      </c>
      <c r="O32" s="676">
        <v>0</v>
      </c>
      <c r="P32" s="676">
        <v>0</v>
      </c>
      <c r="Q32" s="676">
        <v>0</v>
      </c>
      <c r="R32" s="676">
        <v>0</v>
      </c>
      <c r="S32" s="676">
        <v>0</v>
      </c>
      <c r="T32" s="676">
        <v>0</v>
      </c>
      <c r="U32" s="676">
        <v>0</v>
      </c>
      <c r="V32" s="676">
        <v>0</v>
      </c>
      <c r="W32" s="674">
        <v>11.607910576096302</v>
      </c>
      <c r="X32" s="676"/>
      <c r="Y32" s="676"/>
      <c r="Z32" s="676"/>
      <c r="AA32" s="676"/>
      <c r="AB32" s="676"/>
      <c r="AC32" s="676"/>
      <c r="AD32" s="676"/>
      <c r="AE32" s="676">
        <v>4.3947644979459248</v>
      </c>
      <c r="AF32" s="676"/>
      <c r="AG32" s="676"/>
      <c r="AH32" s="676"/>
      <c r="AI32" s="676"/>
      <c r="AJ32" s="676"/>
      <c r="AK32" s="676"/>
      <c r="AL32" s="676">
        <v>7.2131460781503769</v>
      </c>
      <c r="AM32" s="676">
        <v>0</v>
      </c>
      <c r="AN32" s="676"/>
      <c r="AO32" s="676"/>
      <c r="AP32" s="676"/>
      <c r="AQ32" s="676"/>
      <c r="AR32" s="676"/>
      <c r="AS32" s="676"/>
      <c r="AT32" s="674">
        <v>11.512372217445304</v>
      </c>
      <c r="AU32" s="676">
        <v>11.273526320817808</v>
      </c>
      <c r="AV32" s="676">
        <v>0</v>
      </c>
      <c r="AW32" s="676">
        <v>0.21496130696474633</v>
      </c>
      <c r="AX32" s="676">
        <v>0</v>
      </c>
      <c r="AY32" s="676">
        <v>0</v>
      </c>
      <c r="AZ32" s="674">
        <v>192.03210088850673</v>
      </c>
      <c r="BA32" s="676"/>
      <c r="BB32" s="676"/>
      <c r="BC32" s="676"/>
      <c r="BD32" s="676">
        <v>0</v>
      </c>
      <c r="BE32" s="676"/>
      <c r="BF32" s="676">
        <v>121.33371548676793</v>
      </c>
      <c r="BG32" s="676"/>
      <c r="BH32" s="676">
        <v>6.44883920894239</v>
      </c>
      <c r="BI32" s="676">
        <v>60.738511512372213</v>
      </c>
      <c r="BJ32" s="676">
        <v>0</v>
      </c>
      <c r="BK32" s="676">
        <v>0</v>
      </c>
      <c r="BL32" s="676">
        <v>0</v>
      </c>
      <c r="BM32" s="676">
        <v>3.5110346804241903</v>
      </c>
      <c r="BN32" s="676">
        <v>0</v>
      </c>
      <c r="BO32" s="674">
        <v>60.738511512372213</v>
      </c>
      <c r="BP32" s="676">
        <v>0</v>
      </c>
      <c r="BQ32" s="676">
        <v>60.738511512372213</v>
      </c>
      <c r="BR32" s="675"/>
      <c r="BS32" s="675"/>
      <c r="BT32" s="674">
        <v>74.543804337441486</v>
      </c>
    </row>
    <row r="33" spans="1:72">
      <c r="A33" s="681"/>
      <c r="B33" s="680" t="s">
        <v>968</v>
      </c>
      <c r="C33" s="679" t="s">
        <v>1243</v>
      </c>
      <c r="D33" s="679"/>
      <c r="E33" s="679"/>
      <c r="F33" s="678" t="s">
        <v>1242</v>
      </c>
      <c r="G33" s="678"/>
      <c r="H33" s="677">
        <v>275.89089519442052</v>
      </c>
      <c r="I33" s="674">
        <v>0</v>
      </c>
      <c r="J33" s="676">
        <v>0</v>
      </c>
      <c r="K33" s="676">
        <v>0</v>
      </c>
      <c r="L33" s="676">
        <v>0</v>
      </c>
      <c r="M33" s="676">
        <v>0</v>
      </c>
      <c r="N33" s="676">
        <v>0</v>
      </c>
      <c r="O33" s="676">
        <v>0</v>
      </c>
      <c r="P33" s="676">
        <v>0</v>
      </c>
      <c r="Q33" s="676">
        <v>0</v>
      </c>
      <c r="R33" s="676">
        <v>0</v>
      </c>
      <c r="S33" s="676">
        <v>0</v>
      </c>
      <c r="T33" s="676">
        <v>0</v>
      </c>
      <c r="U33" s="676">
        <v>0</v>
      </c>
      <c r="V33" s="676">
        <v>0</v>
      </c>
      <c r="W33" s="674">
        <v>11.607910576096302</v>
      </c>
      <c r="X33" s="676"/>
      <c r="Y33" s="676"/>
      <c r="Z33" s="676"/>
      <c r="AA33" s="676"/>
      <c r="AB33" s="676"/>
      <c r="AC33" s="676"/>
      <c r="AD33" s="676"/>
      <c r="AE33" s="676">
        <v>4.3947644979459248</v>
      </c>
      <c r="AF33" s="676"/>
      <c r="AG33" s="676"/>
      <c r="AH33" s="676"/>
      <c r="AI33" s="676"/>
      <c r="AJ33" s="676"/>
      <c r="AK33" s="676"/>
      <c r="AL33" s="676">
        <v>7.2131460781503769</v>
      </c>
      <c r="AM33" s="676">
        <v>0</v>
      </c>
      <c r="AN33" s="676"/>
      <c r="AO33" s="676"/>
      <c r="AP33" s="676"/>
      <c r="AQ33" s="676"/>
      <c r="AR33" s="676"/>
      <c r="AS33" s="676"/>
      <c r="AT33" s="674">
        <v>11.512372217445304</v>
      </c>
      <c r="AU33" s="676">
        <v>11.273526320817808</v>
      </c>
      <c r="AV33" s="676">
        <v>0</v>
      </c>
      <c r="AW33" s="676">
        <v>0.21496130696474633</v>
      </c>
      <c r="AX33" s="676">
        <v>0</v>
      </c>
      <c r="AY33" s="676">
        <v>0</v>
      </c>
      <c r="AZ33" s="674">
        <v>192.03210088850673</v>
      </c>
      <c r="BA33" s="676"/>
      <c r="BB33" s="676"/>
      <c r="BC33" s="676"/>
      <c r="BD33" s="676">
        <v>0</v>
      </c>
      <c r="BE33" s="676"/>
      <c r="BF33" s="676">
        <v>121.33371548676793</v>
      </c>
      <c r="BG33" s="676"/>
      <c r="BH33" s="676">
        <v>6.44883920894239</v>
      </c>
      <c r="BI33" s="676">
        <v>60.738511512372213</v>
      </c>
      <c r="BJ33" s="676">
        <v>0</v>
      </c>
      <c r="BK33" s="676">
        <v>0</v>
      </c>
      <c r="BL33" s="676">
        <v>0</v>
      </c>
      <c r="BM33" s="676">
        <v>3.5110346804241903</v>
      </c>
      <c r="BN33" s="676">
        <v>0</v>
      </c>
      <c r="BO33" s="674">
        <v>60.738511512372213</v>
      </c>
      <c r="BP33" s="676">
        <v>0</v>
      </c>
      <c r="BQ33" s="676">
        <v>60.738511512372213</v>
      </c>
      <c r="BR33" s="675"/>
      <c r="BS33" s="675"/>
      <c r="BT33" s="674"/>
    </row>
    <row r="34" spans="1:72">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c r="A35" s="681"/>
      <c r="B35" s="680" t="s">
        <v>968</v>
      </c>
      <c r="C35" s="679" t="s">
        <v>1239</v>
      </c>
      <c r="D35" s="679"/>
      <c r="E35" s="679"/>
      <c r="F35" s="678" t="s">
        <v>1238</v>
      </c>
      <c r="G35" s="678"/>
      <c r="H35" s="677">
        <v>17.5312888124582</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17.5312888124582</v>
      </c>
    </row>
    <row r="36" spans="1:72">
      <c r="A36" s="681"/>
      <c r="B36" s="680" t="s">
        <v>968</v>
      </c>
      <c r="C36" s="679" t="s">
        <v>1237</v>
      </c>
      <c r="D36" s="679"/>
      <c r="E36" s="679"/>
      <c r="F36" s="678" t="s">
        <v>1236</v>
      </c>
      <c r="G36" s="678"/>
      <c r="H36" s="677">
        <v>57.012515524983279</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57.012515524983279</v>
      </c>
    </row>
    <row r="37" spans="1:72">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c r="A44" s="722" t="s">
        <v>1224</v>
      </c>
      <c r="B44" s="722"/>
      <c r="C44" s="722"/>
      <c r="D44" s="722"/>
      <c r="E44" s="722"/>
      <c r="F44" s="721" t="s">
        <v>1223</v>
      </c>
      <c r="G44" s="721"/>
      <c r="H44" s="720">
        <v>15842.69609248113</v>
      </c>
      <c r="I44" s="717">
        <v>0</v>
      </c>
      <c r="J44" s="719"/>
      <c r="K44" s="719"/>
      <c r="L44" s="719"/>
      <c r="M44" s="719"/>
      <c r="N44" s="719"/>
      <c r="O44" s="719">
        <v>0</v>
      </c>
      <c r="P44" s="719">
        <v>0</v>
      </c>
      <c r="Q44" s="719">
        <v>0</v>
      </c>
      <c r="R44" s="719">
        <v>0</v>
      </c>
      <c r="S44" s="719">
        <v>0</v>
      </c>
      <c r="T44" s="719"/>
      <c r="U44" s="719">
        <v>0</v>
      </c>
      <c r="V44" s="719"/>
      <c r="W44" s="717">
        <v>14837.704213241615</v>
      </c>
      <c r="X44" s="719"/>
      <c r="Y44" s="719"/>
      <c r="Z44" s="719"/>
      <c r="AA44" s="719"/>
      <c r="AB44" s="719"/>
      <c r="AC44" s="719">
        <v>500.31049966561574</v>
      </c>
      <c r="AD44" s="719"/>
      <c r="AE44" s="719">
        <v>403.00468137957387</v>
      </c>
      <c r="AF44" s="719">
        <v>3459.1095824973727</v>
      </c>
      <c r="AG44" s="719"/>
      <c r="AH44" s="719"/>
      <c r="AI44" s="719">
        <v>593.98586032291962</v>
      </c>
      <c r="AJ44" s="719">
        <v>41.177032578580295</v>
      </c>
      <c r="AK44" s="719">
        <v>1648.2994172160122</v>
      </c>
      <c r="AL44" s="719">
        <v>6419.5089328365339</v>
      </c>
      <c r="AM44" s="719">
        <v>1612.6874940288526</v>
      </c>
      <c r="AN44" s="719"/>
      <c r="AO44" s="719"/>
      <c r="AP44" s="719"/>
      <c r="AQ44" s="719">
        <v>159.66848189548102</v>
      </c>
      <c r="AR44" s="719"/>
      <c r="AS44" s="719"/>
      <c r="AT44" s="717">
        <v>84.575331995796304</v>
      </c>
      <c r="AU44" s="719"/>
      <c r="AV44" s="719">
        <v>0</v>
      </c>
      <c r="AW44" s="719">
        <v>84.575331995796304</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621.62033056272094</v>
      </c>
      <c r="BT44" s="717">
        <v>298.79621668099742</v>
      </c>
    </row>
    <row r="45" spans="1:72">
      <c r="A45" s="688" t="s">
        <v>968</v>
      </c>
      <c r="B45" s="687" t="s">
        <v>1222</v>
      </c>
      <c r="C45" s="687"/>
      <c r="D45" s="687"/>
      <c r="E45" s="687"/>
      <c r="F45" s="686" t="s">
        <v>1221</v>
      </c>
      <c r="G45" s="686"/>
      <c r="H45" s="685">
        <v>515.85936753606575</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217.0631508550683</v>
      </c>
      <c r="BT45" s="682">
        <v>298.79621668099742</v>
      </c>
    </row>
    <row r="46" spans="1:72">
      <c r="A46" s="681"/>
      <c r="B46" s="680" t="s">
        <v>968</v>
      </c>
      <c r="C46" s="679" t="s">
        <v>1220</v>
      </c>
      <c r="D46" s="679"/>
      <c r="E46" s="679"/>
      <c r="F46" s="678" t="s">
        <v>1219</v>
      </c>
      <c r="G46" s="678"/>
      <c r="H46" s="677">
        <v>261.87064106238654</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217.0631508550683</v>
      </c>
      <c r="BT46" s="674">
        <v>44.807490207318239</v>
      </c>
    </row>
    <row r="47" spans="1:72">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c r="A48" s="681"/>
      <c r="B48" s="679"/>
      <c r="C48" s="680" t="s">
        <v>968</v>
      </c>
      <c r="D48" s="679" t="s">
        <v>1216</v>
      </c>
      <c r="E48" s="679"/>
      <c r="F48" s="678" t="s">
        <v>1215</v>
      </c>
      <c r="G48" s="678"/>
      <c r="H48" s="677">
        <v>11.17798796216681</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11.17798796216681</v>
      </c>
    </row>
    <row r="49" spans="1:72">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c r="A52" s="681"/>
      <c r="B52" s="679"/>
      <c r="C52" s="680" t="s">
        <v>968</v>
      </c>
      <c r="D52" s="679" t="s">
        <v>1208</v>
      </c>
      <c r="E52" s="679"/>
      <c r="F52" s="678" t="s">
        <v>1207</v>
      </c>
      <c r="G52" s="678"/>
      <c r="H52" s="677">
        <v>33.629502245151428</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33.629502245151428</v>
      </c>
    </row>
    <row r="53" spans="1:72">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c r="A56" s="681"/>
      <c r="B56" s="679"/>
      <c r="C56" s="680" t="s">
        <v>968</v>
      </c>
      <c r="D56" s="679" t="s">
        <v>1200</v>
      </c>
      <c r="E56" s="679"/>
      <c r="F56" s="678" t="s">
        <v>1199</v>
      </c>
      <c r="G56" s="678"/>
      <c r="H56" s="677">
        <v>216.27495939619757</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216.27495939619757</v>
      </c>
      <c r="BT56" s="674"/>
    </row>
    <row r="57" spans="1:72">
      <c r="A57" s="681"/>
      <c r="B57" s="679"/>
      <c r="C57" s="680" t="s">
        <v>968</v>
      </c>
      <c r="D57" s="679" t="s">
        <v>1198</v>
      </c>
      <c r="E57" s="679"/>
      <c r="F57" s="678" t="s">
        <v>1197</v>
      </c>
      <c r="G57" s="678"/>
      <c r="H57" s="677">
        <v>0.16719212763924715</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0.16719212763924715</v>
      </c>
      <c r="BT57" s="674"/>
    </row>
    <row r="58" spans="1:72">
      <c r="A58" s="681"/>
      <c r="B58" s="679"/>
      <c r="C58" s="680" t="s">
        <v>968</v>
      </c>
      <c r="D58" s="679" t="s">
        <v>1196</v>
      </c>
      <c r="E58" s="679"/>
      <c r="F58" s="678" t="s">
        <v>1195</v>
      </c>
      <c r="G58" s="678"/>
      <c r="H58" s="677">
        <v>0.62099933123148943</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0.62099933123148943</v>
      </c>
      <c r="BT58" s="674"/>
    </row>
    <row r="59" spans="1:72">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c r="A61" s="681"/>
      <c r="B61" s="680" t="s">
        <v>968</v>
      </c>
      <c r="C61" s="679" t="s">
        <v>1190</v>
      </c>
      <c r="D61" s="679"/>
      <c r="E61" s="679"/>
      <c r="F61" s="678" t="s">
        <v>1189</v>
      </c>
      <c r="G61" s="678"/>
      <c r="H61" s="677">
        <v>253.98872647367918</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253.98872647367918</v>
      </c>
    </row>
    <row r="62" spans="1:72">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c r="A63" s="681"/>
      <c r="B63" s="679"/>
      <c r="C63" s="680" t="s">
        <v>968</v>
      </c>
      <c r="D63" s="679" t="s">
        <v>1186</v>
      </c>
      <c r="E63" s="679"/>
      <c r="F63" s="678" t="s">
        <v>1185</v>
      </c>
      <c r="G63" s="678"/>
      <c r="H63" s="677">
        <v>227.95452374128212</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227.95452374128212</v>
      </c>
    </row>
    <row r="64" spans="1:72">
      <c r="A64" s="681"/>
      <c r="B64" s="679"/>
      <c r="C64" s="680" t="s">
        <v>968</v>
      </c>
      <c r="D64" s="679" t="s">
        <v>1184</v>
      </c>
      <c r="E64" s="679"/>
      <c r="F64" s="678" t="s">
        <v>1183</v>
      </c>
      <c r="G64" s="678"/>
      <c r="H64" s="677">
        <v>26.058087322059805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26.058087322059805</v>
      </c>
    </row>
    <row r="65" spans="1:72">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c r="A87" s="680" t="s">
        <v>968</v>
      </c>
      <c r="B87" s="679" t="s">
        <v>1138</v>
      </c>
      <c r="C87" s="679"/>
      <c r="D87" s="679"/>
      <c r="E87" s="679"/>
      <c r="F87" s="678" t="s">
        <v>1137</v>
      </c>
      <c r="G87" s="678"/>
      <c r="H87" s="677">
        <v>84.575331995796304</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84.575331995796304</v>
      </c>
      <c r="AU87" s="676"/>
      <c r="AV87" s="676"/>
      <c r="AW87" s="676">
        <v>84.575331995796304</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c r="A89" s="680" t="s">
        <v>968</v>
      </c>
      <c r="B89" s="679" t="s">
        <v>287</v>
      </c>
      <c r="C89" s="679"/>
      <c r="D89" s="679"/>
      <c r="E89" s="679"/>
      <c r="F89" s="678" t="s">
        <v>1135</v>
      </c>
      <c r="G89" s="678"/>
      <c r="H89" s="677">
        <v>14837.704213241615</v>
      </c>
      <c r="I89" s="674"/>
      <c r="J89" s="676"/>
      <c r="K89" s="676"/>
      <c r="L89" s="676"/>
      <c r="M89" s="676"/>
      <c r="N89" s="676"/>
      <c r="O89" s="676"/>
      <c r="P89" s="676"/>
      <c r="Q89" s="676"/>
      <c r="R89" s="676"/>
      <c r="S89" s="676"/>
      <c r="T89" s="676"/>
      <c r="U89" s="676"/>
      <c r="V89" s="676"/>
      <c r="W89" s="674">
        <v>14837.704213241615</v>
      </c>
      <c r="X89" s="676"/>
      <c r="Y89" s="676"/>
      <c r="Z89" s="676"/>
      <c r="AA89" s="676"/>
      <c r="AB89" s="676"/>
      <c r="AC89" s="676">
        <v>500.31049966561574</v>
      </c>
      <c r="AD89" s="676"/>
      <c r="AE89" s="676">
        <v>403.00468137957387</v>
      </c>
      <c r="AF89" s="676">
        <v>3459.1095824973727</v>
      </c>
      <c r="AG89" s="676"/>
      <c r="AH89" s="676"/>
      <c r="AI89" s="676">
        <v>593.98586032291962</v>
      </c>
      <c r="AJ89" s="676">
        <v>41.177032578580295</v>
      </c>
      <c r="AK89" s="676">
        <v>1648.2994172160122</v>
      </c>
      <c r="AL89" s="676">
        <v>6419.5089328365339</v>
      </c>
      <c r="AM89" s="676">
        <v>1612.6874940288526</v>
      </c>
      <c r="AN89" s="676"/>
      <c r="AO89" s="676"/>
      <c r="AP89" s="676"/>
      <c r="AQ89" s="676">
        <v>159.66848189548102</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c r="A93" s="680" t="s">
        <v>968</v>
      </c>
      <c r="B93" s="679" t="s">
        <v>1129</v>
      </c>
      <c r="C93" s="679"/>
      <c r="D93" s="679"/>
      <c r="E93" s="679"/>
      <c r="F93" s="678" t="s">
        <v>1128</v>
      </c>
      <c r="G93" s="678"/>
      <c r="H93" s="677">
        <v>404.55717970765261</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404.55717970765261</v>
      </c>
      <c r="BT93" s="674"/>
    </row>
    <row r="94" spans="1:72">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c r="A96" s="681"/>
      <c r="B96" s="680" t="s">
        <v>968</v>
      </c>
      <c r="C96" s="679" t="s">
        <v>1123</v>
      </c>
      <c r="D96" s="679"/>
      <c r="E96" s="679"/>
      <c r="F96" s="678" t="s">
        <v>1122</v>
      </c>
      <c r="G96" s="678"/>
      <c r="H96" s="677">
        <v>199.84236170822584</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199.84236170822584</v>
      </c>
      <c r="BT96" s="674"/>
    </row>
    <row r="97" spans="1:72">
      <c r="A97" s="681"/>
      <c r="B97" s="680" t="s">
        <v>968</v>
      </c>
      <c r="C97" s="679" t="s">
        <v>1121</v>
      </c>
      <c r="D97" s="679"/>
      <c r="E97" s="679"/>
      <c r="F97" s="678" t="s">
        <v>1120</v>
      </c>
      <c r="G97" s="678"/>
      <c r="H97" s="677">
        <v>40.006687685105568</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40.006687685105568</v>
      </c>
      <c r="BT97" s="674"/>
    </row>
    <row r="98" spans="1:72">
      <c r="A98" s="681"/>
      <c r="B98" s="680" t="s">
        <v>968</v>
      </c>
      <c r="C98" s="679" t="s">
        <v>1119</v>
      </c>
      <c r="D98" s="679"/>
      <c r="E98" s="679"/>
      <c r="F98" s="678" t="s">
        <v>1118</v>
      </c>
      <c r="G98" s="678"/>
      <c r="H98" s="677">
        <v>56.916977166332281</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56.916977166332281</v>
      </c>
      <c r="BT98" s="674"/>
    </row>
    <row r="99" spans="1:72">
      <c r="A99" s="681"/>
      <c r="B99" s="680" t="s">
        <v>968</v>
      </c>
      <c r="C99" s="679" t="s">
        <v>1117</v>
      </c>
      <c r="D99" s="679"/>
      <c r="E99" s="679"/>
      <c r="F99" s="678" t="s">
        <v>1116</v>
      </c>
      <c r="G99" s="678"/>
      <c r="H99" s="677">
        <v>17.244673736505206</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17.244673736505206</v>
      </c>
      <c r="BT99" s="674"/>
    </row>
    <row r="100" spans="1:72">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c r="A106" s="681"/>
      <c r="B106" s="680" t="s">
        <v>968</v>
      </c>
      <c r="C106" s="679" t="s">
        <v>1103</v>
      </c>
      <c r="D106" s="679"/>
      <c r="E106" s="679"/>
      <c r="F106" s="678" t="s">
        <v>1102</v>
      </c>
      <c r="G106" s="678"/>
      <c r="H106" s="677">
        <v>76.430686920798692</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76.430686920798692</v>
      </c>
      <c r="BT106" s="674"/>
    </row>
    <row r="107" spans="1:72">
      <c r="A107" s="681"/>
      <c r="B107" s="680" t="s">
        <v>968</v>
      </c>
      <c r="C107" s="679" t="s">
        <v>1101</v>
      </c>
      <c r="D107" s="679"/>
      <c r="E107" s="679"/>
      <c r="F107" s="678" t="s">
        <v>1100</v>
      </c>
      <c r="G107" s="678"/>
      <c r="H107" s="677">
        <v>14.11579249068501</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14.11579249068501</v>
      </c>
      <c r="BT107" s="674"/>
    </row>
    <row r="108" spans="1:72">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c r="A109" s="755" t="s">
        <v>1097</v>
      </c>
      <c r="B109" s="755"/>
      <c r="C109" s="755"/>
      <c r="D109" s="755"/>
      <c r="E109" s="755"/>
      <c r="F109" s="658" t="s">
        <v>1096</v>
      </c>
      <c r="G109" s="658"/>
      <c r="H109" s="754">
        <v>435.51160791057606</v>
      </c>
      <c r="I109" s="704"/>
      <c r="J109" s="753"/>
      <c r="K109" s="753"/>
      <c r="L109" s="753"/>
      <c r="M109" s="753"/>
      <c r="N109" s="753"/>
      <c r="O109" s="753"/>
      <c r="P109" s="753"/>
      <c r="Q109" s="753"/>
      <c r="R109" s="753"/>
      <c r="S109" s="753"/>
      <c r="T109" s="753"/>
      <c r="U109" s="753"/>
      <c r="V109" s="753"/>
      <c r="W109" s="704">
        <v>435.51160791057606</v>
      </c>
      <c r="X109" s="753">
        <v>0</v>
      </c>
      <c r="Y109" s="753">
        <v>-8902.9569122002486</v>
      </c>
      <c r="Z109" s="753">
        <v>878.97678417884777</v>
      </c>
      <c r="AA109" s="753"/>
      <c r="AB109" s="753"/>
      <c r="AC109" s="753">
        <v>0</v>
      </c>
      <c r="AD109" s="753">
        <v>1852.0110824496035</v>
      </c>
      <c r="AE109" s="753">
        <v>5927.1042323492884</v>
      </c>
      <c r="AF109" s="753">
        <v>0</v>
      </c>
      <c r="AG109" s="753">
        <v>0</v>
      </c>
      <c r="AH109" s="753">
        <v>0</v>
      </c>
      <c r="AI109" s="753">
        <v>0</v>
      </c>
      <c r="AJ109" s="753">
        <v>0</v>
      </c>
      <c r="AK109" s="753">
        <v>1465.8450367822679</v>
      </c>
      <c r="AL109" s="753">
        <v>-1.0270373554982324</v>
      </c>
      <c r="AM109" s="753">
        <v>-783.41454093818663</v>
      </c>
      <c r="AN109" s="753">
        <v>-1.0509219451609821</v>
      </c>
      <c r="AO109" s="753">
        <v>0</v>
      </c>
      <c r="AP109" s="753">
        <v>0</v>
      </c>
      <c r="AQ109" s="753">
        <v>0</v>
      </c>
      <c r="AR109" s="753">
        <v>0</v>
      </c>
      <c r="AS109" s="753">
        <v>0</v>
      </c>
      <c r="AT109" s="704"/>
      <c r="AU109" s="753"/>
      <c r="AV109" s="753"/>
      <c r="AW109" s="753"/>
      <c r="AX109" s="753"/>
      <c r="AY109" s="753"/>
      <c r="AZ109" s="704">
        <v>-11875.322441960447</v>
      </c>
      <c r="BA109" s="753">
        <v>-11684.771185631031</v>
      </c>
      <c r="BB109" s="753">
        <v>-190.55125632941625</v>
      </c>
      <c r="BC109" s="753">
        <v>0</v>
      </c>
      <c r="BD109" s="753"/>
      <c r="BE109" s="753">
        <v>0</v>
      </c>
      <c r="BF109" s="753"/>
      <c r="BG109" s="753"/>
      <c r="BH109" s="753"/>
      <c r="BI109" s="753"/>
      <c r="BJ109" s="753">
        <v>0</v>
      </c>
      <c r="BK109" s="753">
        <v>0</v>
      </c>
      <c r="BL109" s="753">
        <v>0</v>
      </c>
      <c r="BM109" s="753"/>
      <c r="BN109" s="753"/>
      <c r="BO109" s="704"/>
      <c r="BP109" s="753"/>
      <c r="BQ109" s="753"/>
      <c r="BR109" s="705"/>
      <c r="BS109" s="705"/>
      <c r="BT109" s="704">
        <v>11875.322441960447</v>
      </c>
    </row>
    <row r="110" spans="1:72">
      <c r="A110" s="688" t="s">
        <v>968</v>
      </c>
      <c r="B110" s="687" t="s">
        <v>1095</v>
      </c>
      <c r="C110" s="687"/>
      <c r="D110" s="687"/>
      <c r="E110" s="687"/>
      <c r="F110" s="686" t="s">
        <v>1094</v>
      </c>
      <c r="G110" s="686"/>
      <c r="H110" s="685">
        <v>395.98261201872549</v>
      </c>
      <c r="I110" s="682"/>
      <c r="J110" s="684"/>
      <c r="K110" s="684"/>
      <c r="L110" s="684"/>
      <c r="M110" s="684"/>
      <c r="N110" s="684"/>
      <c r="O110" s="684"/>
      <c r="P110" s="684"/>
      <c r="Q110" s="684"/>
      <c r="R110" s="684"/>
      <c r="S110" s="684"/>
      <c r="T110" s="684"/>
      <c r="U110" s="684"/>
      <c r="V110" s="684"/>
      <c r="W110" s="682">
        <v>395.98261201872549</v>
      </c>
      <c r="X110" s="684"/>
      <c r="Y110" s="684">
        <v>-8902.9569122002486</v>
      </c>
      <c r="Z110" s="684"/>
      <c r="AA110" s="684"/>
      <c r="AB110" s="684"/>
      <c r="AC110" s="684"/>
      <c r="AD110" s="684">
        <v>1877.3287474921181</v>
      </c>
      <c r="AE110" s="684">
        <v>5955.7418553549251</v>
      </c>
      <c r="AF110" s="684"/>
      <c r="AG110" s="684"/>
      <c r="AH110" s="684"/>
      <c r="AI110" s="684"/>
      <c r="AJ110" s="684"/>
      <c r="AK110" s="684">
        <v>1465.8450367822679</v>
      </c>
      <c r="AL110" s="684"/>
      <c r="AM110" s="684">
        <v>0</v>
      </c>
      <c r="AN110" s="684"/>
      <c r="AO110" s="684"/>
      <c r="AP110" s="684"/>
      <c r="AQ110" s="684"/>
      <c r="AR110" s="684"/>
      <c r="AS110" s="684"/>
      <c r="AT110" s="682"/>
      <c r="AU110" s="684"/>
      <c r="AV110" s="684"/>
      <c r="AW110" s="684"/>
      <c r="AX110" s="684"/>
      <c r="AY110" s="684"/>
      <c r="AZ110" s="682">
        <v>-11875.322441960447</v>
      </c>
      <c r="BA110" s="684">
        <v>-11684.771185631031</v>
      </c>
      <c r="BB110" s="684">
        <v>-190.55125632941625</v>
      </c>
      <c r="BC110" s="684">
        <v>0</v>
      </c>
      <c r="BD110" s="684"/>
      <c r="BE110" s="684">
        <v>0</v>
      </c>
      <c r="BF110" s="684"/>
      <c r="BG110" s="684"/>
      <c r="BH110" s="684"/>
      <c r="BI110" s="684"/>
      <c r="BJ110" s="684"/>
      <c r="BK110" s="684"/>
      <c r="BL110" s="684"/>
      <c r="BM110" s="684"/>
      <c r="BN110" s="684"/>
      <c r="BO110" s="682"/>
      <c r="BP110" s="684"/>
      <c r="BQ110" s="684"/>
      <c r="BR110" s="683"/>
      <c r="BS110" s="683"/>
      <c r="BT110" s="682">
        <v>11875.322441960447</v>
      </c>
    </row>
    <row r="111" spans="1:72">
      <c r="A111" s="680" t="s">
        <v>968</v>
      </c>
      <c r="B111" s="679" t="s">
        <v>1093</v>
      </c>
      <c r="C111" s="679"/>
      <c r="D111" s="679"/>
      <c r="E111" s="679"/>
      <c r="F111" s="678" t="s">
        <v>1092</v>
      </c>
      <c r="G111" s="678"/>
      <c r="H111" s="677">
        <v>44.998566924620235</v>
      </c>
      <c r="I111" s="674"/>
      <c r="J111" s="676"/>
      <c r="K111" s="676"/>
      <c r="L111" s="676"/>
      <c r="M111" s="676"/>
      <c r="N111" s="676"/>
      <c r="O111" s="676"/>
      <c r="P111" s="676"/>
      <c r="Q111" s="676"/>
      <c r="R111" s="676"/>
      <c r="S111" s="676"/>
      <c r="T111" s="676"/>
      <c r="U111" s="676"/>
      <c r="V111" s="676"/>
      <c r="W111" s="674">
        <v>44.998566924620235</v>
      </c>
      <c r="X111" s="676"/>
      <c r="Y111" s="676"/>
      <c r="Z111" s="676">
        <v>827.45772427629686</v>
      </c>
      <c r="AA111" s="676"/>
      <c r="AB111" s="676"/>
      <c r="AC111" s="676"/>
      <c r="AD111" s="676"/>
      <c r="AE111" s="676"/>
      <c r="AF111" s="676"/>
      <c r="AG111" s="676"/>
      <c r="AH111" s="676"/>
      <c r="AI111" s="676"/>
      <c r="AJ111" s="676"/>
      <c r="AK111" s="676"/>
      <c r="AL111" s="676"/>
      <c r="AM111" s="676">
        <v>-782.45915735167671</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c r="A112" s="672" t="s">
        <v>968</v>
      </c>
      <c r="B112" s="671" t="s">
        <v>1091</v>
      </c>
      <c r="C112" s="671"/>
      <c r="D112" s="671"/>
      <c r="E112" s="671"/>
      <c r="F112" s="670" t="s">
        <v>1090</v>
      </c>
      <c r="G112" s="670"/>
      <c r="H112" s="669">
        <v>-5.445686443106907</v>
      </c>
      <c r="I112" s="666"/>
      <c r="J112" s="668"/>
      <c r="K112" s="668"/>
      <c r="L112" s="668"/>
      <c r="M112" s="668"/>
      <c r="N112" s="668"/>
      <c r="O112" s="668"/>
      <c r="P112" s="668"/>
      <c r="Q112" s="668"/>
      <c r="R112" s="668"/>
      <c r="S112" s="668"/>
      <c r="T112" s="668"/>
      <c r="U112" s="668"/>
      <c r="V112" s="668"/>
      <c r="W112" s="666">
        <v>-5.445686443106907</v>
      </c>
      <c r="X112" s="668">
        <v>0</v>
      </c>
      <c r="Y112" s="668">
        <v>0</v>
      </c>
      <c r="Z112" s="668">
        <v>51.519059902550872</v>
      </c>
      <c r="AA112" s="668"/>
      <c r="AB112" s="668"/>
      <c r="AC112" s="668">
        <v>0</v>
      </c>
      <c r="AD112" s="668">
        <v>-25.31766504251457</v>
      </c>
      <c r="AE112" s="668">
        <v>-28.637623005636762</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c r="A113" s="755" t="s">
        <v>1089</v>
      </c>
      <c r="B113" s="755"/>
      <c r="C113" s="755"/>
      <c r="D113" s="755"/>
      <c r="E113" s="755"/>
      <c r="F113" s="658" t="s">
        <v>1088</v>
      </c>
      <c r="G113" s="658"/>
      <c r="H113" s="754">
        <v>5253.2244196044712</v>
      </c>
      <c r="I113" s="704">
        <v>0</v>
      </c>
      <c r="J113" s="753">
        <v>0</v>
      </c>
      <c r="K113" s="753">
        <v>0</v>
      </c>
      <c r="L113" s="753">
        <v>0</v>
      </c>
      <c r="M113" s="753">
        <v>0</v>
      </c>
      <c r="N113" s="753">
        <v>0</v>
      </c>
      <c r="O113" s="753">
        <v>0</v>
      </c>
      <c r="P113" s="753">
        <v>0</v>
      </c>
      <c r="Q113" s="753">
        <v>0</v>
      </c>
      <c r="R113" s="753">
        <v>0</v>
      </c>
      <c r="S113" s="753">
        <v>0</v>
      </c>
      <c r="T113" s="753">
        <v>0</v>
      </c>
      <c r="U113" s="753">
        <v>0</v>
      </c>
      <c r="V113" s="753">
        <v>0</v>
      </c>
      <c r="W113" s="704">
        <v>747.5876564440623</v>
      </c>
      <c r="X113" s="753"/>
      <c r="Y113" s="753"/>
      <c r="Z113" s="753"/>
      <c r="AA113" s="753"/>
      <c r="AB113" s="753"/>
      <c r="AC113" s="753">
        <v>484.04509410528323</v>
      </c>
      <c r="AD113" s="753"/>
      <c r="AE113" s="753"/>
      <c r="AF113" s="753"/>
      <c r="AG113" s="753"/>
      <c r="AH113" s="753"/>
      <c r="AI113" s="753"/>
      <c r="AJ113" s="753"/>
      <c r="AK113" s="753"/>
      <c r="AL113" s="753">
        <v>263.54256233877902</v>
      </c>
      <c r="AM113" s="753">
        <v>0</v>
      </c>
      <c r="AN113" s="753"/>
      <c r="AO113" s="753"/>
      <c r="AP113" s="753"/>
      <c r="AQ113" s="753"/>
      <c r="AR113" s="753"/>
      <c r="AS113" s="753"/>
      <c r="AT113" s="704">
        <v>3805.1972867106142</v>
      </c>
      <c r="AU113" s="753">
        <v>3805.1972867106142</v>
      </c>
      <c r="AV113" s="753">
        <v>0</v>
      </c>
      <c r="AW113" s="753">
        <v>0</v>
      </c>
      <c r="AX113" s="753">
        <v>0</v>
      </c>
      <c r="AY113" s="753">
        <v>0</v>
      </c>
      <c r="AZ113" s="704">
        <v>0</v>
      </c>
      <c r="BA113" s="753"/>
      <c r="BB113" s="753"/>
      <c r="BC113" s="753"/>
      <c r="BD113" s="753">
        <v>0</v>
      </c>
      <c r="BE113" s="753"/>
      <c r="BF113" s="753">
        <v>0</v>
      </c>
      <c r="BG113" s="753">
        <v>0</v>
      </c>
      <c r="BH113" s="753">
        <v>0</v>
      </c>
      <c r="BI113" s="753">
        <v>0</v>
      </c>
      <c r="BJ113" s="753">
        <v>0</v>
      </c>
      <c r="BK113" s="753">
        <v>0</v>
      </c>
      <c r="BL113" s="753">
        <v>0</v>
      </c>
      <c r="BM113" s="753">
        <v>0</v>
      </c>
      <c r="BN113" s="753">
        <v>0</v>
      </c>
      <c r="BO113" s="704">
        <v>0</v>
      </c>
      <c r="BP113" s="753">
        <v>0</v>
      </c>
      <c r="BQ113" s="753">
        <v>0</v>
      </c>
      <c r="BR113" s="705"/>
      <c r="BS113" s="705">
        <v>0.69265310021973814</v>
      </c>
      <c r="BT113" s="704">
        <v>699.74682334957481</v>
      </c>
    </row>
    <row r="114" spans="1:72">
      <c r="A114" s="688" t="s">
        <v>968</v>
      </c>
      <c r="B114" s="687" t="s">
        <v>1087</v>
      </c>
      <c r="C114" s="687"/>
      <c r="D114" s="687"/>
      <c r="E114" s="687"/>
      <c r="F114" s="686" t="s">
        <v>1086</v>
      </c>
      <c r="G114" s="686"/>
      <c r="H114" s="685">
        <v>62.697047864717682</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1.0270373554982324</v>
      </c>
      <c r="X114" s="684"/>
      <c r="Y114" s="684"/>
      <c r="Z114" s="684"/>
      <c r="AA114" s="684"/>
      <c r="AB114" s="684"/>
      <c r="AC114" s="684"/>
      <c r="AD114" s="684"/>
      <c r="AE114" s="684"/>
      <c r="AF114" s="684"/>
      <c r="AG114" s="684"/>
      <c r="AH114" s="684"/>
      <c r="AI114" s="684"/>
      <c r="AJ114" s="684"/>
      <c r="AK114" s="684"/>
      <c r="AL114" s="684">
        <v>1.0270373554982324</v>
      </c>
      <c r="AM114" s="684">
        <v>0</v>
      </c>
      <c r="AN114" s="684"/>
      <c r="AO114" s="684"/>
      <c r="AP114" s="684"/>
      <c r="AQ114" s="684"/>
      <c r="AR114" s="684"/>
      <c r="AS114" s="684"/>
      <c r="AT114" s="682">
        <v>0.19107671730199674</v>
      </c>
      <c r="AU114" s="684">
        <v>0.19107671730199674</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0.69265310021973814</v>
      </c>
      <c r="BT114" s="682">
        <v>60.786280691697712</v>
      </c>
    </row>
    <row r="115" spans="1:72">
      <c r="A115" s="680" t="s">
        <v>968</v>
      </c>
      <c r="B115" s="679" t="s">
        <v>1085</v>
      </c>
      <c r="C115" s="679"/>
      <c r="D115" s="679"/>
      <c r="E115" s="679"/>
      <c r="F115" s="678" t="s">
        <v>1084</v>
      </c>
      <c r="G115" s="678"/>
      <c r="H115" s="677">
        <v>24.672781121620329</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24.672781121620329</v>
      </c>
    </row>
    <row r="116" spans="1:72">
      <c r="A116" s="680"/>
      <c r="B116" s="680" t="s">
        <v>968</v>
      </c>
      <c r="C116" s="679" t="s">
        <v>1083</v>
      </c>
      <c r="D116" s="679"/>
      <c r="E116" s="679"/>
      <c r="F116" s="678" t="s">
        <v>1082</v>
      </c>
      <c r="G116" s="678"/>
      <c r="H116" s="677">
        <v>88.468520110824485</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88.468520110824485</v>
      </c>
    </row>
    <row r="117" spans="1:72">
      <c r="A117" s="680"/>
      <c r="B117" s="680" t="s">
        <v>1081</v>
      </c>
      <c r="C117" s="679" t="s">
        <v>1080</v>
      </c>
      <c r="D117" s="679"/>
      <c r="E117" s="679"/>
      <c r="F117" s="678" t="s">
        <v>1079</v>
      </c>
      <c r="G117" s="678"/>
      <c r="H117" s="677">
        <v>63.79573898920416</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63.79573898920416</v>
      </c>
    </row>
    <row r="118" spans="1:72">
      <c r="A118" s="680"/>
      <c r="B118" s="680"/>
      <c r="C118" s="680" t="s">
        <v>968</v>
      </c>
      <c r="D118" s="679" t="s">
        <v>1078</v>
      </c>
      <c r="E118" s="679"/>
      <c r="F118" s="678" t="s">
        <v>1077</v>
      </c>
      <c r="G118" s="678"/>
      <c r="H118" s="677">
        <v>61.908856405846947</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61.908856405846947</v>
      </c>
    </row>
    <row r="119" spans="1:72">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c r="A120" s="680" t="s">
        <v>968</v>
      </c>
      <c r="B120" s="679" t="s">
        <v>1074</v>
      </c>
      <c r="C120" s="679"/>
      <c r="D120" s="679"/>
      <c r="E120" s="679"/>
      <c r="F120" s="678" t="s">
        <v>1073</v>
      </c>
      <c r="G120" s="678"/>
      <c r="H120" s="677">
        <v>4623.2444826597875</v>
      </c>
      <c r="I120" s="674"/>
      <c r="J120" s="676"/>
      <c r="K120" s="676"/>
      <c r="L120" s="676"/>
      <c r="M120" s="676"/>
      <c r="N120" s="676"/>
      <c r="O120" s="676"/>
      <c r="P120" s="676"/>
      <c r="Q120" s="676"/>
      <c r="R120" s="676"/>
      <c r="S120" s="676"/>
      <c r="T120" s="676"/>
      <c r="U120" s="676"/>
      <c r="V120" s="676"/>
      <c r="W120" s="674">
        <v>253.24830419413394</v>
      </c>
      <c r="X120" s="676"/>
      <c r="Y120" s="676"/>
      <c r="Z120" s="676"/>
      <c r="AA120" s="676"/>
      <c r="AB120" s="676"/>
      <c r="AC120" s="676"/>
      <c r="AD120" s="676"/>
      <c r="AE120" s="676"/>
      <c r="AF120" s="676"/>
      <c r="AG120" s="676"/>
      <c r="AH120" s="676"/>
      <c r="AI120" s="676"/>
      <c r="AJ120" s="676"/>
      <c r="AK120" s="676"/>
      <c r="AL120" s="676">
        <v>253.24830419413394</v>
      </c>
      <c r="AM120" s="676">
        <v>0</v>
      </c>
      <c r="AN120" s="676"/>
      <c r="AO120" s="676"/>
      <c r="AP120" s="676"/>
      <c r="AQ120" s="676"/>
      <c r="AR120" s="676"/>
      <c r="AS120" s="676"/>
      <c r="AT120" s="674">
        <v>3805.006209993312</v>
      </c>
      <c r="AU120" s="676">
        <v>3805.006209993312</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565.01385306200439</v>
      </c>
    </row>
    <row r="121" spans="1:72">
      <c r="A121" s="680" t="s">
        <v>968</v>
      </c>
      <c r="B121" s="679" t="s">
        <v>1072</v>
      </c>
      <c r="C121" s="679"/>
      <c r="D121" s="679"/>
      <c r="E121" s="679"/>
      <c r="F121" s="678" t="s">
        <v>1071</v>
      </c>
      <c r="G121" s="678"/>
      <c r="H121" s="677">
        <v>527.6344702398012</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484.04509410528323</v>
      </c>
      <c r="X121" s="676"/>
      <c r="Y121" s="676"/>
      <c r="Z121" s="676"/>
      <c r="AA121" s="676"/>
      <c r="AB121" s="676"/>
      <c r="AC121" s="676">
        <v>484.04509410528323</v>
      </c>
      <c r="AD121" s="676"/>
      <c r="AE121" s="676"/>
      <c r="AF121" s="676"/>
      <c r="AG121" s="676"/>
      <c r="AH121" s="676"/>
      <c r="AI121" s="676"/>
      <c r="AJ121" s="676"/>
      <c r="AK121" s="676"/>
      <c r="AL121" s="676"/>
      <c r="AM121" s="676">
        <v>0</v>
      </c>
      <c r="AN121" s="676"/>
      <c r="AO121" s="676"/>
      <c r="AP121" s="676"/>
      <c r="AQ121" s="676"/>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0</v>
      </c>
      <c r="BT121" s="674">
        <v>43.589376134518005</v>
      </c>
    </row>
    <row r="122" spans="1:72">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c r="A123" s="680" t="s">
        <v>968</v>
      </c>
      <c r="B123" s="679" t="s">
        <v>1068</v>
      </c>
      <c r="C123" s="679"/>
      <c r="D123" s="679"/>
      <c r="E123" s="679"/>
      <c r="F123" s="678" t="s">
        <v>1067</v>
      </c>
      <c r="G123" s="678"/>
      <c r="H123" s="677">
        <v>11.751218114072799</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9.2672207891468421</v>
      </c>
      <c r="X123" s="676"/>
      <c r="Y123" s="676"/>
      <c r="Z123" s="676"/>
      <c r="AA123" s="676"/>
      <c r="AB123" s="676"/>
      <c r="AC123" s="676"/>
      <c r="AD123" s="676"/>
      <c r="AE123" s="676"/>
      <c r="AF123" s="676"/>
      <c r="AG123" s="676"/>
      <c r="AH123" s="676"/>
      <c r="AI123" s="676"/>
      <c r="AJ123" s="676"/>
      <c r="AK123" s="676"/>
      <c r="AL123" s="676">
        <v>9.2672207891468421</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2.4839973249259577</v>
      </c>
    </row>
    <row r="124" spans="1:72">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c r="A133" s="680" t="s">
        <v>968</v>
      </c>
      <c r="B133" s="679" t="s">
        <v>1048</v>
      </c>
      <c r="C133" s="679"/>
      <c r="D133" s="679"/>
      <c r="E133" s="679"/>
      <c r="F133" s="678" t="s">
        <v>1047</v>
      </c>
      <c r="G133" s="678"/>
      <c r="H133" s="677">
        <v>3.176650425145696</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3.176650425145696</v>
      </c>
    </row>
    <row r="134" spans="1:72">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c r="A135" s="755" t="s">
        <v>1044</v>
      </c>
      <c r="B135" s="755"/>
      <c r="C135" s="755"/>
      <c r="D135" s="755"/>
      <c r="E135" s="755"/>
      <c r="F135" s="658" t="s">
        <v>1043</v>
      </c>
      <c r="G135" s="658"/>
      <c r="H135" s="754">
        <v>826.33514856214765</v>
      </c>
      <c r="I135" s="704">
        <v>0</v>
      </c>
      <c r="J135" s="753">
        <v>0</v>
      </c>
      <c r="K135" s="753">
        <v>0</v>
      </c>
      <c r="L135" s="753">
        <v>0</v>
      </c>
      <c r="M135" s="753">
        <v>0</v>
      </c>
      <c r="N135" s="753">
        <v>0</v>
      </c>
      <c r="O135" s="753">
        <v>0</v>
      </c>
      <c r="P135" s="753">
        <v>0</v>
      </c>
      <c r="Q135" s="753">
        <v>0</v>
      </c>
      <c r="R135" s="753">
        <v>0</v>
      </c>
      <c r="S135" s="753">
        <v>0</v>
      </c>
      <c r="T135" s="753">
        <v>0</v>
      </c>
      <c r="U135" s="753">
        <v>0</v>
      </c>
      <c r="V135" s="753">
        <v>0</v>
      </c>
      <c r="W135" s="704">
        <v>0</v>
      </c>
      <c r="X135" s="753"/>
      <c r="Y135" s="753"/>
      <c r="Z135" s="753"/>
      <c r="AA135" s="753"/>
      <c r="AB135" s="753"/>
      <c r="AC135" s="753"/>
      <c r="AD135" s="753"/>
      <c r="AE135" s="753"/>
      <c r="AF135" s="753"/>
      <c r="AG135" s="753"/>
      <c r="AH135" s="753"/>
      <c r="AI135" s="753"/>
      <c r="AJ135" s="753"/>
      <c r="AK135" s="753"/>
      <c r="AL135" s="753"/>
      <c r="AM135" s="753">
        <v>0</v>
      </c>
      <c r="AN135" s="753"/>
      <c r="AO135" s="753"/>
      <c r="AP135" s="753"/>
      <c r="AQ135" s="753"/>
      <c r="AR135" s="753"/>
      <c r="AS135" s="753"/>
      <c r="AT135" s="704">
        <v>0</v>
      </c>
      <c r="AU135" s="753">
        <v>0</v>
      </c>
      <c r="AV135" s="753">
        <v>0</v>
      </c>
      <c r="AW135" s="753">
        <v>0</v>
      </c>
      <c r="AX135" s="753">
        <v>0</v>
      </c>
      <c r="AY135" s="753">
        <v>0</v>
      </c>
      <c r="AZ135" s="704">
        <v>0</v>
      </c>
      <c r="BA135" s="753"/>
      <c r="BB135" s="753"/>
      <c r="BC135" s="753"/>
      <c r="BD135" s="753">
        <v>0</v>
      </c>
      <c r="BE135" s="753"/>
      <c r="BF135" s="753">
        <v>0</v>
      </c>
      <c r="BG135" s="753">
        <v>0</v>
      </c>
      <c r="BH135" s="753">
        <v>0</v>
      </c>
      <c r="BI135" s="753">
        <v>0</v>
      </c>
      <c r="BJ135" s="753">
        <v>0</v>
      </c>
      <c r="BK135" s="753">
        <v>0</v>
      </c>
      <c r="BL135" s="753">
        <v>0</v>
      </c>
      <c r="BM135" s="753">
        <v>0</v>
      </c>
      <c r="BN135" s="753">
        <v>0</v>
      </c>
      <c r="BO135" s="704">
        <v>0</v>
      </c>
      <c r="BP135" s="753">
        <v>0</v>
      </c>
      <c r="BQ135" s="753">
        <v>0</v>
      </c>
      <c r="BR135" s="705"/>
      <c r="BS135" s="705">
        <v>88.06248208655775</v>
      </c>
      <c r="BT135" s="704">
        <v>738.27266647558986</v>
      </c>
    </row>
    <row r="136" spans="1:72">
      <c r="A136" s="755" t="s">
        <v>1042</v>
      </c>
      <c r="B136" s="755"/>
      <c r="C136" s="755"/>
      <c r="D136" s="755"/>
      <c r="E136" s="755"/>
      <c r="F136" s="658" t="s">
        <v>1041</v>
      </c>
      <c r="G136" s="658"/>
      <c r="H136" s="754">
        <v>23328.914684245723</v>
      </c>
      <c r="I136" s="704">
        <v>748.66246297888597</v>
      </c>
      <c r="J136" s="753">
        <v>0</v>
      </c>
      <c r="K136" s="753">
        <v>0</v>
      </c>
      <c r="L136" s="753">
        <v>522.16489920703157</v>
      </c>
      <c r="M136" s="753">
        <v>0</v>
      </c>
      <c r="N136" s="753">
        <v>0</v>
      </c>
      <c r="O136" s="753">
        <v>0</v>
      </c>
      <c r="P136" s="753">
        <v>226.4975637718544</v>
      </c>
      <c r="Q136" s="753">
        <v>0</v>
      </c>
      <c r="R136" s="753">
        <v>0</v>
      </c>
      <c r="S136" s="753">
        <v>0</v>
      </c>
      <c r="T136" s="753">
        <v>0</v>
      </c>
      <c r="U136" s="753">
        <v>0</v>
      </c>
      <c r="V136" s="753">
        <v>0</v>
      </c>
      <c r="W136" s="704">
        <v>11127.472055030094</v>
      </c>
      <c r="X136" s="753">
        <v>492.04643164230436</v>
      </c>
      <c r="Y136" s="753">
        <v>0</v>
      </c>
      <c r="Z136" s="753">
        <v>0</v>
      </c>
      <c r="AA136" s="753">
        <v>0</v>
      </c>
      <c r="AB136" s="753"/>
      <c r="AC136" s="753">
        <v>16.241520970669722</v>
      </c>
      <c r="AD136" s="753">
        <v>747.63542562338773</v>
      </c>
      <c r="AE136" s="753">
        <v>1108.7943059138242</v>
      </c>
      <c r="AF136" s="753">
        <v>1459.5633897009648</v>
      </c>
      <c r="AG136" s="753">
        <v>0</v>
      </c>
      <c r="AH136" s="753">
        <v>0</v>
      </c>
      <c r="AI136" s="753">
        <v>1027.3717397535111</v>
      </c>
      <c r="AJ136" s="753">
        <v>86.462214579153525</v>
      </c>
      <c r="AK136" s="753">
        <v>585.07690837871405</v>
      </c>
      <c r="AL136" s="753">
        <v>4337.9908283175691</v>
      </c>
      <c r="AM136" s="753">
        <v>398.39495557466319</v>
      </c>
      <c r="AN136" s="753">
        <v>18.74940288525843</v>
      </c>
      <c r="AO136" s="753">
        <v>42.132416165090284</v>
      </c>
      <c r="AP136" s="753">
        <v>402.40756663800516</v>
      </c>
      <c r="AQ136" s="753">
        <v>404.60494888697809</v>
      </c>
      <c r="AR136" s="753">
        <v>0</v>
      </c>
      <c r="AS136" s="753">
        <v>0</v>
      </c>
      <c r="AT136" s="704">
        <v>846.6370497754848</v>
      </c>
      <c r="AU136" s="753">
        <v>776.84627878093056</v>
      </c>
      <c r="AV136" s="753">
        <v>0</v>
      </c>
      <c r="AW136" s="753">
        <v>69.790770994554308</v>
      </c>
      <c r="AX136" s="753">
        <v>0</v>
      </c>
      <c r="AY136" s="753">
        <v>0</v>
      </c>
      <c r="AZ136" s="704">
        <v>873.05340594248582</v>
      </c>
      <c r="BA136" s="753">
        <v>0</v>
      </c>
      <c r="BB136" s="753">
        <v>0</v>
      </c>
      <c r="BC136" s="753">
        <v>0</v>
      </c>
      <c r="BD136" s="753">
        <v>0</v>
      </c>
      <c r="BE136" s="753">
        <v>0</v>
      </c>
      <c r="BF136" s="753">
        <v>720.98022355975922</v>
      </c>
      <c r="BG136" s="753">
        <v>0</v>
      </c>
      <c r="BH136" s="753">
        <v>14.474061335626253</v>
      </c>
      <c r="BI136" s="753">
        <v>9.5538358650998365</v>
      </c>
      <c r="BJ136" s="753">
        <v>9.8165663513900832</v>
      </c>
      <c r="BK136" s="753">
        <v>114.55049202254705</v>
      </c>
      <c r="BL136" s="753">
        <v>0</v>
      </c>
      <c r="BM136" s="753">
        <v>3.6782268080634375</v>
      </c>
      <c r="BN136" s="753">
        <v>0</v>
      </c>
      <c r="BO136" s="704">
        <v>9.5538358650998365</v>
      </c>
      <c r="BP136" s="753">
        <v>0</v>
      </c>
      <c r="BQ136" s="753">
        <v>9.5538358650998365</v>
      </c>
      <c r="BR136" s="705">
        <v>0</v>
      </c>
      <c r="BS136" s="705">
        <v>402.02541320340117</v>
      </c>
      <c r="BT136" s="704">
        <v>9321.4865768606087</v>
      </c>
    </row>
    <row r="137" spans="1:72">
      <c r="A137" s="665" t="s">
        <v>1040</v>
      </c>
      <c r="B137" s="665"/>
      <c r="C137" s="665"/>
      <c r="D137" s="665"/>
      <c r="E137" s="665"/>
      <c r="F137" s="664" t="s">
        <v>1039</v>
      </c>
      <c r="G137" s="664"/>
      <c r="H137" s="663">
        <v>2382.0578962453424</v>
      </c>
      <c r="I137" s="660">
        <v>53.692557561861086</v>
      </c>
      <c r="J137" s="662">
        <v>0</v>
      </c>
      <c r="K137" s="662">
        <v>0</v>
      </c>
      <c r="L137" s="662">
        <v>53.692557561861086</v>
      </c>
      <c r="M137" s="662">
        <v>0</v>
      </c>
      <c r="N137" s="662">
        <v>0</v>
      </c>
      <c r="O137" s="662">
        <v>0</v>
      </c>
      <c r="P137" s="662">
        <v>0</v>
      </c>
      <c r="Q137" s="662">
        <v>0</v>
      </c>
      <c r="R137" s="662">
        <v>0</v>
      </c>
      <c r="S137" s="662">
        <v>0</v>
      </c>
      <c r="T137" s="662">
        <v>0</v>
      </c>
      <c r="U137" s="662">
        <v>0</v>
      </c>
      <c r="V137" s="662">
        <v>0</v>
      </c>
      <c r="W137" s="660">
        <v>1810.1413967708033</v>
      </c>
      <c r="X137" s="662">
        <v>0</v>
      </c>
      <c r="Y137" s="662">
        <v>0</v>
      </c>
      <c r="Z137" s="662"/>
      <c r="AA137" s="662"/>
      <c r="AB137" s="662"/>
      <c r="AC137" s="662">
        <v>0</v>
      </c>
      <c r="AD137" s="662">
        <v>331.42256616031335</v>
      </c>
      <c r="AE137" s="662">
        <v>630.9114359415305</v>
      </c>
      <c r="AF137" s="662">
        <v>0</v>
      </c>
      <c r="AG137" s="662">
        <v>0</v>
      </c>
      <c r="AH137" s="662">
        <v>0</v>
      </c>
      <c r="AI137" s="662">
        <v>0</v>
      </c>
      <c r="AJ137" s="662">
        <v>0</v>
      </c>
      <c r="AK137" s="662">
        <v>0</v>
      </c>
      <c r="AL137" s="662">
        <v>0</v>
      </c>
      <c r="AM137" s="662">
        <v>0</v>
      </c>
      <c r="AN137" s="662">
        <v>19.776440240756664</v>
      </c>
      <c r="AO137" s="662">
        <v>42.132416165090284</v>
      </c>
      <c r="AP137" s="662">
        <v>402.40756663800516</v>
      </c>
      <c r="AQ137" s="662">
        <v>378.6901691028948</v>
      </c>
      <c r="AR137" s="662">
        <v>0</v>
      </c>
      <c r="AS137" s="662">
        <v>4.7769179325499183</v>
      </c>
      <c r="AT137" s="660">
        <v>518.2239419126779</v>
      </c>
      <c r="AU137" s="662">
        <v>518.2239419126779</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c r="A140" s="680" t="s">
        <v>968</v>
      </c>
      <c r="B140" s="679" t="s">
        <v>1034</v>
      </c>
      <c r="C140" s="679"/>
      <c r="D140" s="679"/>
      <c r="E140" s="679"/>
      <c r="F140" s="678" t="s">
        <v>1033</v>
      </c>
      <c r="G140" s="678"/>
      <c r="H140" s="677">
        <v>2328.3653386834812</v>
      </c>
      <c r="I140" s="674"/>
      <c r="J140" s="676"/>
      <c r="K140" s="676"/>
      <c r="L140" s="676"/>
      <c r="M140" s="676"/>
      <c r="N140" s="676"/>
      <c r="O140" s="676"/>
      <c r="P140" s="676"/>
      <c r="Q140" s="676"/>
      <c r="R140" s="676"/>
      <c r="S140" s="676"/>
      <c r="T140" s="676"/>
      <c r="U140" s="676"/>
      <c r="V140" s="676"/>
      <c r="W140" s="674">
        <v>1810.1413967708033</v>
      </c>
      <c r="X140" s="676">
        <v>0</v>
      </c>
      <c r="Y140" s="676">
        <v>0</v>
      </c>
      <c r="Z140" s="676"/>
      <c r="AA140" s="676"/>
      <c r="AB140" s="676"/>
      <c r="AC140" s="676">
        <v>0</v>
      </c>
      <c r="AD140" s="676">
        <v>331.42256616031335</v>
      </c>
      <c r="AE140" s="676">
        <v>630.9114359415305</v>
      </c>
      <c r="AF140" s="676">
        <v>0</v>
      </c>
      <c r="AG140" s="676">
        <v>0</v>
      </c>
      <c r="AH140" s="676">
        <v>0</v>
      </c>
      <c r="AI140" s="676">
        <v>0</v>
      </c>
      <c r="AJ140" s="676">
        <v>0</v>
      </c>
      <c r="AK140" s="676">
        <v>0</v>
      </c>
      <c r="AL140" s="676">
        <v>0</v>
      </c>
      <c r="AM140" s="676">
        <v>0</v>
      </c>
      <c r="AN140" s="676">
        <v>19.776440240756664</v>
      </c>
      <c r="AO140" s="676">
        <v>42.132416165090284</v>
      </c>
      <c r="AP140" s="676">
        <v>402.40756663800516</v>
      </c>
      <c r="AQ140" s="676">
        <v>378.6901691028948</v>
      </c>
      <c r="AR140" s="676">
        <v>0</v>
      </c>
      <c r="AS140" s="676">
        <v>4.7769179325499183</v>
      </c>
      <c r="AT140" s="674">
        <v>518.2239419126779</v>
      </c>
      <c r="AU140" s="676">
        <v>518.2239419126779</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1517.6507117607719</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999.42676984809395</v>
      </c>
      <c r="X141" s="699"/>
      <c r="Y141" s="699"/>
      <c r="Z141" s="699"/>
      <c r="AA141" s="699"/>
      <c r="AB141" s="699"/>
      <c r="AC141" s="699"/>
      <c r="AD141" s="699">
        <v>331.42256616031335</v>
      </c>
      <c r="AE141" s="699">
        <v>629.81274481704406</v>
      </c>
      <c r="AF141" s="699"/>
      <c r="AG141" s="699"/>
      <c r="AH141" s="699"/>
      <c r="AI141" s="699"/>
      <c r="AJ141" s="699"/>
      <c r="AK141" s="699"/>
      <c r="AL141" s="699"/>
      <c r="AM141" s="699">
        <v>0</v>
      </c>
      <c r="AN141" s="699">
        <v>19.776440240756664</v>
      </c>
      <c r="AO141" s="699"/>
      <c r="AP141" s="699"/>
      <c r="AQ141" s="699">
        <v>18.391134040317187</v>
      </c>
      <c r="AR141" s="699"/>
      <c r="AS141" s="699"/>
      <c r="AT141" s="697">
        <v>518.2239419126779</v>
      </c>
      <c r="AU141" s="699">
        <v>518.2239419126779</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c r="A144" s="695" t="s">
        <v>968</v>
      </c>
      <c r="B144" s="694" t="s">
        <v>1026</v>
      </c>
      <c r="C144" s="694"/>
      <c r="D144" s="694"/>
      <c r="E144" s="694"/>
      <c r="F144" s="693" t="s">
        <v>1025</v>
      </c>
      <c r="G144" s="693"/>
      <c r="H144" s="692">
        <v>53.692557561861086</v>
      </c>
      <c r="I144" s="689">
        <v>53.692557561861086</v>
      </c>
      <c r="J144" s="691">
        <v>0</v>
      </c>
      <c r="K144" s="691">
        <v>0</v>
      </c>
      <c r="L144" s="691">
        <v>53.692557561861086</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c r="A145" s="665" t="s">
        <v>1024</v>
      </c>
      <c r="B145" s="665"/>
      <c r="C145" s="665"/>
      <c r="D145" s="665"/>
      <c r="E145" s="665"/>
      <c r="F145" s="664" t="s">
        <v>1023</v>
      </c>
      <c r="G145" s="664"/>
      <c r="H145" s="663">
        <v>18399.828030954428</v>
      </c>
      <c r="I145" s="660">
        <v>626.06286423999234</v>
      </c>
      <c r="J145" s="662">
        <v>0</v>
      </c>
      <c r="K145" s="662">
        <v>0</v>
      </c>
      <c r="L145" s="662">
        <v>479.88917550396479</v>
      </c>
      <c r="M145" s="662">
        <v>0</v>
      </c>
      <c r="N145" s="662">
        <v>0</v>
      </c>
      <c r="O145" s="662">
        <v>0</v>
      </c>
      <c r="P145" s="662">
        <v>146.17368873602751</v>
      </c>
      <c r="Q145" s="662">
        <v>0</v>
      </c>
      <c r="R145" s="662">
        <v>0</v>
      </c>
      <c r="S145" s="662">
        <v>0</v>
      </c>
      <c r="T145" s="662">
        <v>0</v>
      </c>
      <c r="U145" s="662">
        <v>0</v>
      </c>
      <c r="V145" s="662">
        <v>0</v>
      </c>
      <c r="W145" s="660">
        <v>6675.8383490971619</v>
      </c>
      <c r="X145" s="662"/>
      <c r="Y145" s="662"/>
      <c r="Z145" s="662"/>
      <c r="AA145" s="662"/>
      <c r="AB145" s="662"/>
      <c r="AC145" s="662"/>
      <c r="AD145" s="662">
        <v>259.86433553071555</v>
      </c>
      <c r="AE145" s="662">
        <v>162.96455526894047</v>
      </c>
      <c r="AF145" s="662">
        <v>949.96178465653952</v>
      </c>
      <c r="AG145" s="662">
        <v>2.1018438903219643</v>
      </c>
      <c r="AH145" s="662"/>
      <c r="AI145" s="662">
        <v>947.07174930734686</v>
      </c>
      <c r="AJ145" s="662">
        <v>32.936849144931685</v>
      </c>
      <c r="AK145" s="662"/>
      <c r="AL145" s="662">
        <v>4245.3425050157639</v>
      </c>
      <c r="AM145" s="662">
        <v>49.679946498519151</v>
      </c>
      <c r="AN145" s="662"/>
      <c r="AO145" s="662"/>
      <c r="AP145" s="662"/>
      <c r="AQ145" s="662">
        <v>25.914779784083308</v>
      </c>
      <c r="AR145" s="662"/>
      <c r="AS145" s="662"/>
      <c r="AT145" s="660">
        <v>499.33123148944298</v>
      </c>
      <c r="AU145" s="662">
        <v>429.54046049488869</v>
      </c>
      <c r="AV145" s="662">
        <v>0</v>
      </c>
      <c r="AW145" s="662">
        <v>69.790770994554308</v>
      </c>
      <c r="AX145" s="662">
        <v>0</v>
      </c>
      <c r="AY145" s="662">
        <v>0</v>
      </c>
      <c r="AZ145" s="660">
        <v>865.50587560905706</v>
      </c>
      <c r="BA145" s="662"/>
      <c r="BB145" s="662"/>
      <c r="BC145" s="662"/>
      <c r="BD145" s="662">
        <v>0</v>
      </c>
      <c r="BE145" s="662"/>
      <c r="BF145" s="662">
        <v>720.98022355975922</v>
      </c>
      <c r="BG145" s="662">
        <v>0</v>
      </c>
      <c r="BH145" s="662">
        <v>10.628642399923569</v>
      </c>
      <c r="BI145" s="662">
        <v>9.5538358650998365</v>
      </c>
      <c r="BJ145" s="662">
        <v>6.401070029616891</v>
      </c>
      <c r="BK145" s="662">
        <v>114.26387694659405</v>
      </c>
      <c r="BL145" s="662">
        <v>0</v>
      </c>
      <c r="BM145" s="662">
        <v>3.6782268080634375</v>
      </c>
      <c r="BN145" s="662">
        <v>0</v>
      </c>
      <c r="BO145" s="660">
        <v>9.5538358650998365</v>
      </c>
      <c r="BP145" s="662">
        <v>0</v>
      </c>
      <c r="BQ145" s="662">
        <v>9.5538358650998365</v>
      </c>
      <c r="BR145" s="661"/>
      <c r="BS145" s="661">
        <v>402.02541320340117</v>
      </c>
      <c r="BT145" s="660">
        <v>9321.4865768606087</v>
      </c>
    </row>
    <row r="146" spans="1:72">
      <c r="A146" s="688" t="s">
        <v>968</v>
      </c>
      <c r="B146" s="687" t="s">
        <v>1022</v>
      </c>
      <c r="C146" s="687"/>
      <c r="D146" s="687"/>
      <c r="E146" s="687"/>
      <c r="F146" s="686" t="s">
        <v>1021</v>
      </c>
      <c r="G146" s="686"/>
      <c r="H146" s="685">
        <v>5924.882965510652</v>
      </c>
      <c r="I146" s="682">
        <v>626.06286423999234</v>
      </c>
      <c r="J146" s="684">
        <v>0</v>
      </c>
      <c r="K146" s="684">
        <v>0</v>
      </c>
      <c r="L146" s="684">
        <v>479.88917550396479</v>
      </c>
      <c r="M146" s="684">
        <v>0</v>
      </c>
      <c r="N146" s="684">
        <v>0</v>
      </c>
      <c r="O146" s="684">
        <v>0</v>
      </c>
      <c r="P146" s="684">
        <v>146.17368873602751</v>
      </c>
      <c r="Q146" s="684">
        <v>0</v>
      </c>
      <c r="R146" s="684">
        <v>0</v>
      </c>
      <c r="S146" s="684">
        <v>0</v>
      </c>
      <c r="T146" s="684">
        <v>0</v>
      </c>
      <c r="U146" s="684">
        <v>0</v>
      </c>
      <c r="V146" s="684">
        <v>0</v>
      </c>
      <c r="W146" s="682">
        <v>769.39428680615265</v>
      </c>
      <c r="X146" s="684"/>
      <c r="Y146" s="684"/>
      <c r="Z146" s="684"/>
      <c r="AA146" s="684"/>
      <c r="AB146" s="684"/>
      <c r="AC146" s="684"/>
      <c r="AD146" s="684">
        <v>259.86433553071555</v>
      </c>
      <c r="AE146" s="684">
        <v>143.14034584885832</v>
      </c>
      <c r="AF146" s="684"/>
      <c r="AG146" s="684"/>
      <c r="AH146" s="684"/>
      <c r="AI146" s="684"/>
      <c r="AJ146" s="684"/>
      <c r="AK146" s="684"/>
      <c r="AL146" s="684">
        <v>335.60236935129456</v>
      </c>
      <c r="AM146" s="684">
        <v>5.7323015190599023</v>
      </c>
      <c r="AN146" s="684"/>
      <c r="AO146" s="684"/>
      <c r="AP146" s="684"/>
      <c r="AQ146" s="684">
        <v>25.078819145887074</v>
      </c>
      <c r="AR146" s="684"/>
      <c r="AS146" s="684"/>
      <c r="AT146" s="682">
        <v>331.73306582592909</v>
      </c>
      <c r="AU146" s="684">
        <v>261.9422948313748</v>
      </c>
      <c r="AV146" s="684">
        <v>0</v>
      </c>
      <c r="AW146" s="684">
        <v>69.790770994554308</v>
      </c>
      <c r="AX146" s="684">
        <v>0</v>
      </c>
      <c r="AY146" s="684">
        <v>0</v>
      </c>
      <c r="AZ146" s="682">
        <v>239.61020349670392</v>
      </c>
      <c r="BA146" s="684"/>
      <c r="BB146" s="684"/>
      <c r="BC146" s="684"/>
      <c r="BD146" s="684">
        <v>0</v>
      </c>
      <c r="BE146" s="684"/>
      <c r="BF146" s="684">
        <v>228.0022929206076</v>
      </c>
      <c r="BG146" s="684">
        <v>0</v>
      </c>
      <c r="BH146" s="684">
        <v>2.0540747109964648</v>
      </c>
      <c r="BI146" s="684">
        <v>9.5538358650998365</v>
      </c>
      <c r="BJ146" s="684">
        <v>0</v>
      </c>
      <c r="BK146" s="684">
        <v>0</v>
      </c>
      <c r="BL146" s="684">
        <v>0</v>
      </c>
      <c r="BM146" s="684">
        <v>0</v>
      </c>
      <c r="BN146" s="684">
        <v>0</v>
      </c>
      <c r="BO146" s="682">
        <v>9.5538358650998365</v>
      </c>
      <c r="BP146" s="684">
        <v>0</v>
      </c>
      <c r="BQ146" s="684">
        <v>9.5538358650998365</v>
      </c>
      <c r="BR146" s="683"/>
      <c r="BS146" s="683">
        <v>50.492022547052642</v>
      </c>
      <c r="BT146" s="682">
        <v>3898.0128021400592</v>
      </c>
    </row>
    <row r="147" spans="1:72">
      <c r="A147" s="681"/>
      <c r="B147" s="680" t="s">
        <v>968</v>
      </c>
      <c r="C147" s="679" t="s">
        <v>1020</v>
      </c>
      <c r="D147" s="679"/>
      <c r="E147" s="679"/>
      <c r="F147" s="678" t="s">
        <v>1019</v>
      </c>
      <c r="G147" s="678"/>
      <c r="H147" s="677">
        <v>857.88669150663986</v>
      </c>
      <c r="I147" s="674">
        <v>322.01203783318999</v>
      </c>
      <c r="J147" s="676">
        <v>0</v>
      </c>
      <c r="K147" s="676">
        <v>0</v>
      </c>
      <c r="L147" s="676">
        <v>224.84952708512466</v>
      </c>
      <c r="M147" s="676">
        <v>0</v>
      </c>
      <c r="N147" s="676">
        <v>0</v>
      </c>
      <c r="O147" s="676">
        <v>0</v>
      </c>
      <c r="P147" s="676">
        <v>97.162510748065344</v>
      </c>
      <c r="Q147" s="676">
        <v>0</v>
      </c>
      <c r="R147" s="676">
        <v>0</v>
      </c>
      <c r="S147" s="676">
        <v>0</v>
      </c>
      <c r="T147" s="676">
        <v>0</v>
      </c>
      <c r="U147" s="676">
        <v>0</v>
      </c>
      <c r="V147" s="676">
        <v>0</v>
      </c>
      <c r="W147" s="674">
        <v>26.98958631890704</v>
      </c>
      <c r="X147" s="676"/>
      <c r="Y147" s="676"/>
      <c r="Z147" s="676"/>
      <c r="AA147" s="676"/>
      <c r="AB147" s="676"/>
      <c r="AC147" s="676"/>
      <c r="AD147" s="676"/>
      <c r="AE147" s="676">
        <v>6.6160313365816368</v>
      </c>
      <c r="AF147" s="676"/>
      <c r="AG147" s="676"/>
      <c r="AH147" s="676"/>
      <c r="AI147" s="676"/>
      <c r="AJ147" s="676"/>
      <c r="AK147" s="676"/>
      <c r="AL147" s="676">
        <v>6.1861087226521443</v>
      </c>
      <c r="AM147" s="676">
        <v>0</v>
      </c>
      <c r="AN147" s="676"/>
      <c r="AO147" s="676"/>
      <c r="AP147" s="676"/>
      <c r="AQ147" s="676">
        <v>14.211330849336008</v>
      </c>
      <c r="AR147" s="676"/>
      <c r="AS147" s="676"/>
      <c r="AT147" s="674">
        <v>48.796216680997418</v>
      </c>
      <c r="AU147" s="676">
        <v>0.88372981752173496</v>
      </c>
      <c r="AV147" s="676">
        <v>0</v>
      </c>
      <c r="AW147" s="676">
        <v>47.912486863475685</v>
      </c>
      <c r="AX147" s="676">
        <v>0</v>
      </c>
      <c r="AY147" s="676">
        <v>0</v>
      </c>
      <c r="AZ147" s="674">
        <v>2.6750740422279544</v>
      </c>
      <c r="BA147" s="676"/>
      <c r="BB147" s="676"/>
      <c r="BC147" s="676"/>
      <c r="BD147" s="676">
        <v>0</v>
      </c>
      <c r="BE147" s="676"/>
      <c r="BF147" s="676">
        <v>2.6750740422279544</v>
      </c>
      <c r="BG147" s="676">
        <v>0</v>
      </c>
      <c r="BH147" s="676">
        <v>0</v>
      </c>
      <c r="BI147" s="676">
        <v>0</v>
      </c>
      <c r="BJ147" s="676">
        <v>0</v>
      </c>
      <c r="BK147" s="676">
        <v>0</v>
      </c>
      <c r="BL147" s="676">
        <v>0</v>
      </c>
      <c r="BM147" s="676">
        <v>0</v>
      </c>
      <c r="BN147" s="676">
        <v>0</v>
      </c>
      <c r="BO147" s="674">
        <v>0</v>
      </c>
      <c r="BP147" s="676">
        <v>0</v>
      </c>
      <c r="BQ147" s="676">
        <v>0</v>
      </c>
      <c r="BR147" s="675"/>
      <c r="BS147" s="675">
        <v>0.14330753797649756</v>
      </c>
      <c r="BT147" s="674">
        <v>457.27046909334098</v>
      </c>
    </row>
    <row r="148" spans="1:72">
      <c r="A148" s="681"/>
      <c r="B148" s="680" t="s">
        <v>968</v>
      </c>
      <c r="C148" s="679" t="s">
        <v>1018</v>
      </c>
      <c r="D148" s="679"/>
      <c r="E148" s="679"/>
      <c r="F148" s="678" t="s">
        <v>1017</v>
      </c>
      <c r="G148" s="678"/>
      <c r="H148" s="677">
        <v>1420.2971242954045</v>
      </c>
      <c r="I148" s="674">
        <v>227.40517817903887</v>
      </c>
      <c r="J148" s="676">
        <v>0</v>
      </c>
      <c r="K148" s="676">
        <v>0</v>
      </c>
      <c r="L148" s="676">
        <v>187.92395146651378</v>
      </c>
      <c r="M148" s="676">
        <v>0</v>
      </c>
      <c r="N148" s="676">
        <v>0</v>
      </c>
      <c r="O148" s="676">
        <v>0</v>
      </c>
      <c r="P148" s="676">
        <v>39.481226712525078</v>
      </c>
      <c r="Q148" s="676">
        <v>0</v>
      </c>
      <c r="R148" s="676">
        <v>0</v>
      </c>
      <c r="S148" s="676">
        <v>0</v>
      </c>
      <c r="T148" s="676">
        <v>0</v>
      </c>
      <c r="U148" s="676">
        <v>0</v>
      </c>
      <c r="V148" s="676">
        <v>0</v>
      </c>
      <c r="W148" s="674">
        <v>324.20942008216298</v>
      </c>
      <c r="X148" s="676"/>
      <c r="Y148" s="676"/>
      <c r="Z148" s="676"/>
      <c r="AA148" s="676"/>
      <c r="AB148" s="676"/>
      <c r="AC148" s="676"/>
      <c r="AD148" s="676">
        <v>259.86433553071555</v>
      </c>
      <c r="AE148" s="676">
        <v>39.648418840164325</v>
      </c>
      <c r="AF148" s="676"/>
      <c r="AG148" s="676"/>
      <c r="AH148" s="676"/>
      <c r="AI148" s="676"/>
      <c r="AJ148" s="676"/>
      <c r="AK148" s="676"/>
      <c r="AL148" s="676">
        <v>24.696665711283078</v>
      </c>
      <c r="AM148" s="676">
        <v>0</v>
      </c>
      <c r="AN148" s="676"/>
      <c r="AO148" s="676"/>
      <c r="AP148" s="676"/>
      <c r="AQ148" s="676"/>
      <c r="AR148" s="676"/>
      <c r="AS148" s="676"/>
      <c r="AT148" s="674">
        <v>122.40852202159166</v>
      </c>
      <c r="AU148" s="676">
        <v>104.39954141587847</v>
      </c>
      <c r="AV148" s="676">
        <v>0</v>
      </c>
      <c r="AW148" s="676">
        <v>18.008980605713194</v>
      </c>
      <c r="AX148" s="676">
        <v>0</v>
      </c>
      <c r="AY148" s="676">
        <v>0</v>
      </c>
      <c r="AZ148" s="674">
        <v>67.927773000859844</v>
      </c>
      <c r="BA148" s="676"/>
      <c r="BB148" s="676"/>
      <c r="BC148" s="676"/>
      <c r="BD148" s="676">
        <v>0</v>
      </c>
      <c r="BE148" s="676"/>
      <c r="BF148" s="676">
        <v>65.013853062004387</v>
      </c>
      <c r="BG148" s="676">
        <v>0</v>
      </c>
      <c r="BH148" s="676">
        <v>0</v>
      </c>
      <c r="BI148" s="676">
        <v>2.9139199388554502</v>
      </c>
      <c r="BJ148" s="676">
        <v>0</v>
      </c>
      <c r="BK148" s="676">
        <v>0</v>
      </c>
      <c r="BL148" s="676">
        <v>0</v>
      </c>
      <c r="BM148" s="676">
        <v>0</v>
      </c>
      <c r="BN148" s="676">
        <v>0</v>
      </c>
      <c r="BO148" s="674">
        <v>2.9139199388554502</v>
      </c>
      <c r="BP148" s="676">
        <v>0</v>
      </c>
      <c r="BQ148" s="676">
        <v>2.9139199388554502</v>
      </c>
      <c r="BR148" s="675"/>
      <c r="BS148" s="675">
        <v>12.754370879908283</v>
      </c>
      <c r="BT148" s="674">
        <v>662.67794019298742</v>
      </c>
    </row>
    <row r="149" spans="1:72">
      <c r="A149" s="681"/>
      <c r="B149" s="680" t="s">
        <v>968</v>
      </c>
      <c r="C149" s="679" t="s">
        <v>1016</v>
      </c>
      <c r="D149" s="679"/>
      <c r="E149" s="679"/>
      <c r="F149" s="678" t="s">
        <v>1015</v>
      </c>
      <c r="G149" s="678"/>
      <c r="H149" s="677">
        <v>1750.477691793255</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20.636285468615647</v>
      </c>
      <c r="X149" s="676"/>
      <c r="Y149" s="676"/>
      <c r="Z149" s="676"/>
      <c r="AA149" s="676"/>
      <c r="AB149" s="676"/>
      <c r="AC149" s="676"/>
      <c r="AD149" s="676"/>
      <c r="AE149" s="676">
        <v>16.52813604662272</v>
      </c>
      <c r="AF149" s="676"/>
      <c r="AG149" s="676"/>
      <c r="AH149" s="676"/>
      <c r="AI149" s="676"/>
      <c r="AJ149" s="676"/>
      <c r="AK149" s="676"/>
      <c r="AL149" s="676">
        <v>4.1081494219929295</v>
      </c>
      <c r="AM149" s="676">
        <v>0</v>
      </c>
      <c r="AN149" s="676"/>
      <c r="AO149" s="676"/>
      <c r="AP149" s="676"/>
      <c r="AQ149" s="676"/>
      <c r="AR149" s="676"/>
      <c r="AS149" s="676"/>
      <c r="AT149" s="674">
        <v>38.836342791630841</v>
      </c>
      <c r="AU149" s="676">
        <v>38.836342791630841</v>
      </c>
      <c r="AV149" s="676">
        <v>0</v>
      </c>
      <c r="AW149" s="676">
        <v>0</v>
      </c>
      <c r="AX149" s="676">
        <v>0</v>
      </c>
      <c r="AY149" s="676">
        <v>0</v>
      </c>
      <c r="AZ149" s="674">
        <v>0</v>
      </c>
      <c r="BA149" s="676"/>
      <c r="BB149" s="676"/>
      <c r="BC149" s="676"/>
      <c r="BD149" s="676">
        <v>0</v>
      </c>
      <c r="BE149" s="676"/>
      <c r="BF149" s="676">
        <v>0</v>
      </c>
      <c r="BG149" s="676">
        <v>0</v>
      </c>
      <c r="BH149" s="676">
        <v>0</v>
      </c>
      <c r="BI149" s="676">
        <v>0</v>
      </c>
      <c r="BJ149" s="676">
        <v>0</v>
      </c>
      <c r="BK149" s="676">
        <v>0</v>
      </c>
      <c r="BL149" s="676">
        <v>0</v>
      </c>
      <c r="BM149" s="676">
        <v>0</v>
      </c>
      <c r="BN149" s="676">
        <v>0</v>
      </c>
      <c r="BO149" s="674">
        <v>0</v>
      </c>
      <c r="BP149" s="676">
        <v>0</v>
      </c>
      <c r="BQ149" s="676">
        <v>0</v>
      </c>
      <c r="BR149" s="675"/>
      <c r="BS149" s="675">
        <v>0.62099933123148943</v>
      </c>
      <c r="BT149" s="674">
        <v>1690.3601796121143</v>
      </c>
    </row>
    <row r="150" spans="1:72">
      <c r="A150" s="681"/>
      <c r="B150" s="680" t="s">
        <v>968</v>
      </c>
      <c r="C150" s="679" t="s">
        <v>1014</v>
      </c>
      <c r="D150" s="679"/>
      <c r="E150" s="679"/>
      <c r="F150" s="678" t="s">
        <v>1013</v>
      </c>
      <c r="G150" s="678"/>
      <c r="H150" s="677">
        <v>303.66867297219829</v>
      </c>
      <c r="I150" s="674">
        <v>76.645648227763445</v>
      </c>
      <c r="J150" s="676">
        <v>0</v>
      </c>
      <c r="K150" s="676">
        <v>0</v>
      </c>
      <c r="L150" s="676">
        <v>67.11569695232636</v>
      </c>
      <c r="M150" s="676">
        <v>0</v>
      </c>
      <c r="N150" s="676">
        <v>0</v>
      </c>
      <c r="O150" s="676">
        <v>0</v>
      </c>
      <c r="P150" s="676">
        <v>9.529951275437087</v>
      </c>
      <c r="Q150" s="676">
        <v>0</v>
      </c>
      <c r="R150" s="676">
        <v>0</v>
      </c>
      <c r="S150" s="676">
        <v>0</v>
      </c>
      <c r="T150" s="676">
        <v>0</v>
      </c>
      <c r="U150" s="676">
        <v>0</v>
      </c>
      <c r="V150" s="676">
        <v>0</v>
      </c>
      <c r="W150" s="674">
        <v>54.791248686347565</v>
      </c>
      <c r="X150" s="676"/>
      <c r="Y150" s="676"/>
      <c r="Z150" s="676"/>
      <c r="AA150" s="676"/>
      <c r="AB150" s="676"/>
      <c r="AC150" s="676"/>
      <c r="AD150" s="676"/>
      <c r="AE150" s="676">
        <v>26.416356167001048</v>
      </c>
      <c r="AF150" s="676"/>
      <c r="AG150" s="676"/>
      <c r="AH150" s="676"/>
      <c r="AI150" s="676"/>
      <c r="AJ150" s="676"/>
      <c r="AK150" s="676"/>
      <c r="AL150" s="676">
        <v>17.507404222795451</v>
      </c>
      <c r="AM150" s="676">
        <v>0</v>
      </c>
      <c r="AN150" s="676"/>
      <c r="AO150" s="676"/>
      <c r="AP150" s="676"/>
      <c r="AQ150" s="676">
        <v>10.867488296551064</v>
      </c>
      <c r="AR150" s="676"/>
      <c r="AS150" s="676"/>
      <c r="AT150" s="674">
        <v>50.133753702111392</v>
      </c>
      <c r="AU150" s="676">
        <v>46.26445017674596</v>
      </c>
      <c r="AV150" s="676">
        <v>0</v>
      </c>
      <c r="AW150" s="676">
        <v>3.8693035253654342</v>
      </c>
      <c r="AX150" s="676">
        <v>0</v>
      </c>
      <c r="AY150" s="676">
        <v>0</v>
      </c>
      <c r="AZ150" s="674">
        <v>28.589853826311263</v>
      </c>
      <c r="BA150" s="676"/>
      <c r="BB150" s="676"/>
      <c r="BC150" s="676"/>
      <c r="BD150" s="676">
        <v>0</v>
      </c>
      <c r="BE150" s="676"/>
      <c r="BF150" s="676">
        <v>21.949937900066875</v>
      </c>
      <c r="BG150" s="676">
        <v>0</v>
      </c>
      <c r="BH150" s="676">
        <v>0</v>
      </c>
      <c r="BI150" s="676">
        <v>6.6399159262443872</v>
      </c>
      <c r="BJ150" s="676">
        <v>0</v>
      </c>
      <c r="BK150" s="676">
        <v>0</v>
      </c>
      <c r="BL150" s="676">
        <v>0</v>
      </c>
      <c r="BM150" s="676">
        <v>0</v>
      </c>
      <c r="BN150" s="676">
        <v>0</v>
      </c>
      <c r="BO150" s="674">
        <v>6.6399159262443872</v>
      </c>
      <c r="BP150" s="676">
        <v>0</v>
      </c>
      <c r="BQ150" s="676">
        <v>6.6399159262443872</v>
      </c>
      <c r="BR150" s="675"/>
      <c r="BS150" s="675">
        <v>0.38215343460399348</v>
      </c>
      <c r="BT150" s="674">
        <v>86.509983758479024</v>
      </c>
    </row>
    <row r="151" spans="1:72">
      <c r="A151" s="681"/>
      <c r="B151" s="680" t="s">
        <v>968</v>
      </c>
      <c r="C151" s="679" t="s">
        <v>1012</v>
      </c>
      <c r="D151" s="679"/>
      <c r="E151" s="679"/>
      <c r="F151" s="678" t="s">
        <v>1011</v>
      </c>
      <c r="G151" s="678"/>
      <c r="H151" s="677">
        <v>64.488392089423897</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8.5267985096016048</v>
      </c>
      <c r="X151" s="676"/>
      <c r="Y151" s="676"/>
      <c r="Z151" s="676"/>
      <c r="AA151" s="676"/>
      <c r="AB151" s="676"/>
      <c r="AC151" s="676"/>
      <c r="AD151" s="676"/>
      <c r="AE151" s="676">
        <v>4.3947644979459248</v>
      </c>
      <c r="AF151" s="676"/>
      <c r="AG151" s="676"/>
      <c r="AH151" s="676"/>
      <c r="AI151" s="676"/>
      <c r="AJ151" s="676"/>
      <c r="AK151" s="676"/>
      <c r="AL151" s="676">
        <v>4.1081494219929295</v>
      </c>
      <c r="AM151" s="676">
        <v>0</v>
      </c>
      <c r="AN151" s="676"/>
      <c r="AO151" s="676"/>
      <c r="AP151" s="676"/>
      <c r="AQ151" s="676"/>
      <c r="AR151" s="676"/>
      <c r="AS151" s="676"/>
      <c r="AT151" s="674">
        <v>1.1942294831374796</v>
      </c>
      <c r="AU151" s="676">
        <v>1.1942294831374796</v>
      </c>
      <c r="AV151" s="676">
        <v>0</v>
      </c>
      <c r="AW151" s="676">
        <v>0</v>
      </c>
      <c r="AX151" s="676">
        <v>0</v>
      </c>
      <c r="AY151" s="676">
        <v>0</v>
      </c>
      <c r="AZ151" s="674">
        <v>7.1653768988248781E-2</v>
      </c>
      <c r="BA151" s="676"/>
      <c r="BB151" s="676"/>
      <c r="BC151" s="676"/>
      <c r="BD151" s="676">
        <v>0</v>
      </c>
      <c r="BE151" s="676"/>
      <c r="BF151" s="676">
        <v>7.1653768988248781E-2</v>
      </c>
      <c r="BG151" s="676">
        <v>0</v>
      </c>
      <c r="BH151" s="676">
        <v>0</v>
      </c>
      <c r="BI151" s="676">
        <v>0</v>
      </c>
      <c r="BJ151" s="676">
        <v>0</v>
      </c>
      <c r="BK151" s="676">
        <v>0</v>
      </c>
      <c r="BL151" s="676">
        <v>0</v>
      </c>
      <c r="BM151" s="676">
        <v>0</v>
      </c>
      <c r="BN151" s="676">
        <v>0</v>
      </c>
      <c r="BO151" s="674">
        <v>0</v>
      </c>
      <c r="BP151" s="676">
        <v>0</v>
      </c>
      <c r="BQ151" s="676">
        <v>0</v>
      </c>
      <c r="BR151" s="675"/>
      <c r="BS151" s="675">
        <v>2.6750740422279544</v>
      </c>
      <c r="BT151" s="674">
        <v>52.020636285468612</v>
      </c>
    </row>
    <row r="152" spans="1:72">
      <c r="A152" s="681"/>
      <c r="B152" s="680" t="s">
        <v>968</v>
      </c>
      <c r="C152" s="679" t="s">
        <v>1010</v>
      </c>
      <c r="D152" s="679"/>
      <c r="E152" s="679"/>
      <c r="F152" s="678" t="s">
        <v>1009</v>
      </c>
      <c r="G152" s="678"/>
      <c r="H152" s="677">
        <v>138.96054265787714</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13.590331518104518</v>
      </c>
      <c r="X152" s="676"/>
      <c r="Y152" s="676"/>
      <c r="Z152" s="676"/>
      <c r="AA152" s="676"/>
      <c r="AB152" s="676"/>
      <c r="AC152" s="676"/>
      <c r="AD152" s="676"/>
      <c r="AE152" s="676">
        <v>3.2960733734594436</v>
      </c>
      <c r="AF152" s="676"/>
      <c r="AG152" s="676"/>
      <c r="AH152" s="676"/>
      <c r="AI152" s="676"/>
      <c r="AJ152" s="676"/>
      <c r="AK152" s="676"/>
      <c r="AL152" s="676">
        <v>10.294258144645074</v>
      </c>
      <c r="AM152" s="676">
        <v>0</v>
      </c>
      <c r="AN152" s="676"/>
      <c r="AO152" s="676"/>
      <c r="AP152" s="676"/>
      <c r="AQ152" s="676"/>
      <c r="AR152" s="676"/>
      <c r="AS152" s="676"/>
      <c r="AT152" s="674">
        <v>3.5349192700869398</v>
      </c>
      <c r="AU152" s="676">
        <v>3.5349192700869398</v>
      </c>
      <c r="AV152" s="676">
        <v>0</v>
      </c>
      <c r="AW152" s="676">
        <v>0</v>
      </c>
      <c r="AX152" s="676">
        <v>0</v>
      </c>
      <c r="AY152" s="676">
        <v>0</v>
      </c>
      <c r="AZ152" s="674">
        <v>9.553835865099837E-2</v>
      </c>
      <c r="BA152" s="676"/>
      <c r="BB152" s="676"/>
      <c r="BC152" s="676"/>
      <c r="BD152" s="676">
        <v>0</v>
      </c>
      <c r="BE152" s="676"/>
      <c r="BF152" s="676">
        <v>9.553835865099837E-2</v>
      </c>
      <c r="BG152" s="676">
        <v>0</v>
      </c>
      <c r="BH152" s="676">
        <v>0</v>
      </c>
      <c r="BI152" s="676">
        <v>0</v>
      </c>
      <c r="BJ152" s="676">
        <v>0</v>
      </c>
      <c r="BK152" s="676">
        <v>0</v>
      </c>
      <c r="BL152" s="676">
        <v>0</v>
      </c>
      <c r="BM152" s="676">
        <v>0</v>
      </c>
      <c r="BN152" s="676">
        <v>0</v>
      </c>
      <c r="BO152" s="674">
        <v>0</v>
      </c>
      <c r="BP152" s="676">
        <v>0</v>
      </c>
      <c r="BQ152" s="676">
        <v>0</v>
      </c>
      <c r="BR152" s="675"/>
      <c r="BS152" s="675">
        <v>3.3438425527849431</v>
      </c>
      <c r="BT152" s="674">
        <v>118.39591095824973</v>
      </c>
    </row>
    <row r="153" spans="1:72">
      <c r="A153" s="681"/>
      <c r="B153" s="680" t="s">
        <v>968</v>
      </c>
      <c r="C153" s="679" t="s">
        <v>1008</v>
      </c>
      <c r="D153" s="679"/>
      <c r="E153" s="679"/>
      <c r="F153" s="678" t="s">
        <v>1007</v>
      </c>
      <c r="G153" s="678"/>
      <c r="H153" s="677">
        <v>116.8911818094965</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60.810165281360462</v>
      </c>
      <c r="X153" s="676"/>
      <c r="Y153" s="676"/>
      <c r="Z153" s="676"/>
      <c r="AA153" s="676"/>
      <c r="AB153" s="676"/>
      <c r="AC153" s="676"/>
      <c r="AD153" s="676"/>
      <c r="AE153" s="676">
        <v>1.0986911244864812</v>
      </c>
      <c r="AF153" s="676"/>
      <c r="AG153" s="676"/>
      <c r="AH153" s="676"/>
      <c r="AI153" s="676"/>
      <c r="AJ153" s="676"/>
      <c r="AK153" s="676"/>
      <c r="AL153" s="676">
        <v>59.711474156873983</v>
      </c>
      <c r="AM153" s="676">
        <v>0</v>
      </c>
      <c r="AN153" s="676"/>
      <c r="AO153" s="676"/>
      <c r="AP153" s="676"/>
      <c r="AQ153" s="676"/>
      <c r="AR153" s="676"/>
      <c r="AS153" s="676"/>
      <c r="AT153" s="674">
        <v>3.9648418840164323</v>
      </c>
      <c r="AU153" s="676">
        <v>3.9648418840164323</v>
      </c>
      <c r="AV153" s="676">
        <v>0</v>
      </c>
      <c r="AW153" s="676">
        <v>0</v>
      </c>
      <c r="AX153" s="676">
        <v>0</v>
      </c>
      <c r="AY153" s="676">
        <v>0</v>
      </c>
      <c r="AZ153" s="674">
        <v>0</v>
      </c>
      <c r="BA153" s="676"/>
      <c r="BB153" s="676"/>
      <c r="BC153" s="676"/>
      <c r="BD153" s="676">
        <v>0</v>
      </c>
      <c r="BE153" s="676"/>
      <c r="BF153" s="676">
        <v>0</v>
      </c>
      <c r="BG153" s="676">
        <v>0</v>
      </c>
      <c r="BH153" s="676">
        <v>0</v>
      </c>
      <c r="BI153" s="676">
        <v>0</v>
      </c>
      <c r="BJ153" s="676">
        <v>0</v>
      </c>
      <c r="BK153" s="676">
        <v>0</v>
      </c>
      <c r="BL153" s="676">
        <v>0</v>
      </c>
      <c r="BM153" s="676">
        <v>0</v>
      </c>
      <c r="BN153" s="676">
        <v>0</v>
      </c>
      <c r="BO153" s="674">
        <v>0</v>
      </c>
      <c r="BP153" s="676">
        <v>0</v>
      </c>
      <c r="BQ153" s="676">
        <v>0</v>
      </c>
      <c r="BR153" s="675"/>
      <c r="BS153" s="675">
        <v>0.11942294831374796</v>
      </c>
      <c r="BT153" s="674">
        <v>52.020636285468612</v>
      </c>
    </row>
    <row r="154" spans="1:72">
      <c r="A154" s="681"/>
      <c r="B154" s="680" t="s">
        <v>968</v>
      </c>
      <c r="C154" s="679" t="s">
        <v>1006</v>
      </c>
      <c r="D154" s="679"/>
      <c r="E154" s="679"/>
      <c r="F154" s="678" t="s">
        <v>1005</v>
      </c>
      <c r="G154" s="678"/>
      <c r="H154" s="677">
        <v>393.14034584885832</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68.262157256138337</v>
      </c>
      <c r="X154" s="676"/>
      <c r="Y154" s="676"/>
      <c r="Z154" s="676"/>
      <c r="AA154" s="676"/>
      <c r="AB154" s="676"/>
      <c r="AC154" s="676"/>
      <c r="AD154" s="676"/>
      <c r="AE154" s="676">
        <v>20.922900544568645</v>
      </c>
      <c r="AF154" s="676"/>
      <c r="AG154" s="676"/>
      <c r="AH154" s="676"/>
      <c r="AI154" s="676"/>
      <c r="AJ154" s="676"/>
      <c r="AK154" s="676"/>
      <c r="AL154" s="676">
        <v>47.363141301232446</v>
      </c>
      <c r="AM154" s="676">
        <v>0</v>
      </c>
      <c r="AN154" s="676"/>
      <c r="AO154" s="676"/>
      <c r="AP154" s="676"/>
      <c r="AQ154" s="676"/>
      <c r="AR154" s="676"/>
      <c r="AS154" s="676"/>
      <c r="AT154" s="674">
        <v>42.490685010031527</v>
      </c>
      <c r="AU154" s="676">
        <v>42.490685010031527</v>
      </c>
      <c r="AV154" s="676">
        <v>0</v>
      </c>
      <c r="AW154" s="676">
        <v>0</v>
      </c>
      <c r="AX154" s="676">
        <v>0</v>
      </c>
      <c r="AY154" s="676">
        <v>0</v>
      </c>
      <c r="AZ154" s="674">
        <v>4.1081494219929295</v>
      </c>
      <c r="BA154" s="676"/>
      <c r="BB154" s="676"/>
      <c r="BC154" s="676"/>
      <c r="BD154" s="676">
        <v>0</v>
      </c>
      <c r="BE154" s="676"/>
      <c r="BF154" s="676">
        <v>4.1081494219929295</v>
      </c>
      <c r="BG154" s="676">
        <v>0</v>
      </c>
      <c r="BH154" s="676">
        <v>0</v>
      </c>
      <c r="BI154" s="676">
        <v>0</v>
      </c>
      <c r="BJ154" s="676">
        <v>0</v>
      </c>
      <c r="BK154" s="676">
        <v>0</v>
      </c>
      <c r="BL154" s="676">
        <v>0</v>
      </c>
      <c r="BM154" s="676">
        <v>0</v>
      </c>
      <c r="BN154" s="676">
        <v>0</v>
      </c>
      <c r="BO154" s="674">
        <v>0</v>
      </c>
      <c r="BP154" s="676">
        <v>0</v>
      </c>
      <c r="BQ154" s="676">
        <v>0</v>
      </c>
      <c r="BR154" s="675"/>
      <c r="BS154" s="675">
        <v>17.817903888411195</v>
      </c>
      <c r="BT154" s="674">
        <v>260.43756568262154</v>
      </c>
    </row>
    <row r="155" spans="1:72">
      <c r="A155" s="681"/>
      <c r="B155" s="680" t="s">
        <v>968</v>
      </c>
      <c r="C155" s="679" t="s">
        <v>1004</v>
      </c>
      <c r="D155" s="679"/>
      <c r="E155" s="679"/>
      <c r="F155" s="678" t="s">
        <v>1003</v>
      </c>
      <c r="G155" s="678"/>
      <c r="H155" s="677">
        <v>395.26607432884299</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6.7593388745581349</v>
      </c>
      <c r="X155" s="676"/>
      <c r="Y155" s="676"/>
      <c r="Z155" s="676"/>
      <c r="AA155" s="676"/>
      <c r="AB155" s="676"/>
      <c r="AC155" s="676"/>
      <c r="AD155" s="676"/>
      <c r="AE155" s="676"/>
      <c r="AF155" s="676"/>
      <c r="AG155" s="676"/>
      <c r="AH155" s="676"/>
      <c r="AI155" s="676"/>
      <c r="AJ155" s="676"/>
      <c r="AK155" s="676"/>
      <c r="AL155" s="676">
        <v>1.0270373554982324</v>
      </c>
      <c r="AM155" s="676">
        <v>5.7323015190599023</v>
      </c>
      <c r="AN155" s="676"/>
      <c r="AO155" s="676"/>
      <c r="AP155" s="676"/>
      <c r="AQ155" s="676"/>
      <c r="AR155" s="676"/>
      <c r="AS155" s="676"/>
      <c r="AT155" s="674">
        <v>14.068023311359511</v>
      </c>
      <c r="AU155" s="676">
        <v>14.068023311359511</v>
      </c>
      <c r="AV155" s="676">
        <v>0</v>
      </c>
      <c r="AW155" s="676">
        <v>0</v>
      </c>
      <c r="AX155" s="676">
        <v>0</v>
      </c>
      <c r="AY155" s="676">
        <v>0</v>
      </c>
      <c r="AZ155" s="674">
        <v>60.547434795070217</v>
      </c>
      <c r="BA155" s="676"/>
      <c r="BB155" s="676"/>
      <c r="BC155" s="676"/>
      <c r="BD155" s="676">
        <v>0</v>
      </c>
      <c r="BE155" s="676"/>
      <c r="BF155" s="676">
        <v>58.49336008407375</v>
      </c>
      <c r="BG155" s="676">
        <v>0</v>
      </c>
      <c r="BH155" s="676">
        <v>2.0540747109964648</v>
      </c>
      <c r="BI155" s="676">
        <v>0</v>
      </c>
      <c r="BJ155" s="676">
        <v>0</v>
      </c>
      <c r="BK155" s="676">
        <v>0</v>
      </c>
      <c r="BL155" s="676">
        <v>0</v>
      </c>
      <c r="BM155" s="676">
        <v>0</v>
      </c>
      <c r="BN155" s="676">
        <v>0</v>
      </c>
      <c r="BO155" s="674">
        <v>0</v>
      </c>
      <c r="BP155" s="676">
        <v>0</v>
      </c>
      <c r="BQ155" s="676">
        <v>0</v>
      </c>
      <c r="BR155" s="675"/>
      <c r="BS155" s="675">
        <v>6.9265310021973816</v>
      </c>
      <c r="BT155" s="674">
        <v>306.96474634565777</v>
      </c>
    </row>
    <row r="156" spans="1:72">
      <c r="A156" s="681"/>
      <c r="B156" s="680" t="s">
        <v>968</v>
      </c>
      <c r="C156" s="679" t="s">
        <v>1002</v>
      </c>
      <c r="D156" s="679"/>
      <c r="E156" s="679"/>
      <c r="F156" s="678" t="s">
        <v>1001</v>
      </c>
      <c r="G156" s="678"/>
      <c r="H156" s="677">
        <v>141.80280882774434</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7.2131460781503769</v>
      </c>
      <c r="X156" s="676"/>
      <c r="Y156" s="676"/>
      <c r="Z156" s="676"/>
      <c r="AA156" s="676"/>
      <c r="AB156" s="676"/>
      <c r="AC156" s="676"/>
      <c r="AD156" s="676"/>
      <c r="AE156" s="676"/>
      <c r="AF156" s="676"/>
      <c r="AG156" s="676"/>
      <c r="AH156" s="676"/>
      <c r="AI156" s="676"/>
      <c r="AJ156" s="676"/>
      <c r="AK156" s="676"/>
      <c r="AL156" s="676">
        <v>7.2131460781503769</v>
      </c>
      <c r="AM156" s="676">
        <v>0</v>
      </c>
      <c r="AN156" s="676"/>
      <c r="AO156" s="676"/>
      <c r="AP156" s="676"/>
      <c r="AQ156" s="676"/>
      <c r="AR156" s="676"/>
      <c r="AS156" s="676"/>
      <c r="AT156" s="674">
        <v>2.4839973249259577</v>
      </c>
      <c r="AU156" s="676">
        <v>2.4839973249259577</v>
      </c>
      <c r="AV156" s="676">
        <v>0</v>
      </c>
      <c r="AW156" s="676">
        <v>0</v>
      </c>
      <c r="AX156" s="676">
        <v>0</v>
      </c>
      <c r="AY156" s="676">
        <v>0</v>
      </c>
      <c r="AZ156" s="674">
        <v>68.692079870067829</v>
      </c>
      <c r="BA156" s="676"/>
      <c r="BB156" s="676"/>
      <c r="BC156" s="676"/>
      <c r="BD156" s="676">
        <v>0</v>
      </c>
      <c r="BE156" s="676"/>
      <c r="BF156" s="676">
        <v>68.692079870067829</v>
      </c>
      <c r="BG156" s="676">
        <v>0</v>
      </c>
      <c r="BH156" s="676">
        <v>0</v>
      </c>
      <c r="BI156" s="676">
        <v>0</v>
      </c>
      <c r="BJ156" s="676">
        <v>0</v>
      </c>
      <c r="BK156" s="676">
        <v>0</v>
      </c>
      <c r="BL156" s="676">
        <v>0</v>
      </c>
      <c r="BM156" s="676">
        <v>0</v>
      </c>
      <c r="BN156" s="676">
        <v>0</v>
      </c>
      <c r="BO156" s="674">
        <v>0</v>
      </c>
      <c r="BP156" s="676">
        <v>0</v>
      </c>
      <c r="BQ156" s="676">
        <v>0</v>
      </c>
      <c r="BR156" s="675"/>
      <c r="BS156" s="675">
        <v>5.3740326741186584</v>
      </c>
      <c r="BT156" s="674">
        <v>58.039552880481509</v>
      </c>
    </row>
    <row r="157" spans="1:72">
      <c r="A157" s="681"/>
      <c r="B157" s="680" t="s">
        <v>968</v>
      </c>
      <c r="C157" s="679" t="s">
        <v>1000</v>
      </c>
      <c r="D157" s="679"/>
      <c r="E157" s="679"/>
      <c r="F157" s="678" t="s">
        <v>999</v>
      </c>
      <c r="G157" s="678"/>
      <c r="H157" s="677">
        <v>276.79850960160502</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161.96140250310498</v>
      </c>
      <c r="X157" s="676"/>
      <c r="Y157" s="676"/>
      <c r="Z157" s="676"/>
      <c r="AA157" s="676"/>
      <c r="AB157" s="676"/>
      <c r="AC157" s="676"/>
      <c r="AD157" s="676"/>
      <c r="AE157" s="676">
        <v>20.922900544568645</v>
      </c>
      <c r="AF157" s="676"/>
      <c r="AG157" s="676"/>
      <c r="AH157" s="676"/>
      <c r="AI157" s="676"/>
      <c r="AJ157" s="676"/>
      <c r="AK157" s="676"/>
      <c r="AL157" s="676">
        <v>141.03850195853636</v>
      </c>
      <c r="AM157" s="676">
        <v>0</v>
      </c>
      <c r="AN157" s="676"/>
      <c r="AO157" s="676"/>
      <c r="AP157" s="676"/>
      <c r="AQ157" s="676"/>
      <c r="AR157" s="676"/>
      <c r="AS157" s="676"/>
      <c r="AT157" s="674">
        <v>0.5493455622432406</v>
      </c>
      <c r="AU157" s="676">
        <v>0.5493455622432406</v>
      </c>
      <c r="AV157" s="676">
        <v>0</v>
      </c>
      <c r="AW157" s="676">
        <v>0</v>
      </c>
      <c r="AX157" s="676">
        <v>0</v>
      </c>
      <c r="AY157" s="676">
        <v>0</v>
      </c>
      <c r="AZ157" s="674">
        <v>4.4903028565969239</v>
      </c>
      <c r="BA157" s="676"/>
      <c r="BB157" s="676"/>
      <c r="BC157" s="676"/>
      <c r="BD157" s="676">
        <v>0</v>
      </c>
      <c r="BE157" s="676"/>
      <c r="BF157" s="676">
        <v>4.4903028565969239</v>
      </c>
      <c r="BG157" s="676">
        <v>0</v>
      </c>
      <c r="BH157" s="676">
        <v>0</v>
      </c>
      <c r="BI157" s="676">
        <v>0</v>
      </c>
      <c r="BJ157" s="676">
        <v>0</v>
      </c>
      <c r="BK157" s="676">
        <v>0</v>
      </c>
      <c r="BL157" s="676">
        <v>0</v>
      </c>
      <c r="BM157" s="676">
        <v>0</v>
      </c>
      <c r="BN157" s="676">
        <v>0</v>
      </c>
      <c r="BO157" s="674">
        <v>0</v>
      </c>
      <c r="BP157" s="676">
        <v>0</v>
      </c>
      <c r="BQ157" s="676">
        <v>0</v>
      </c>
      <c r="BR157" s="675"/>
      <c r="BS157" s="675">
        <v>0</v>
      </c>
      <c r="BT157" s="674">
        <v>109.79745867965988</v>
      </c>
    </row>
    <row r="158" spans="1:72">
      <c r="A158" s="681"/>
      <c r="B158" s="680" t="s">
        <v>968</v>
      </c>
      <c r="C158" s="679" t="s">
        <v>998</v>
      </c>
      <c r="D158" s="679"/>
      <c r="E158" s="679"/>
      <c r="F158" s="678" t="s">
        <v>997</v>
      </c>
      <c r="G158" s="678"/>
      <c r="H158" s="677">
        <v>10.986911244864812</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2.1257284799847138</v>
      </c>
      <c r="X158" s="676"/>
      <c r="Y158" s="676"/>
      <c r="Z158" s="676"/>
      <c r="AA158" s="676"/>
      <c r="AB158" s="676"/>
      <c r="AC158" s="676"/>
      <c r="AD158" s="676"/>
      <c r="AE158" s="676">
        <v>1.0986911244864812</v>
      </c>
      <c r="AF158" s="676"/>
      <c r="AG158" s="676"/>
      <c r="AH158" s="676"/>
      <c r="AI158" s="676"/>
      <c r="AJ158" s="676"/>
      <c r="AK158" s="676"/>
      <c r="AL158" s="676">
        <v>1.0270373554982324</v>
      </c>
      <c r="AM158" s="676">
        <v>0</v>
      </c>
      <c r="AN158" s="676"/>
      <c r="AO158" s="676"/>
      <c r="AP158" s="676"/>
      <c r="AQ158" s="676"/>
      <c r="AR158" s="676"/>
      <c r="AS158" s="676"/>
      <c r="AT158" s="674">
        <v>0.5493455622432406</v>
      </c>
      <c r="AU158" s="676">
        <v>0.5493455622432406</v>
      </c>
      <c r="AV158" s="676">
        <v>0</v>
      </c>
      <c r="AW158" s="676">
        <v>0</v>
      </c>
      <c r="AX158" s="676">
        <v>0</v>
      </c>
      <c r="AY158" s="676">
        <v>0</v>
      </c>
      <c r="AZ158" s="674">
        <v>2.3884589662749593E-2</v>
      </c>
      <c r="BA158" s="676"/>
      <c r="BB158" s="676"/>
      <c r="BC158" s="676"/>
      <c r="BD158" s="676">
        <v>0</v>
      </c>
      <c r="BE158" s="676"/>
      <c r="BF158" s="676">
        <v>2.3884589662749593E-2</v>
      </c>
      <c r="BG158" s="676">
        <v>0</v>
      </c>
      <c r="BH158" s="676">
        <v>0</v>
      </c>
      <c r="BI158" s="676">
        <v>0</v>
      </c>
      <c r="BJ158" s="676">
        <v>0</v>
      </c>
      <c r="BK158" s="676">
        <v>0</v>
      </c>
      <c r="BL158" s="676">
        <v>0</v>
      </c>
      <c r="BM158" s="676">
        <v>0</v>
      </c>
      <c r="BN158" s="676">
        <v>0</v>
      </c>
      <c r="BO158" s="674">
        <v>0</v>
      </c>
      <c r="BP158" s="676">
        <v>0</v>
      </c>
      <c r="BQ158" s="676">
        <v>0</v>
      </c>
      <c r="BR158" s="675"/>
      <c r="BS158" s="675">
        <v>2.3884589662749593E-2</v>
      </c>
      <c r="BT158" s="674">
        <v>8.2640680233113599</v>
      </c>
    </row>
    <row r="159" spans="1:72">
      <c r="A159" s="681"/>
      <c r="B159" s="680" t="s">
        <v>968</v>
      </c>
      <c r="C159" s="679" t="s">
        <v>996</v>
      </c>
      <c r="D159" s="679"/>
      <c r="E159" s="679"/>
      <c r="F159" s="678" t="s">
        <v>995</v>
      </c>
      <c r="G159" s="678"/>
      <c r="H159" s="677">
        <v>54.194133944778827</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13.51867774911627</v>
      </c>
      <c r="X159" s="676"/>
      <c r="Y159" s="676"/>
      <c r="Z159" s="676"/>
      <c r="AA159" s="676"/>
      <c r="AB159" s="676"/>
      <c r="AC159" s="676"/>
      <c r="AD159" s="676"/>
      <c r="AE159" s="676">
        <v>2.1973822489729624</v>
      </c>
      <c r="AF159" s="676"/>
      <c r="AG159" s="676"/>
      <c r="AH159" s="676"/>
      <c r="AI159" s="676"/>
      <c r="AJ159" s="676"/>
      <c r="AK159" s="676"/>
      <c r="AL159" s="676">
        <v>11.321295500143307</v>
      </c>
      <c r="AM159" s="676">
        <v>0</v>
      </c>
      <c r="AN159" s="676"/>
      <c r="AO159" s="676"/>
      <c r="AP159" s="676"/>
      <c r="AQ159" s="676"/>
      <c r="AR159" s="676"/>
      <c r="AS159" s="676"/>
      <c r="AT159" s="674">
        <v>2.698958631890704</v>
      </c>
      <c r="AU159" s="676">
        <v>2.698958631890704</v>
      </c>
      <c r="AV159" s="676">
        <v>0</v>
      </c>
      <c r="AW159" s="676">
        <v>0</v>
      </c>
      <c r="AX159" s="676">
        <v>0</v>
      </c>
      <c r="AY159" s="676">
        <v>0</v>
      </c>
      <c r="AZ159" s="674">
        <v>2.3884589662749591</v>
      </c>
      <c r="BA159" s="676"/>
      <c r="BB159" s="676"/>
      <c r="BC159" s="676"/>
      <c r="BD159" s="676">
        <v>0</v>
      </c>
      <c r="BE159" s="676"/>
      <c r="BF159" s="676">
        <v>2.3884589662749591</v>
      </c>
      <c r="BG159" s="676">
        <v>0</v>
      </c>
      <c r="BH159" s="676">
        <v>0</v>
      </c>
      <c r="BI159" s="676">
        <v>0</v>
      </c>
      <c r="BJ159" s="676">
        <v>0</v>
      </c>
      <c r="BK159" s="676">
        <v>0</v>
      </c>
      <c r="BL159" s="676">
        <v>0</v>
      </c>
      <c r="BM159" s="676">
        <v>0</v>
      </c>
      <c r="BN159" s="676">
        <v>0</v>
      </c>
      <c r="BO159" s="674">
        <v>0</v>
      </c>
      <c r="BP159" s="676">
        <v>0</v>
      </c>
      <c r="BQ159" s="676">
        <v>0</v>
      </c>
      <c r="BR159" s="675"/>
      <c r="BS159" s="675">
        <v>0.31049966561574471</v>
      </c>
      <c r="BT159" s="674">
        <v>35.253654342218397</v>
      </c>
    </row>
    <row r="160" spans="1:72">
      <c r="A160" s="680" t="s">
        <v>968</v>
      </c>
      <c r="B160" s="679" t="s">
        <v>994</v>
      </c>
      <c r="C160" s="679"/>
      <c r="D160" s="679"/>
      <c r="E160" s="679"/>
      <c r="F160" s="678" t="s">
        <v>993</v>
      </c>
      <c r="G160" s="678"/>
      <c r="H160" s="677">
        <v>5361.5888029043663</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5048.6767937326831</v>
      </c>
      <c r="X160" s="676"/>
      <c r="Y160" s="676"/>
      <c r="Z160" s="676"/>
      <c r="AA160" s="676"/>
      <c r="AB160" s="676"/>
      <c r="AC160" s="676"/>
      <c r="AD160" s="676"/>
      <c r="AE160" s="676">
        <v>2.1973822489729624</v>
      </c>
      <c r="AF160" s="676">
        <v>926.91315563198623</v>
      </c>
      <c r="AG160" s="676">
        <v>2.1018438903219643</v>
      </c>
      <c r="AH160" s="676"/>
      <c r="AI160" s="676">
        <v>914.13490016241519</v>
      </c>
      <c r="AJ160" s="676"/>
      <c r="AK160" s="676"/>
      <c r="AL160" s="676">
        <v>3173.7126206171774</v>
      </c>
      <c r="AM160" s="676">
        <v>29.616891181809496</v>
      </c>
      <c r="AN160" s="676"/>
      <c r="AO160" s="676"/>
      <c r="AP160" s="676"/>
      <c r="AQ160" s="676"/>
      <c r="AR160" s="676"/>
      <c r="AS160" s="676"/>
      <c r="AT160" s="674">
        <v>120.85602369351294</v>
      </c>
      <c r="AU160" s="676">
        <v>120.85602369351294</v>
      </c>
      <c r="AV160" s="676">
        <v>0</v>
      </c>
      <c r="AW160" s="676">
        <v>0</v>
      </c>
      <c r="AX160" s="676">
        <v>0</v>
      </c>
      <c r="AY160" s="676">
        <v>0</v>
      </c>
      <c r="AZ160" s="674">
        <v>126.54055603324734</v>
      </c>
      <c r="BA160" s="676"/>
      <c r="BB160" s="676"/>
      <c r="BC160" s="676"/>
      <c r="BD160" s="676">
        <v>0</v>
      </c>
      <c r="BE160" s="676"/>
      <c r="BF160" s="676">
        <v>0</v>
      </c>
      <c r="BG160" s="676">
        <v>0</v>
      </c>
      <c r="BH160" s="676">
        <v>2.1973822489729624</v>
      </c>
      <c r="BI160" s="676">
        <v>0</v>
      </c>
      <c r="BJ160" s="676">
        <v>6.401070029616891</v>
      </c>
      <c r="BK160" s="676">
        <v>114.26387694659405</v>
      </c>
      <c r="BL160" s="676">
        <v>0</v>
      </c>
      <c r="BM160" s="676">
        <v>3.6782268080634375</v>
      </c>
      <c r="BN160" s="676">
        <v>0</v>
      </c>
      <c r="BO160" s="674">
        <v>0</v>
      </c>
      <c r="BP160" s="676">
        <v>0</v>
      </c>
      <c r="BQ160" s="676">
        <v>0</v>
      </c>
      <c r="BR160" s="675"/>
      <c r="BS160" s="675"/>
      <c r="BT160" s="674">
        <v>65.515429444922134</v>
      </c>
    </row>
    <row r="161" spans="1:72">
      <c r="A161" s="681"/>
      <c r="B161" s="680" t="s">
        <v>968</v>
      </c>
      <c r="C161" s="679" t="s">
        <v>992</v>
      </c>
      <c r="D161" s="679"/>
      <c r="E161" s="679"/>
      <c r="F161" s="678" t="s">
        <v>991</v>
      </c>
      <c r="G161" s="678"/>
      <c r="H161" s="677">
        <v>73.325690264641253</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13.375370211139773</v>
      </c>
      <c r="X161" s="676"/>
      <c r="Y161" s="676"/>
      <c r="Z161" s="676"/>
      <c r="AA161" s="676"/>
      <c r="AB161" s="676"/>
      <c r="AC161" s="676"/>
      <c r="AD161" s="676"/>
      <c r="AE161" s="676"/>
      <c r="AF161" s="676"/>
      <c r="AG161" s="676"/>
      <c r="AH161" s="676"/>
      <c r="AI161" s="676"/>
      <c r="AJ161" s="676"/>
      <c r="AK161" s="676"/>
      <c r="AL161" s="676">
        <v>13.375370211139773</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59.926435463838729</v>
      </c>
    </row>
    <row r="162" spans="1:72">
      <c r="A162" s="681"/>
      <c r="B162" s="680" t="s">
        <v>968</v>
      </c>
      <c r="C162" s="679" t="s">
        <v>990</v>
      </c>
      <c r="D162" s="679"/>
      <c r="E162" s="679"/>
      <c r="F162" s="678" t="s">
        <v>989</v>
      </c>
      <c r="G162" s="678"/>
      <c r="H162" s="677">
        <v>3639.4382344511318</v>
      </c>
      <c r="I162" s="674"/>
      <c r="J162" s="676"/>
      <c r="K162" s="676"/>
      <c r="L162" s="676"/>
      <c r="M162" s="676"/>
      <c r="N162" s="676"/>
      <c r="O162" s="676"/>
      <c r="P162" s="676"/>
      <c r="Q162" s="676"/>
      <c r="R162" s="676"/>
      <c r="S162" s="676"/>
      <c r="T162" s="676"/>
      <c r="U162" s="676"/>
      <c r="V162" s="676"/>
      <c r="W162" s="674">
        <v>3491.6403936180373</v>
      </c>
      <c r="X162" s="676"/>
      <c r="Y162" s="676"/>
      <c r="Z162" s="676"/>
      <c r="AA162" s="676"/>
      <c r="AB162" s="676"/>
      <c r="AC162" s="676"/>
      <c r="AD162" s="676"/>
      <c r="AE162" s="676">
        <v>2.1973822489729624</v>
      </c>
      <c r="AF162" s="676">
        <v>886.02273812935891</v>
      </c>
      <c r="AG162" s="676"/>
      <c r="AH162" s="676"/>
      <c r="AI162" s="676"/>
      <c r="AJ162" s="676"/>
      <c r="AK162" s="676"/>
      <c r="AL162" s="676">
        <v>2603.4202732397057</v>
      </c>
      <c r="AM162" s="676">
        <v>0</v>
      </c>
      <c r="AN162" s="676"/>
      <c r="AO162" s="676"/>
      <c r="AP162" s="676"/>
      <c r="AQ162" s="676"/>
      <c r="AR162" s="676"/>
      <c r="AS162" s="676"/>
      <c r="AT162" s="674">
        <v>15.668290818763733</v>
      </c>
      <c r="AU162" s="676">
        <v>15.668290818763733</v>
      </c>
      <c r="AV162" s="676"/>
      <c r="AW162" s="676"/>
      <c r="AX162" s="676"/>
      <c r="AY162" s="676"/>
      <c r="AZ162" s="674">
        <v>126.54055603324734</v>
      </c>
      <c r="BA162" s="676"/>
      <c r="BB162" s="676"/>
      <c r="BC162" s="676"/>
      <c r="BD162" s="676">
        <v>0</v>
      </c>
      <c r="BE162" s="676"/>
      <c r="BF162" s="676">
        <v>0</v>
      </c>
      <c r="BG162" s="676">
        <v>0</v>
      </c>
      <c r="BH162" s="676">
        <v>2.1973822489729624</v>
      </c>
      <c r="BI162" s="676">
        <v>0</v>
      </c>
      <c r="BJ162" s="676">
        <v>6.401070029616891</v>
      </c>
      <c r="BK162" s="676">
        <v>114.26387694659405</v>
      </c>
      <c r="BL162" s="676">
        <v>0</v>
      </c>
      <c r="BM162" s="676">
        <v>3.6782268080634375</v>
      </c>
      <c r="BN162" s="676">
        <v>0</v>
      </c>
      <c r="BO162" s="674">
        <v>0</v>
      </c>
      <c r="BP162" s="676">
        <v>0</v>
      </c>
      <c r="BQ162" s="676">
        <v>0</v>
      </c>
      <c r="BR162" s="675"/>
      <c r="BS162" s="675"/>
      <c r="BT162" s="674">
        <v>5.5889939810834051</v>
      </c>
    </row>
    <row r="163" spans="1:72">
      <c r="A163" s="681"/>
      <c r="B163" s="680" t="s">
        <v>968</v>
      </c>
      <c r="C163" s="679" t="s">
        <v>988</v>
      </c>
      <c r="D163" s="679"/>
      <c r="E163" s="679"/>
      <c r="F163" s="678" t="s">
        <v>987</v>
      </c>
      <c r="G163" s="678"/>
      <c r="H163" s="677">
        <v>505.44568644310687</v>
      </c>
      <c r="I163" s="674"/>
      <c r="J163" s="676"/>
      <c r="K163" s="676"/>
      <c r="L163" s="676"/>
      <c r="M163" s="676"/>
      <c r="N163" s="676"/>
      <c r="O163" s="676"/>
      <c r="P163" s="676"/>
      <c r="Q163" s="676"/>
      <c r="R163" s="676"/>
      <c r="S163" s="676"/>
      <c r="T163" s="676"/>
      <c r="U163" s="676"/>
      <c r="V163" s="676"/>
      <c r="W163" s="674">
        <v>505.44568644310687</v>
      </c>
      <c r="X163" s="676"/>
      <c r="Y163" s="676"/>
      <c r="Z163" s="676"/>
      <c r="AA163" s="676"/>
      <c r="AB163" s="676"/>
      <c r="AC163" s="676"/>
      <c r="AD163" s="676"/>
      <c r="AE163" s="676"/>
      <c r="AF163" s="676"/>
      <c r="AG163" s="676"/>
      <c r="AH163" s="676"/>
      <c r="AI163" s="676">
        <v>505.44568644310687</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c r="A164" s="681"/>
      <c r="B164" s="680" t="s">
        <v>968</v>
      </c>
      <c r="C164" s="679" t="s">
        <v>986</v>
      </c>
      <c r="D164" s="679"/>
      <c r="E164" s="679"/>
      <c r="F164" s="678" t="s">
        <v>985</v>
      </c>
      <c r="G164" s="678"/>
      <c r="H164" s="677">
        <v>440.38406420177699</v>
      </c>
      <c r="I164" s="674"/>
      <c r="J164" s="676"/>
      <c r="K164" s="676"/>
      <c r="L164" s="676"/>
      <c r="M164" s="676"/>
      <c r="N164" s="676"/>
      <c r="O164" s="676"/>
      <c r="P164" s="676"/>
      <c r="Q164" s="676"/>
      <c r="R164" s="676"/>
      <c r="S164" s="676"/>
      <c r="T164" s="676"/>
      <c r="U164" s="676"/>
      <c r="V164" s="676"/>
      <c r="W164" s="674">
        <v>440.38406420177699</v>
      </c>
      <c r="X164" s="676"/>
      <c r="Y164" s="676"/>
      <c r="Z164" s="676"/>
      <c r="AA164" s="676"/>
      <c r="AB164" s="676"/>
      <c r="AC164" s="676"/>
      <c r="AD164" s="676"/>
      <c r="AE164" s="676"/>
      <c r="AF164" s="676"/>
      <c r="AG164" s="676">
        <v>2.1018438903219643</v>
      </c>
      <c r="AH164" s="676"/>
      <c r="AI164" s="676">
        <v>408.68921371930827</v>
      </c>
      <c r="AJ164" s="676"/>
      <c r="AK164" s="676"/>
      <c r="AL164" s="676"/>
      <c r="AM164" s="676">
        <v>29.616891181809496</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c r="A165" s="681"/>
      <c r="B165" s="680" t="s">
        <v>968</v>
      </c>
      <c r="C165" s="679" t="s">
        <v>984</v>
      </c>
      <c r="D165" s="679"/>
      <c r="E165" s="679"/>
      <c r="F165" s="678" t="s">
        <v>983</v>
      </c>
      <c r="G165" s="678"/>
      <c r="H165" s="677">
        <v>597.80739466895955</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597.80739466895955</v>
      </c>
      <c r="X165" s="676"/>
      <c r="Y165" s="676"/>
      <c r="Z165" s="676"/>
      <c r="AA165" s="676"/>
      <c r="AB165" s="676"/>
      <c r="AC165" s="676"/>
      <c r="AD165" s="676"/>
      <c r="AE165" s="676"/>
      <c r="AF165" s="676">
        <v>40.890417502627301</v>
      </c>
      <c r="AG165" s="676"/>
      <c r="AH165" s="676"/>
      <c r="AI165" s="676"/>
      <c r="AJ165" s="676"/>
      <c r="AK165" s="676"/>
      <c r="AL165" s="676">
        <v>556.91697716633223</v>
      </c>
      <c r="AM165" s="676">
        <v>0</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c r="A167" s="681"/>
      <c r="B167" s="680" t="s">
        <v>968</v>
      </c>
      <c r="C167" s="679" t="s">
        <v>980</v>
      </c>
      <c r="D167" s="679"/>
      <c r="E167" s="679"/>
      <c r="F167" s="678" t="s">
        <v>979</v>
      </c>
      <c r="G167" s="678"/>
      <c r="H167" s="677">
        <v>105.1877328747492</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105.1877328747492</v>
      </c>
      <c r="AU167" s="676">
        <v>105.1877328747492</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c r="A168" s="680" t="s">
        <v>968</v>
      </c>
      <c r="B168" s="679" t="s">
        <v>978</v>
      </c>
      <c r="C168" s="679"/>
      <c r="D168" s="679"/>
      <c r="E168" s="679"/>
      <c r="F168" s="678" t="s">
        <v>977</v>
      </c>
      <c r="G168" s="678"/>
      <c r="H168" s="677">
        <v>7113.3562625394088</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857.76726855832612</v>
      </c>
      <c r="X168" s="676"/>
      <c r="Y168" s="676"/>
      <c r="Z168" s="676"/>
      <c r="AA168" s="676"/>
      <c r="AB168" s="676"/>
      <c r="AC168" s="676"/>
      <c r="AD168" s="676"/>
      <c r="AE168" s="676">
        <v>17.626827171109198</v>
      </c>
      <c r="AF168" s="676">
        <v>23.072513614216106</v>
      </c>
      <c r="AG168" s="676"/>
      <c r="AH168" s="676"/>
      <c r="AI168" s="676">
        <v>32.936849144931685</v>
      </c>
      <c r="AJ168" s="676">
        <v>32.936849144931685</v>
      </c>
      <c r="AK168" s="676"/>
      <c r="AL168" s="676">
        <v>736.02751504729144</v>
      </c>
      <c r="AM168" s="676">
        <v>14.330753797649756</v>
      </c>
      <c r="AN168" s="676"/>
      <c r="AO168" s="676"/>
      <c r="AP168" s="676"/>
      <c r="AQ168" s="676">
        <v>0.83596063819623578</v>
      </c>
      <c r="AR168" s="676"/>
      <c r="AS168" s="676"/>
      <c r="AT168" s="674">
        <v>46.742141970000951</v>
      </c>
      <c r="AU168" s="676">
        <v>46.742141970000951</v>
      </c>
      <c r="AV168" s="676">
        <v>0</v>
      </c>
      <c r="AW168" s="676">
        <v>0</v>
      </c>
      <c r="AX168" s="676">
        <v>0</v>
      </c>
      <c r="AY168" s="676">
        <v>0</v>
      </c>
      <c r="AZ168" s="674">
        <v>499.35511607910576</v>
      </c>
      <c r="BA168" s="676"/>
      <c r="BB168" s="676"/>
      <c r="BC168" s="676"/>
      <c r="BD168" s="676">
        <v>0</v>
      </c>
      <c r="BE168" s="676"/>
      <c r="BF168" s="676">
        <v>492.97793063915162</v>
      </c>
      <c r="BG168" s="676">
        <v>0</v>
      </c>
      <c r="BH168" s="676">
        <v>6.3771854399541414</v>
      </c>
      <c r="BI168" s="676">
        <v>0</v>
      </c>
      <c r="BJ168" s="676">
        <v>0</v>
      </c>
      <c r="BK168" s="676">
        <v>0</v>
      </c>
      <c r="BL168" s="676">
        <v>0</v>
      </c>
      <c r="BM168" s="676">
        <v>0</v>
      </c>
      <c r="BN168" s="676">
        <v>0</v>
      </c>
      <c r="BO168" s="674">
        <v>0</v>
      </c>
      <c r="BP168" s="676">
        <v>0</v>
      </c>
      <c r="BQ168" s="676">
        <v>0</v>
      </c>
      <c r="BR168" s="675"/>
      <c r="BS168" s="675">
        <v>351.5333906563485</v>
      </c>
      <c r="BT168" s="674">
        <v>5357.9583452756278</v>
      </c>
    </row>
    <row r="169" spans="1:72">
      <c r="A169" s="681"/>
      <c r="B169" s="680" t="s">
        <v>968</v>
      </c>
      <c r="C169" s="679" t="s">
        <v>976</v>
      </c>
      <c r="D169" s="679"/>
      <c r="E169" s="679"/>
      <c r="F169" s="678" t="s">
        <v>975</v>
      </c>
      <c r="G169" s="678"/>
      <c r="H169" s="677">
        <v>2487.9382822203115</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168.98347186395335</v>
      </c>
      <c r="X169" s="676"/>
      <c r="Y169" s="676"/>
      <c r="Z169" s="676"/>
      <c r="AA169" s="676"/>
      <c r="AB169" s="676"/>
      <c r="AC169" s="676"/>
      <c r="AD169" s="676"/>
      <c r="AE169" s="676">
        <v>8.8134135855545992</v>
      </c>
      <c r="AF169" s="676"/>
      <c r="AG169" s="676"/>
      <c r="AH169" s="676"/>
      <c r="AI169" s="676"/>
      <c r="AJ169" s="676">
        <v>3.0811120664946974</v>
      </c>
      <c r="AK169" s="676"/>
      <c r="AL169" s="676">
        <v>153.38683481417789</v>
      </c>
      <c r="AM169" s="676">
        <v>2.8661507595299511</v>
      </c>
      <c r="AN169" s="676"/>
      <c r="AO169" s="676"/>
      <c r="AP169" s="676"/>
      <c r="AQ169" s="676">
        <v>0.83596063819623578</v>
      </c>
      <c r="AR169" s="676"/>
      <c r="AS169" s="676"/>
      <c r="AT169" s="674">
        <v>18.462787809305436</v>
      </c>
      <c r="AU169" s="676">
        <v>18.462787809305436</v>
      </c>
      <c r="AV169" s="676">
        <v>0</v>
      </c>
      <c r="AW169" s="676">
        <v>0</v>
      </c>
      <c r="AX169" s="676">
        <v>0</v>
      </c>
      <c r="AY169" s="676">
        <v>0</v>
      </c>
      <c r="AZ169" s="674">
        <v>41.606955192509794</v>
      </c>
      <c r="BA169" s="676"/>
      <c r="BB169" s="676"/>
      <c r="BC169" s="676"/>
      <c r="BD169" s="676">
        <v>0</v>
      </c>
      <c r="BE169" s="676"/>
      <c r="BF169" s="676">
        <v>35.229769752555647</v>
      </c>
      <c r="BG169" s="676">
        <v>0</v>
      </c>
      <c r="BH169" s="676">
        <v>6.3771854399541414</v>
      </c>
      <c r="BI169" s="676">
        <v>0</v>
      </c>
      <c r="BJ169" s="676">
        <v>0</v>
      </c>
      <c r="BK169" s="676">
        <v>0</v>
      </c>
      <c r="BL169" s="676">
        <v>0</v>
      </c>
      <c r="BM169" s="676">
        <v>0</v>
      </c>
      <c r="BN169" s="676">
        <v>0</v>
      </c>
      <c r="BO169" s="674">
        <v>0</v>
      </c>
      <c r="BP169" s="676">
        <v>0</v>
      </c>
      <c r="BQ169" s="676">
        <v>0</v>
      </c>
      <c r="BR169" s="675"/>
      <c r="BS169" s="675">
        <v>265.23836820483422</v>
      </c>
      <c r="BT169" s="674">
        <v>1993.6466991497084</v>
      </c>
    </row>
    <row r="170" spans="1:72">
      <c r="A170" s="681"/>
      <c r="B170" s="680" t="s">
        <v>968</v>
      </c>
      <c r="C170" s="679" t="s">
        <v>974</v>
      </c>
      <c r="D170" s="679"/>
      <c r="E170" s="679"/>
      <c r="F170" s="678" t="s">
        <v>973</v>
      </c>
      <c r="G170" s="678"/>
      <c r="H170" s="677">
        <v>3835.8412152479218</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100.74519919747779</v>
      </c>
      <c r="X170" s="676"/>
      <c r="Y170" s="676"/>
      <c r="Z170" s="676"/>
      <c r="AA170" s="676"/>
      <c r="AB170" s="676"/>
      <c r="AC170" s="676"/>
      <c r="AD170" s="676"/>
      <c r="AE170" s="676">
        <v>8.8134135855545992</v>
      </c>
      <c r="AF170" s="676">
        <v>16.766981943250215</v>
      </c>
      <c r="AG170" s="676"/>
      <c r="AH170" s="676"/>
      <c r="AI170" s="676"/>
      <c r="AJ170" s="676">
        <v>28.828699722938758</v>
      </c>
      <c r="AK170" s="676"/>
      <c r="AL170" s="676">
        <v>46.336103945734209</v>
      </c>
      <c r="AM170" s="676">
        <v>0</v>
      </c>
      <c r="AN170" s="676"/>
      <c r="AO170" s="676"/>
      <c r="AP170" s="676"/>
      <c r="AQ170" s="676"/>
      <c r="AR170" s="676"/>
      <c r="AS170" s="676"/>
      <c r="AT170" s="674">
        <v>3.7976497563771852</v>
      </c>
      <c r="AU170" s="676">
        <v>3.7976497563771852</v>
      </c>
      <c r="AV170" s="676">
        <v>0</v>
      </c>
      <c r="AW170" s="676">
        <v>0</v>
      </c>
      <c r="AX170" s="676">
        <v>0</v>
      </c>
      <c r="AY170" s="676">
        <v>0</v>
      </c>
      <c r="AZ170" s="674">
        <v>453.257858029999</v>
      </c>
      <c r="BA170" s="676"/>
      <c r="BB170" s="676"/>
      <c r="BC170" s="676"/>
      <c r="BD170" s="676">
        <v>0</v>
      </c>
      <c r="BE170" s="676"/>
      <c r="BF170" s="676">
        <v>453.257858029999</v>
      </c>
      <c r="BG170" s="676">
        <v>0</v>
      </c>
      <c r="BH170" s="676">
        <v>0</v>
      </c>
      <c r="BI170" s="676">
        <v>0</v>
      </c>
      <c r="BJ170" s="676">
        <v>0</v>
      </c>
      <c r="BK170" s="676">
        <v>0</v>
      </c>
      <c r="BL170" s="676">
        <v>0</v>
      </c>
      <c r="BM170" s="676">
        <v>0</v>
      </c>
      <c r="BN170" s="676">
        <v>0</v>
      </c>
      <c r="BO170" s="674">
        <v>0</v>
      </c>
      <c r="BP170" s="676">
        <v>0</v>
      </c>
      <c r="BQ170" s="676">
        <v>0</v>
      </c>
      <c r="BR170" s="675"/>
      <c r="BS170" s="675">
        <v>85.960638196235777</v>
      </c>
      <c r="BT170" s="674">
        <v>3192.079870067832</v>
      </c>
    </row>
    <row r="171" spans="1:72">
      <c r="A171" s="681"/>
      <c r="B171" s="680" t="s">
        <v>968</v>
      </c>
      <c r="C171" s="679" t="s">
        <v>972</v>
      </c>
      <c r="D171" s="679"/>
      <c r="E171" s="679"/>
      <c r="F171" s="678" t="s">
        <v>971</v>
      </c>
      <c r="G171" s="678"/>
      <c r="H171" s="677">
        <v>307.25136142161074</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134.85239323588419</v>
      </c>
      <c r="X171" s="676"/>
      <c r="Y171" s="676"/>
      <c r="Z171" s="676"/>
      <c r="AA171" s="676"/>
      <c r="AB171" s="676"/>
      <c r="AC171" s="676"/>
      <c r="AD171" s="676"/>
      <c r="AE171" s="676"/>
      <c r="AF171" s="676"/>
      <c r="AG171" s="676"/>
      <c r="AH171" s="676"/>
      <c r="AI171" s="676"/>
      <c r="AJ171" s="676"/>
      <c r="AK171" s="676"/>
      <c r="AL171" s="676">
        <v>134.85239323588419</v>
      </c>
      <c r="AM171" s="676">
        <v>0</v>
      </c>
      <c r="AN171" s="676"/>
      <c r="AO171" s="676"/>
      <c r="AP171" s="676"/>
      <c r="AQ171" s="676"/>
      <c r="AR171" s="676"/>
      <c r="AS171" s="676"/>
      <c r="AT171" s="674">
        <v>12.634947931594535</v>
      </c>
      <c r="AU171" s="676">
        <v>12.634947931594535</v>
      </c>
      <c r="AV171" s="676">
        <v>0</v>
      </c>
      <c r="AW171" s="676">
        <v>0</v>
      </c>
      <c r="AX171" s="676">
        <v>0</v>
      </c>
      <c r="AY171" s="676">
        <v>0</v>
      </c>
      <c r="AZ171" s="674">
        <v>4.4903028565969239</v>
      </c>
      <c r="BA171" s="676"/>
      <c r="BB171" s="676"/>
      <c r="BC171" s="676"/>
      <c r="BD171" s="676">
        <v>0</v>
      </c>
      <c r="BE171" s="676"/>
      <c r="BF171" s="676">
        <v>4.4903028565969239</v>
      </c>
      <c r="BG171" s="676">
        <v>0</v>
      </c>
      <c r="BH171" s="676">
        <v>0</v>
      </c>
      <c r="BI171" s="676">
        <v>0</v>
      </c>
      <c r="BJ171" s="676">
        <v>0</v>
      </c>
      <c r="BK171" s="676">
        <v>0</v>
      </c>
      <c r="BL171" s="676">
        <v>0</v>
      </c>
      <c r="BM171" s="676">
        <v>0</v>
      </c>
      <c r="BN171" s="676">
        <v>0</v>
      </c>
      <c r="BO171" s="674">
        <v>0</v>
      </c>
      <c r="BP171" s="676">
        <v>0</v>
      </c>
      <c r="BQ171" s="676">
        <v>0</v>
      </c>
      <c r="BR171" s="675"/>
      <c r="BS171" s="675">
        <v>0.3343842552784943</v>
      </c>
      <c r="BT171" s="674">
        <v>154.9393331422566</v>
      </c>
    </row>
    <row r="172" spans="1:72">
      <c r="A172" s="681"/>
      <c r="B172" s="680" t="s">
        <v>968</v>
      </c>
      <c r="C172" s="679" t="s">
        <v>970</v>
      </c>
      <c r="D172" s="679"/>
      <c r="E172" s="679"/>
      <c r="F172" s="678" t="s">
        <v>969</v>
      </c>
      <c r="G172" s="678"/>
      <c r="H172" s="677">
        <v>394.31069074233301</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377.01824782650232</v>
      </c>
      <c r="X172" s="676"/>
      <c r="Y172" s="676"/>
      <c r="Z172" s="676"/>
      <c r="AA172" s="676"/>
      <c r="AB172" s="676"/>
      <c r="AC172" s="676"/>
      <c r="AD172" s="676"/>
      <c r="AE172" s="676"/>
      <c r="AF172" s="676">
        <v>6.2816470813031433</v>
      </c>
      <c r="AG172" s="676"/>
      <c r="AH172" s="676"/>
      <c r="AI172" s="676"/>
      <c r="AJ172" s="676">
        <v>1.0270373554982324</v>
      </c>
      <c r="AK172" s="676"/>
      <c r="AL172" s="676">
        <v>358.24496035158114</v>
      </c>
      <c r="AM172" s="676">
        <v>11.464603038119805</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c r="A173" s="673"/>
      <c r="B173" s="672" t="s">
        <v>968</v>
      </c>
      <c r="C173" s="671" t="s">
        <v>967</v>
      </c>
      <c r="D173" s="671"/>
      <c r="E173" s="671"/>
      <c r="F173" s="670" t="s">
        <v>966</v>
      </c>
      <c r="G173" s="670"/>
      <c r="H173" s="669">
        <v>87.990828317569495</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76.167956434508454</v>
      </c>
      <c r="X173" s="668"/>
      <c r="Y173" s="668"/>
      <c r="Z173" s="668"/>
      <c r="AA173" s="668"/>
      <c r="AB173" s="668"/>
      <c r="AC173" s="668"/>
      <c r="AD173" s="668"/>
      <c r="AE173" s="668"/>
      <c r="AF173" s="668"/>
      <c r="AG173" s="668"/>
      <c r="AH173" s="668"/>
      <c r="AI173" s="668">
        <v>32.936849144931685</v>
      </c>
      <c r="AJ173" s="668"/>
      <c r="AK173" s="668"/>
      <c r="AL173" s="668">
        <v>43.231107289576762</v>
      </c>
      <c r="AM173" s="668">
        <v>0</v>
      </c>
      <c r="AN173" s="668"/>
      <c r="AO173" s="668"/>
      <c r="AP173" s="668"/>
      <c r="AQ173" s="668"/>
      <c r="AR173" s="668"/>
      <c r="AS173" s="668"/>
      <c r="AT173" s="666">
        <v>11.822871883061049</v>
      </c>
      <c r="AU173" s="668">
        <v>11.822871883061049</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2547.0287570459536</v>
      </c>
      <c r="I174" s="660">
        <v>68.907041177032582</v>
      </c>
      <c r="J174" s="662">
        <v>0</v>
      </c>
      <c r="K174" s="662">
        <v>0</v>
      </c>
      <c r="L174" s="662">
        <v>-11.416833858794305</v>
      </c>
      <c r="M174" s="662">
        <v>0</v>
      </c>
      <c r="N174" s="662">
        <v>0</v>
      </c>
      <c r="O174" s="662">
        <v>0</v>
      </c>
      <c r="P174" s="662">
        <v>80.323875035826887</v>
      </c>
      <c r="Q174" s="662">
        <v>0</v>
      </c>
      <c r="R174" s="662">
        <v>0</v>
      </c>
      <c r="S174" s="662">
        <v>0</v>
      </c>
      <c r="T174" s="662">
        <v>0</v>
      </c>
      <c r="U174" s="662">
        <v>0</v>
      </c>
      <c r="V174" s="662">
        <v>0</v>
      </c>
      <c r="W174" s="660">
        <v>2641.4923091621285</v>
      </c>
      <c r="X174" s="662">
        <v>492.04643164230436</v>
      </c>
      <c r="Y174" s="662">
        <v>0</v>
      </c>
      <c r="Z174" s="662">
        <v>0</v>
      </c>
      <c r="AA174" s="662">
        <v>0</v>
      </c>
      <c r="AB174" s="662"/>
      <c r="AC174" s="662">
        <v>16.241520970669722</v>
      </c>
      <c r="AD174" s="662">
        <v>156.34852393235883</v>
      </c>
      <c r="AE174" s="662">
        <v>314.91831470335336</v>
      </c>
      <c r="AF174" s="662">
        <v>509.57772045476258</v>
      </c>
      <c r="AG174" s="662">
        <v>-2.1018438903219643</v>
      </c>
      <c r="AH174" s="662">
        <v>0</v>
      </c>
      <c r="AI174" s="662">
        <v>80.299990446164131</v>
      </c>
      <c r="AJ174" s="662">
        <v>53.52536543422184</v>
      </c>
      <c r="AK174" s="662">
        <v>585.07690837871405</v>
      </c>
      <c r="AL174" s="662">
        <v>92.648323301805675</v>
      </c>
      <c r="AM174" s="662">
        <v>348.71500907614404</v>
      </c>
      <c r="AN174" s="662">
        <v>-1.0509219451609821</v>
      </c>
      <c r="AO174" s="662">
        <v>0</v>
      </c>
      <c r="AP174" s="662">
        <v>0</v>
      </c>
      <c r="AQ174" s="662">
        <v>0</v>
      </c>
      <c r="AR174" s="662">
        <v>0</v>
      </c>
      <c r="AS174" s="662">
        <v>-4.7769179325499183</v>
      </c>
      <c r="AT174" s="660">
        <v>-170.91812362663609</v>
      </c>
      <c r="AU174" s="662">
        <v>-170.91812362663609</v>
      </c>
      <c r="AV174" s="662">
        <v>0</v>
      </c>
      <c r="AW174" s="662">
        <v>0</v>
      </c>
      <c r="AX174" s="662">
        <v>0</v>
      </c>
      <c r="AY174" s="662">
        <v>0</v>
      </c>
      <c r="AZ174" s="660">
        <v>7.5475303334288713</v>
      </c>
      <c r="BA174" s="662">
        <v>0</v>
      </c>
      <c r="BB174" s="662">
        <v>0</v>
      </c>
      <c r="BC174" s="662">
        <v>0</v>
      </c>
      <c r="BD174" s="662">
        <v>0</v>
      </c>
      <c r="BE174" s="662">
        <v>0</v>
      </c>
      <c r="BF174" s="662">
        <v>0</v>
      </c>
      <c r="BG174" s="662">
        <v>0</v>
      </c>
      <c r="BH174" s="662">
        <v>3.8454189357026842</v>
      </c>
      <c r="BI174" s="662">
        <v>0</v>
      </c>
      <c r="BJ174" s="662">
        <v>3.4154963217731917</v>
      </c>
      <c r="BK174" s="662">
        <v>0.28661507595299512</v>
      </c>
      <c r="BL174" s="662">
        <v>0</v>
      </c>
      <c r="BM174" s="662">
        <v>0</v>
      </c>
      <c r="BN174" s="662">
        <v>0</v>
      </c>
      <c r="BO174" s="660">
        <v>0</v>
      </c>
      <c r="BP174" s="662">
        <v>0</v>
      </c>
      <c r="BQ174" s="662">
        <v>0</v>
      </c>
      <c r="BR174" s="661">
        <v>0</v>
      </c>
      <c r="BS174" s="661">
        <v>0</v>
      </c>
      <c r="BT174" s="660">
        <v>0</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9.8165663513900832</v>
      </c>
      <c r="BK179" s="752">
        <v>114.55049202254705</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sheetPr>
  <dimension ref="A1:T126"/>
  <sheetViews>
    <sheetView topLeftCell="A24" zoomScale="70" zoomScaleNormal="70" workbookViewId="0">
      <selection activeCell="E43" sqref="E43"/>
    </sheetView>
  </sheetViews>
  <sheetFormatPr baseColWidth="10" defaultColWidth="8.5" defaultRowHeight="13"/>
  <cols>
    <col min="1" max="1" width="8.5" style="484"/>
    <col min="2" max="2" width="5.5" customWidth="1"/>
    <col min="3" max="3" width="21.5" bestFit="1" customWidth="1"/>
    <col min="4" max="4" width="7.5" bestFit="1" customWidth="1"/>
    <col min="5" max="5" width="13.5" bestFit="1" customWidth="1"/>
    <col min="6" max="6" width="26.5" bestFit="1" customWidth="1"/>
    <col min="7" max="7" width="4.5" bestFit="1" customWidth="1"/>
    <col min="8" max="8" width="10.5" customWidth="1"/>
    <col min="9" max="9" width="11.5" bestFit="1" customWidth="1"/>
  </cols>
  <sheetData>
    <row r="1" spans="1:15">
      <c r="C1" s="2"/>
      <c r="D1" s="2"/>
    </row>
    <row r="2" spans="1:15">
      <c r="C2" s="2"/>
      <c r="D2" s="2"/>
    </row>
    <row r="3" spans="1:15">
      <c r="C3" s="13" t="s">
        <v>8</v>
      </c>
      <c r="D3" s="14"/>
      <c r="E3" s="15"/>
      <c r="F3" s="15"/>
      <c r="G3" s="15"/>
      <c r="H3" s="15"/>
      <c r="I3" s="15"/>
      <c r="J3" s="15"/>
      <c r="K3" s="15"/>
    </row>
    <row r="4" spans="1:15" ht="15">
      <c r="C4" s="16" t="s">
        <v>5</v>
      </c>
      <c r="D4" s="16" t="s">
        <v>0</v>
      </c>
      <c r="E4" s="16" t="s">
        <v>3</v>
      </c>
      <c r="F4" s="16" t="s">
        <v>4</v>
      </c>
      <c r="G4" s="16" t="s">
        <v>6</v>
      </c>
      <c r="H4" s="16" t="s">
        <v>9</v>
      </c>
      <c r="I4" s="16" t="s">
        <v>10</v>
      </c>
      <c r="J4" s="16" t="s">
        <v>11</v>
      </c>
      <c r="K4" s="16" t="s">
        <v>12</v>
      </c>
    </row>
    <row r="5" spans="1:15" ht="24" customHeight="1">
      <c r="C5" s="558" t="s">
        <v>32</v>
      </c>
      <c r="D5" s="559" t="s">
        <v>24</v>
      </c>
      <c r="E5" s="559" t="s">
        <v>33</v>
      </c>
      <c r="F5" s="559" t="s">
        <v>34</v>
      </c>
      <c r="G5" s="559" t="s">
        <v>6</v>
      </c>
      <c r="H5" s="559" t="s">
        <v>35</v>
      </c>
      <c r="I5" s="559" t="s">
        <v>36</v>
      </c>
      <c r="J5" s="559" t="s">
        <v>37</v>
      </c>
      <c r="K5" s="559" t="s">
        <v>38</v>
      </c>
    </row>
    <row r="6" spans="1:15" s="484" customFormat="1">
      <c r="A6" s="557" t="s">
        <v>781</v>
      </c>
      <c r="B6" s="555"/>
      <c r="C6" s="554" t="s">
        <v>39</v>
      </c>
      <c r="E6" s="480" t="s">
        <v>779</v>
      </c>
      <c r="F6" s="480" t="s">
        <v>780</v>
      </c>
      <c r="G6" s="480" t="s">
        <v>62</v>
      </c>
      <c r="H6" s="480"/>
      <c r="I6" s="480"/>
      <c r="J6" s="480"/>
      <c r="K6" s="480"/>
    </row>
    <row r="7" spans="1:15" s="484" customFormat="1">
      <c r="A7" s="557" t="s">
        <v>781</v>
      </c>
      <c r="B7" s="555"/>
      <c r="C7" s="556"/>
      <c r="E7" s="480" t="s">
        <v>782</v>
      </c>
      <c r="F7" s="480" t="s">
        <v>783</v>
      </c>
      <c r="G7" s="480" t="s">
        <v>62</v>
      </c>
      <c r="H7" s="480"/>
      <c r="I7" s="480"/>
      <c r="J7" s="480"/>
      <c r="K7" s="480"/>
    </row>
    <row r="8" spans="1:15" s="484" customFormat="1">
      <c r="A8" s="557" t="s">
        <v>781</v>
      </c>
      <c r="B8" s="555"/>
      <c r="C8" s="556"/>
      <c r="E8" s="480" t="s">
        <v>784</v>
      </c>
      <c r="F8" s="480" t="s">
        <v>785</v>
      </c>
      <c r="G8" s="480" t="s">
        <v>62</v>
      </c>
      <c r="H8" s="480"/>
      <c r="I8" s="480"/>
      <c r="J8" s="480"/>
      <c r="K8" s="480"/>
    </row>
    <row r="9" spans="1:15" s="484" customFormat="1">
      <c r="A9" s="557" t="s">
        <v>781</v>
      </c>
      <c r="B9" s="555"/>
      <c r="C9" s="556"/>
      <c r="E9" s="480" t="s">
        <v>786</v>
      </c>
      <c r="F9" s="480" t="s">
        <v>787</v>
      </c>
      <c r="G9" s="480" t="s">
        <v>62</v>
      </c>
      <c r="H9" s="480"/>
      <c r="I9" s="480"/>
      <c r="J9" s="480"/>
      <c r="K9" s="480"/>
    </row>
    <row r="10" spans="1:15" s="484" customFormat="1">
      <c r="A10" s="557" t="s">
        <v>781</v>
      </c>
      <c r="B10" s="555"/>
      <c r="C10" s="556"/>
      <c r="E10" s="480" t="s">
        <v>788</v>
      </c>
      <c r="F10" s="480" t="s">
        <v>789</v>
      </c>
      <c r="G10" s="480" t="s">
        <v>62</v>
      </c>
      <c r="H10" s="480"/>
      <c r="I10" s="480"/>
      <c r="J10" s="480"/>
      <c r="K10" s="480"/>
    </row>
    <row r="11" spans="1:15" s="484" customFormat="1">
      <c r="A11" s="557" t="s">
        <v>781</v>
      </c>
      <c r="B11" s="555"/>
      <c r="C11" s="556"/>
      <c r="E11" s="480" t="s">
        <v>790</v>
      </c>
      <c r="F11" s="480" t="s">
        <v>791</v>
      </c>
      <c r="G11" s="480" t="s">
        <v>62</v>
      </c>
      <c r="H11" s="480"/>
      <c r="I11" s="480"/>
      <c r="J11" s="480"/>
      <c r="K11" s="480"/>
    </row>
    <row r="12" spans="1:15" s="7" customFormat="1">
      <c r="A12" s="7" t="s">
        <v>749</v>
      </c>
      <c r="C12" s="217"/>
      <c r="D12" s="218"/>
      <c r="E12" s="213" t="s">
        <v>40</v>
      </c>
      <c r="F12" s="213" t="s">
        <v>49</v>
      </c>
      <c r="G12" s="212" t="s">
        <v>62</v>
      </c>
      <c r="H12" s="213"/>
      <c r="I12" s="213"/>
      <c r="J12" s="213"/>
      <c r="K12" s="213"/>
    </row>
    <row r="13" spans="1:15">
      <c r="C13" s="19"/>
      <c r="D13" s="19"/>
      <c r="E13" s="20" t="s">
        <v>41</v>
      </c>
      <c r="F13" s="20" t="s">
        <v>60</v>
      </c>
      <c r="G13" s="18" t="s">
        <v>62</v>
      </c>
      <c r="H13" s="19" t="s">
        <v>1645</v>
      </c>
      <c r="I13" s="19"/>
      <c r="J13" s="19"/>
      <c r="K13" s="19"/>
    </row>
    <row r="14" spans="1:15">
      <c r="B14" s="7"/>
      <c r="C14" s="20"/>
      <c r="D14" s="19"/>
      <c r="E14" s="20" t="s">
        <v>93</v>
      </c>
      <c r="F14" s="20" t="s">
        <v>94</v>
      </c>
      <c r="G14" s="18" t="s">
        <v>62</v>
      </c>
      <c r="H14" s="19" t="s">
        <v>1645</v>
      </c>
      <c r="I14" s="19"/>
      <c r="J14" s="19"/>
      <c r="K14" s="19"/>
      <c r="M14" s="99"/>
      <c r="N14" s="99"/>
      <c r="O14" s="99"/>
    </row>
    <row r="15" spans="1:15">
      <c r="B15" s="7"/>
      <c r="C15" s="20"/>
      <c r="D15" s="19"/>
      <c r="E15" s="18" t="s">
        <v>75</v>
      </c>
      <c r="F15" s="18" t="s">
        <v>179</v>
      </c>
      <c r="G15" s="18" t="s">
        <v>62</v>
      </c>
      <c r="H15" s="19"/>
      <c r="I15" s="19"/>
      <c r="J15" s="19"/>
      <c r="K15" s="19"/>
    </row>
    <row r="16" spans="1:15">
      <c r="B16" s="7"/>
      <c r="C16" s="20"/>
      <c r="D16" s="19"/>
      <c r="E16" s="18" t="s">
        <v>100</v>
      </c>
      <c r="F16" s="18" t="s">
        <v>193</v>
      </c>
      <c r="G16" s="18" t="s">
        <v>62</v>
      </c>
      <c r="H16" s="19"/>
      <c r="I16" s="19"/>
      <c r="J16" s="19"/>
      <c r="K16" s="19"/>
      <c r="M16" s="99"/>
      <c r="N16" s="99"/>
      <c r="O16" s="99"/>
    </row>
    <row r="17" spans="1:15">
      <c r="B17" s="7"/>
      <c r="C17" s="20"/>
      <c r="D17" s="19"/>
      <c r="E17" s="18" t="s">
        <v>76</v>
      </c>
      <c r="F17" s="18" t="s">
        <v>77</v>
      </c>
      <c r="G17" s="18" t="s">
        <v>62</v>
      </c>
      <c r="H17" s="19"/>
      <c r="I17" s="19"/>
      <c r="J17" s="19"/>
      <c r="K17" s="19"/>
      <c r="M17" s="99"/>
      <c r="N17" s="99"/>
      <c r="O17" s="99"/>
    </row>
    <row r="18" spans="1:15">
      <c r="B18" s="7"/>
      <c r="C18" s="20"/>
      <c r="D18" s="19"/>
      <c r="E18" s="18" t="s">
        <v>79</v>
      </c>
      <c r="F18" s="18" t="s">
        <v>78</v>
      </c>
      <c r="G18" s="18" t="s">
        <v>62</v>
      </c>
      <c r="H18" s="19"/>
      <c r="I18" s="19"/>
      <c r="J18" s="19"/>
      <c r="K18" s="19"/>
      <c r="M18" s="99"/>
      <c r="N18" s="99"/>
      <c r="O18" s="99"/>
    </row>
    <row r="19" spans="1:15">
      <c r="B19" s="7"/>
      <c r="C19" s="20"/>
      <c r="D19" s="19"/>
      <c r="E19" s="20" t="s">
        <v>45</v>
      </c>
      <c r="F19" s="20" t="s">
        <v>51</v>
      </c>
      <c r="G19" s="18" t="s">
        <v>62</v>
      </c>
      <c r="H19" s="19"/>
      <c r="I19" s="19"/>
      <c r="J19" s="19"/>
      <c r="K19" s="19"/>
    </row>
    <row r="20" spans="1:15">
      <c r="B20" s="7"/>
      <c r="C20" s="20"/>
      <c r="D20" s="481"/>
      <c r="E20" s="20" t="s">
        <v>44</v>
      </c>
      <c r="F20" s="20" t="s">
        <v>50</v>
      </c>
      <c r="G20" s="18" t="s">
        <v>62</v>
      </c>
      <c r="H20" s="481"/>
      <c r="I20" s="481"/>
      <c r="J20" s="481"/>
      <c r="K20" s="481"/>
    </row>
    <row r="21" spans="1:15" s="484" customFormat="1">
      <c r="B21" s="7"/>
      <c r="C21" s="20"/>
      <c r="D21" s="481"/>
      <c r="E21" s="20" t="s">
        <v>759</v>
      </c>
      <c r="F21" s="20" t="s">
        <v>760</v>
      </c>
      <c r="G21" s="18" t="s">
        <v>62</v>
      </c>
      <c r="H21" s="481"/>
      <c r="I21" s="481"/>
      <c r="J21" s="481"/>
      <c r="K21" s="481"/>
    </row>
    <row r="22" spans="1:15">
      <c r="C22" s="525"/>
      <c r="D22" s="525"/>
      <c r="E22" s="526" t="s">
        <v>702</v>
      </c>
      <c r="F22" s="526" t="s">
        <v>696</v>
      </c>
      <c r="G22" s="526" t="s">
        <v>62</v>
      </c>
      <c r="H22" s="526"/>
      <c r="I22" s="525"/>
      <c r="J22" s="525"/>
      <c r="K22" s="525"/>
    </row>
    <row r="23" spans="1:15">
      <c r="A23" s="484" t="s">
        <v>752</v>
      </c>
      <c r="C23" s="19"/>
      <c r="D23" s="19"/>
      <c r="E23" s="20" t="s">
        <v>192</v>
      </c>
      <c r="F23" s="20" t="s">
        <v>55</v>
      </c>
      <c r="G23" s="18" t="s">
        <v>62</v>
      </c>
      <c r="H23" s="19"/>
      <c r="I23" s="19"/>
      <c r="J23" s="19"/>
      <c r="K23" s="19"/>
    </row>
    <row r="24" spans="1:15">
      <c r="B24" s="484"/>
      <c r="C24" s="481"/>
      <c r="D24" s="481"/>
      <c r="E24" s="398" t="s">
        <v>747</v>
      </c>
      <c r="F24" s="398" t="s">
        <v>748</v>
      </c>
      <c r="G24" s="398" t="s">
        <v>62</v>
      </c>
      <c r="H24" s="20"/>
      <c r="I24" s="20"/>
      <c r="J24" s="481"/>
      <c r="K24" s="481"/>
    </row>
    <row r="25" spans="1:15" s="484" customFormat="1">
      <c r="B25"/>
      <c r="C25" s="481"/>
      <c r="D25" s="481"/>
      <c r="E25" s="18" t="s">
        <v>357</v>
      </c>
      <c r="F25" s="18" t="s">
        <v>358</v>
      </c>
      <c r="G25" s="18" t="s">
        <v>62</v>
      </c>
      <c r="H25" s="20"/>
      <c r="I25" s="481"/>
      <c r="J25" s="481"/>
      <c r="K25" s="481"/>
    </row>
    <row r="26" spans="1:15">
      <c r="B26" s="484"/>
      <c r="C26" s="481"/>
      <c r="D26" s="481"/>
      <c r="E26" s="398" t="s">
        <v>755</v>
      </c>
      <c r="F26" s="398" t="s">
        <v>756</v>
      </c>
      <c r="G26" s="18" t="s">
        <v>62</v>
      </c>
      <c r="H26" s="20"/>
      <c r="I26" s="481"/>
      <c r="J26" s="481"/>
      <c r="K26" s="481"/>
      <c r="L26" s="1"/>
      <c r="M26" s="1"/>
    </row>
    <row r="27" spans="1:15">
      <c r="B27" s="484"/>
      <c r="C27" s="481"/>
      <c r="D27" s="481"/>
      <c r="E27" s="398" t="s">
        <v>757</v>
      </c>
      <c r="F27" s="398" t="s">
        <v>758</v>
      </c>
      <c r="G27" s="18" t="s">
        <v>62</v>
      </c>
      <c r="H27" s="20"/>
      <c r="I27" s="481"/>
      <c r="J27" s="481"/>
      <c r="K27" s="481"/>
      <c r="L27" s="1"/>
      <c r="M27" s="1"/>
    </row>
    <row r="28" spans="1:15" s="484" customFormat="1">
      <c r="C28" s="481"/>
      <c r="D28" s="481"/>
      <c r="E28" s="398" t="s">
        <v>761</v>
      </c>
      <c r="F28" s="398" t="s">
        <v>762</v>
      </c>
      <c r="G28" s="398" t="s">
        <v>62</v>
      </c>
      <c r="H28" s="20"/>
      <c r="I28" s="481"/>
      <c r="J28" s="481"/>
      <c r="K28" s="481"/>
      <c r="L28" s="1"/>
      <c r="M28" s="1"/>
      <c r="N28" s="519"/>
      <c r="O28" s="519"/>
    </row>
    <row r="29" spans="1:15">
      <c r="C29" s="525"/>
      <c r="D29" s="525"/>
      <c r="E29" s="526" t="s">
        <v>692</v>
      </c>
      <c r="F29" s="526" t="s">
        <v>693</v>
      </c>
      <c r="G29" s="526" t="s">
        <v>62</v>
      </c>
      <c r="H29" s="526"/>
      <c r="I29" s="525"/>
      <c r="J29" s="525"/>
      <c r="K29" s="525"/>
    </row>
    <row r="30" spans="1:15">
      <c r="B30" s="7"/>
      <c r="C30" s="20"/>
      <c r="D30" s="19"/>
      <c r="E30" s="398" t="s">
        <v>578</v>
      </c>
      <c r="F30" s="398" t="s">
        <v>579</v>
      </c>
      <c r="G30" s="398" t="s">
        <v>62</v>
      </c>
      <c r="H30" s="19"/>
      <c r="I30" s="19"/>
      <c r="J30" s="481"/>
      <c r="K30" s="481"/>
    </row>
    <row r="31" spans="1:15">
      <c r="B31" s="7"/>
      <c r="C31" s="20"/>
      <c r="D31" s="19"/>
      <c r="E31" s="398" t="s">
        <v>580</v>
      </c>
      <c r="F31" s="398" t="s">
        <v>581</v>
      </c>
      <c r="G31" s="398" t="s">
        <v>62</v>
      </c>
      <c r="H31" s="19"/>
      <c r="I31" s="19"/>
      <c r="J31" s="481"/>
      <c r="K31" s="481"/>
    </row>
    <row r="32" spans="1:15" s="484" customFormat="1">
      <c r="B32" s="480"/>
      <c r="C32" s="480"/>
      <c r="D32" s="480"/>
      <c r="E32" s="543" t="s">
        <v>764</v>
      </c>
      <c r="F32" s="543" t="s">
        <v>763</v>
      </c>
      <c r="G32" s="543" t="s">
        <v>62</v>
      </c>
      <c r="H32" s="480"/>
      <c r="I32" s="524"/>
      <c r="J32" s="481"/>
      <c r="K32" s="481"/>
    </row>
    <row r="33" spans="1:15">
      <c r="B33" s="7"/>
      <c r="C33" s="20"/>
      <c r="D33" s="19"/>
      <c r="E33" s="398" t="s">
        <v>582</v>
      </c>
      <c r="F33" s="398" t="s">
        <v>583</v>
      </c>
      <c r="G33" s="398" t="s">
        <v>62</v>
      </c>
      <c r="H33" s="19"/>
      <c r="I33" s="19"/>
      <c r="J33" s="481"/>
      <c r="K33" s="481"/>
    </row>
    <row r="34" spans="1:15">
      <c r="B34" s="7"/>
      <c r="C34" s="20"/>
      <c r="D34" s="19"/>
      <c r="E34" s="398" t="s">
        <v>584</v>
      </c>
      <c r="F34" s="398" t="s">
        <v>585</v>
      </c>
      <c r="G34" s="398" t="s">
        <v>62</v>
      </c>
      <c r="H34" s="19"/>
      <c r="I34" s="19"/>
      <c r="J34" s="481"/>
      <c r="K34" s="481"/>
    </row>
    <row r="35" spans="1:15" s="484" customFormat="1">
      <c r="B35" s="480"/>
      <c r="C35" s="480"/>
      <c r="D35" s="480"/>
      <c r="E35" s="543" t="s">
        <v>765</v>
      </c>
      <c r="F35" s="543" t="s">
        <v>766</v>
      </c>
      <c r="G35" s="543" t="s">
        <v>62</v>
      </c>
      <c r="H35" s="480"/>
      <c r="I35" s="524"/>
      <c r="J35" s="481"/>
      <c r="K35" s="481"/>
      <c r="L35" s="1"/>
      <c r="M35" s="1"/>
    </row>
    <row r="36" spans="1:15">
      <c r="B36" s="7"/>
      <c r="C36" s="20"/>
      <c r="D36" s="19"/>
      <c r="E36" s="398" t="s">
        <v>586</v>
      </c>
      <c r="F36" s="398" t="s">
        <v>587</v>
      </c>
      <c r="G36" s="398" t="s">
        <v>62</v>
      </c>
      <c r="H36" s="19"/>
      <c r="I36" s="19"/>
      <c r="J36" s="481"/>
      <c r="K36" s="481"/>
    </row>
    <row r="37" spans="1:15" s="484" customFormat="1">
      <c r="B37" s="7"/>
      <c r="C37" s="20"/>
      <c r="D37" s="19"/>
      <c r="E37" s="398" t="s">
        <v>588</v>
      </c>
      <c r="F37" s="398" t="s">
        <v>589</v>
      </c>
      <c r="G37" s="398" t="s">
        <v>62</v>
      </c>
      <c r="H37" s="19"/>
      <c r="I37" s="19"/>
      <c r="J37" s="481"/>
      <c r="K37" s="481"/>
    </row>
    <row r="38" spans="1:15" s="484" customFormat="1">
      <c r="B38" s="480"/>
      <c r="C38" s="480"/>
      <c r="D38" s="480"/>
      <c r="E38" s="543" t="s">
        <v>767</v>
      </c>
      <c r="F38" s="543" t="s">
        <v>768</v>
      </c>
      <c r="G38" s="543" t="s">
        <v>62</v>
      </c>
      <c r="H38" s="480"/>
      <c r="I38" s="524"/>
      <c r="J38" s="481"/>
      <c r="K38" s="481"/>
    </row>
    <row r="39" spans="1:15" s="484" customFormat="1">
      <c r="B39" s="7"/>
      <c r="C39" s="20"/>
      <c r="D39" s="19"/>
      <c r="E39" s="398" t="s">
        <v>590</v>
      </c>
      <c r="F39" s="398" t="s">
        <v>591</v>
      </c>
      <c r="G39" s="398" t="s">
        <v>62</v>
      </c>
      <c r="H39" s="481"/>
      <c r="I39" s="19"/>
      <c r="J39" s="481"/>
      <c r="K39" s="481"/>
    </row>
    <row r="40" spans="1:15">
      <c r="B40" s="7"/>
      <c r="C40" s="20"/>
      <c r="D40" s="19"/>
      <c r="E40" s="398" t="s">
        <v>592</v>
      </c>
      <c r="F40" s="398" t="s">
        <v>593</v>
      </c>
      <c r="G40" s="398" t="s">
        <v>62</v>
      </c>
      <c r="H40" s="481"/>
      <c r="I40" s="19"/>
      <c r="J40" s="481"/>
      <c r="K40" s="481"/>
    </row>
    <row r="41" spans="1:15">
      <c r="B41" s="480"/>
      <c r="C41" s="480"/>
      <c r="D41" s="480"/>
      <c r="E41" s="543" t="s">
        <v>769</v>
      </c>
      <c r="F41" s="543" t="s">
        <v>770</v>
      </c>
      <c r="G41" s="543" t="s">
        <v>62</v>
      </c>
      <c r="H41" s="480"/>
      <c r="I41" s="524"/>
      <c r="J41" s="481"/>
      <c r="K41" s="481"/>
      <c r="M41" s="99"/>
      <c r="N41" s="99"/>
      <c r="O41" s="99"/>
    </row>
    <row r="42" spans="1:15">
      <c r="C42" s="481"/>
      <c r="D42" s="481"/>
      <c r="E42" s="18" t="s">
        <v>351</v>
      </c>
      <c r="F42" s="20" t="s">
        <v>353</v>
      </c>
      <c r="G42" s="18" t="s">
        <v>62</v>
      </c>
      <c r="H42" s="20"/>
      <c r="I42" s="481"/>
      <c r="J42" s="481"/>
      <c r="K42" s="481"/>
      <c r="M42" s="99"/>
      <c r="N42" s="99"/>
      <c r="O42" s="99"/>
    </row>
    <row r="43" spans="1:15" s="484" customFormat="1">
      <c r="B43"/>
      <c r="C43" s="481"/>
      <c r="D43" s="481"/>
      <c r="E43" s="18" t="s">
        <v>352</v>
      </c>
      <c r="F43" s="20" t="s">
        <v>354</v>
      </c>
      <c r="G43" s="18" t="s">
        <v>62</v>
      </c>
      <c r="H43" s="20"/>
      <c r="I43" s="481"/>
      <c r="J43" s="481"/>
      <c r="K43" s="481"/>
      <c r="M43" s="549"/>
      <c r="N43" s="549"/>
      <c r="O43" s="549"/>
    </row>
    <row r="44" spans="1:15">
      <c r="B44" s="480"/>
      <c r="C44" s="520"/>
      <c r="D44" s="520"/>
      <c r="E44" s="521" t="s">
        <v>771</v>
      </c>
      <c r="F44" s="521" t="s">
        <v>772</v>
      </c>
      <c r="G44" s="521" t="s">
        <v>62</v>
      </c>
      <c r="H44" s="520"/>
      <c r="I44" s="550"/>
      <c r="J44" s="520"/>
      <c r="K44" s="520"/>
      <c r="M44" s="99"/>
      <c r="N44" s="99"/>
      <c r="O44" s="99"/>
    </row>
    <row r="45" spans="1:15" s="602" customFormat="1">
      <c r="B45" s="480"/>
      <c r="C45" s="520"/>
      <c r="D45" s="520"/>
      <c r="E45" s="521" t="s">
        <v>1648</v>
      </c>
      <c r="F45" s="521" t="s">
        <v>1649</v>
      </c>
      <c r="G45" s="521" t="s">
        <v>62</v>
      </c>
      <c r="H45" s="520"/>
      <c r="I45" s="550"/>
      <c r="J45" s="520"/>
      <c r="K45" s="520"/>
      <c r="M45" s="99"/>
      <c r="N45" s="99"/>
      <c r="O45" s="99"/>
    </row>
    <row r="46" spans="1:15">
      <c r="A46" s="484" t="s">
        <v>56</v>
      </c>
      <c r="C46" s="545"/>
      <c r="D46" s="545"/>
      <c r="E46" s="546" t="s">
        <v>42</v>
      </c>
      <c r="F46" s="546" t="s">
        <v>56</v>
      </c>
      <c r="G46" s="547" t="s">
        <v>62</v>
      </c>
      <c r="H46" s="545"/>
      <c r="I46" s="545"/>
      <c r="J46" s="545"/>
      <c r="K46" s="545"/>
      <c r="M46" s="99"/>
      <c r="N46" s="99"/>
      <c r="O46" s="99"/>
    </row>
    <row r="47" spans="1:15" s="484" customFormat="1">
      <c r="A47" s="484" t="s">
        <v>750</v>
      </c>
      <c r="B47"/>
      <c r="C47" s="19"/>
      <c r="D47" s="19"/>
      <c r="E47" s="20" t="s">
        <v>43</v>
      </c>
      <c r="F47" s="20" t="s">
        <v>57</v>
      </c>
      <c r="G47" s="18" t="s">
        <v>62</v>
      </c>
      <c r="H47" s="19"/>
      <c r="I47" s="19"/>
      <c r="J47" s="19"/>
      <c r="K47" s="19"/>
      <c r="M47" s="549"/>
      <c r="N47" s="549"/>
      <c r="O47" s="549"/>
    </row>
    <row r="48" spans="1:15">
      <c r="B48" s="484"/>
      <c r="C48" s="481"/>
      <c r="D48" s="481"/>
      <c r="E48" s="20" t="s">
        <v>726</v>
      </c>
      <c r="F48" s="20" t="s">
        <v>727</v>
      </c>
      <c r="G48" s="398" t="s">
        <v>62</v>
      </c>
      <c r="H48" s="481"/>
      <c r="I48" s="481"/>
      <c r="J48" s="481"/>
      <c r="K48" s="481"/>
      <c r="M48" s="99"/>
      <c r="N48" s="99"/>
      <c r="O48" s="99"/>
    </row>
    <row r="49" spans="1:15">
      <c r="B49" s="7"/>
      <c r="C49" s="20"/>
      <c r="D49" s="481"/>
      <c r="E49" s="21" t="s">
        <v>72</v>
      </c>
      <c r="F49" s="21" t="s">
        <v>71</v>
      </c>
      <c r="G49" s="18" t="s">
        <v>62</v>
      </c>
      <c r="H49" s="481"/>
      <c r="I49" s="481"/>
      <c r="J49" s="481"/>
      <c r="K49" s="481"/>
      <c r="M49" s="99"/>
      <c r="N49" s="99"/>
      <c r="O49" s="99"/>
    </row>
    <row r="50" spans="1:15" s="484" customFormat="1">
      <c r="B50" s="7"/>
      <c r="C50" s="20"/>
      <c r="D50" s="481"/>
      <c r="E50" s="21" t="s">
        <v>73</v>
      </c>
      <c r="F50" s="21" t="s">
        <v>74</v>
      </c>
      <c r="G50" s="18" t="s">
        <v>62</v>
      </c>
      <c r="H50" s="481"/>
      <c r="I50" s="481"/>
      <c r="J50" s="481"/>
      <c r="K50" s="481"/>
      <c r="M50" s="549"/>
      <c r="N50" s="549"/>
      <c r="O50" s="549"/>
    </row>
    <row r="51" spans="1:15">
      <c r="B51" s="7"/>
      <c r="C51" s="20"/>
      <c r="D51" s="481"/>
      <c r="E51" s="398" t="s">
        <v>722</v>
      </c>
      <c r="F51" s="398" t="s">
        <v>723</v>
      </c>
      <c r="G51" s="398" t="s">
        <v>62</v>
      </c>
      <c r="H51" s="481"/>
      <c r="I51" s="481"/>
      <c r="J51" s="481"/>
      <c r="K51" s="481"/>
      <c r="M51" s="99"/>
      <c r="N51" s="99"/>
      <c r="O51" s="99"/>
    </row>
    <row r="52" spans="1:15">
      <c r="C52" s="52"/>
      <c r="D52" s="15"/>
      <c r="E52" s="18" t="s">
        <v>347</v>
      </c>
      <c r="F52" s="18" t="s">
        <v>348</v>
      </c>
      <c r="G52" s="18" t="s">
        <v>62</v>
      </c>
      <c r="H52" s="481"/>
      <c r="I52" s="15"/>
      <c r="J52" s="481"/>
      <c r="K52" s="15"/>
    </row>
    <row r="53" spans="1:15" s="484" customFormat="1">
      <c r="B53"/>
      <c r="C53" s="15"/>
      <c r="D53" s="15"/>
      <c r="E53" s="18" t="s">
        <v>349</v>
      </c>
      <c r="F53" s="18" t="s">
        <v>350</v>
      </c>
      <c r="G53" s="18" t="s">
        <v>62</v>
      </c>
      <c r="H53" s="542"/>
      <c r="I53" s="15"/>
      <c r="J53" s="481"/>
      <c r="K53" s="15"/>
      <c r="M53" s="549"/>
      <c r="N53" s="549"/>
      <c r="O53" s="549"/>
    </row>
    <row r="54" spans="1:15">
      <c r="C54" s="15"/>
      <c r="D54" s="15"/>
      <c r="E54" s="18" t="s">
        <v>359</v>
      </c>
      <c r="F54" s="18" t="s">
        <v>360</v>
      </c>
      <c r="G54" s="18" t="s">
        <v>62</v>
      </c>
      <c r="H54" s="542"/>
      <c r="I54" s="15"/>
      <c r="J54" s="481"/>
      <c r="K54" s="15"/>
    </row>
    <row r="55" spans="1:15">
      <c r="B55" s="484"/>
      <c r="C55" s="480"/>
      <c r="D55" s="480"/>
      <c r="E55" s="542" t="s">
        <v>746</v>
      </c>
      <c r="F55" s="542" t="s">
        <v>745</v>
      </c>
      <c r="G55" s="543" t="s">
        <v>62</v>
      </c>
      <c r="H55" s="542"/>
      <c r="I55" s="480"/>
      <c r="J55" s="481"/>
      <c r="K55" s="480"/>
    </row>
    <row r="56" spans="1:15" s="484" customFormat="1">
      <c r="B56"/>
      <c r="C56" s="525"/>
      <c r="D56" s="525"/>
      <c r="E56" s="526" t="s">
        <v>694</v>
      </c>
      <c r="F56" s="526" t="s">
        <v>695</v>
      </c>
      <c r="G56" s="526" t="s">
        <v>62</v>
      </c>
      <c r="H56" s="526"/>
      <c r="I56" s="525"/>
      <c r="J56" s="525"/>
      <c r="K56" s="525"/>
    </row>
    <row r="57" spans="1:15">
      <c r="A57" s="484" t="s">
        <v>778</v>
      </c>
      <c r="C57" s="554"/>
      <c r="D57" s="484"/>
      <c r="E57" s="480" t="s">
        <v>736</v>
      </c>
      <c r="F57" s="480" t="s">
        <v>739</v>
      </c>
      <c r="G57" s="524" t="s">
        <v>62</v>
      </c>
      <c r="H57" s="524" t="s">
        <v>1645</v>
      </c>
    </row>
    <row r="58" spans="1:15">
      <c r="A58" s="1"/>
      <c r="B58" s="1"/>
      <c r="C58" s="525"/>
      <c r="D58" s="525"/>
      <c r="E58" s="520" t="s">
        <v>735</v>
      </c>
      <c r="F58" s="520" t="s">
        <v>740</v>
      </c>
      <c r="G58" s="550" t="s">
        <v>62</v>
      </c>
      <c r="H58" s="525" t="s">
        <v>1645</v>
      </c>
      <c r="I58" s="525"/>
      <c r="J58" s="525"/>
      <c r="K58" s="525"/>
    </row>
    <row r="59" spans="1:15" s="404" customFormat="1">
      <c r="A59" s="484" t="s">
        <v>751</v>
      </c>
      <c r="B59"/>
      <c r="C59" s="19"/>
      <c r="D59" s="19"/>
      <c r="E59" s="20" t="s">
        <v>46</v>
      </c>
      <c r="F59" s="20" t="s">
        <v>53</v>
      </c>
      <c r="G59" s="18" t="s">
        <v>62</v>
      </c>
      <c r="H59" s="19"/>
      <c r="I59" s="19"/>
      <c r="J59" s="19"/>
      <c r="K59" s="19"/>
      <c r="L59" s="1"/>
      <c r="M59" s="1"/>
    </row>
    <row r="60" spans="1:15">
      <c r="C60" s="19"/>
      <c r="D60" s="19"/>
      <c r="E60" s="20" t="s">
        <v>47</v>
      </c>
      <c r="F60" s="20" t="s">
        <v>52</v>
      </c>
      <c r="G60" s="18" t="s">
        <v>62</v>
      </c>
      <c r="H60" s="19"/>
      <c r="I60" s="19"/>
      <c r="J60" s="19"/>
      <c r="K60" s="19"/>
    </row>
    <row r="61" spans="1:15">
      <c r="C61" s="19"/>
      <c r="D61" s="19"/>
      <c r="E61" s="20" t="s">
        <v>48</v>
      </c>
      <c r="F61" s="20" t="s">
        <v>54</v>
      </c>
      <c r="G61" s="18" t="s">
        <v>62</v>
      </c>
      <c r="H61" s="19"/>
      <c r="I61" s="19"/>
      <c r="J61" s="19"/>
      <c r="K61" s="19"/>
    </row>
    <row r="62" spans="1:15">
      <c r="C62" s="19"/>
      <c r="D62" s="19"/>
      <c r="E62" s="20" t="s">
        <v>58</v>
      </c>
      <c r="F62" s="20" t="s">
        <v>59</v>
      </c>
      <c r="G62" s="18" t="s">
        <v>62</v>
      </c>
      <c r="H62" s="19"/>
      <c r="I62" s="19"/>
      <c r="J62" s="19"/>
      <c r="K62" s="19"/>
    </row>
    <row r="63" spans="1:15" ht="15">
      <c r="B63" s="404"/>
      <c r="C63" s="520"/>
      <c r="D63" s="520"/>
      <c r="E63" s="548" t="s">
        <v>685</v>
      </c>
      <c r="F63" s="548" t="s">
        <v>686</v>
      </c>
      <c r="G63" s="548" t="s">
        <v>62</v>
      </c>
      <c r="H63" s="520"/>
      <c r="I63" s="520"/>
      <c r="J63" s="520"/>
      <c r="K63" s="520"/>
    </row>
    <row r="64" spans="1:15">
      <c r="A64" s="484" t="s">
        <v>773</v>
      </c>
      <c r="C64" s="552"/>
      <c r="D64" s="552"/>
      <c r="E64" s="553" t="s">
        <v>703</v>
      </c>
      <c r="F64" s="553" t="s">
        <v>704</v>
      </c>
      <c r="G64" s="553" t="s">
        <v>62</v>
      </c>
      <c r="H64" s="553"/>
      <c r="I64" s="552"/>
      <c r="J64" s="552"/>
      <c r="K64" s="552"/>
    </row>
    <row r="65" spans="1:14" s="602" customFormat="1">
      <c r="C65" s="1"/>
      <c r="D65" s="1"/>
      <c r="E65" s="20" t="s">
        <v>1607</v>
      </c>
      <c r="F65" s="20" t="s">
        <v>1646</v>
      </c>
      <c r="G65" s="398" t="s">
        <v>62</v>
      </c>
      <c r="H65" s="3"/>
      <c r="I65" s="1"/>
      <c r="J65" s="1"/>
      <c r="K65" s="1"/>
    </row>
    <row r="66" spans="1:14" ht="15">
      <c r="A66" s="484" t="s">
        <v>753</v>
      </c>
      <c r="C66" s="15"/>
      <c r="D66" s="15"/>
      <c r="E66" s="18" t="s">
        <v>355</v>
      </c>
      <c r="F66" s="392" t="s">
        <v>356</v>
      </c>
      <c r="G66" s="18" t="s">
        <v>62</v>
      </c>
      <c r="H66" s="542"/>
      <c r="I66" s="15"/>
      <c r="J66" s="15"/>
      <c r="K66" s="15"/>
    </row>
    <row r="67" spans="1:14">
      <c r="C67" s="481"/>
      <c r="D67" s="481"/>
      <c r="E67" s="18" t="s">
        <v>363</v>
      </c>
      <c r="F67" s="18" t="s">
        <v>364</v>
      </c>
      <c r="G67" s="18" t="s">
        <v>62</v>
      </c>
      <c r="H67" s="20"/>
      <c r="I67" s="481"/>
      <c r="J67" s="481"/>
      <c r="K67" s="481"/>
    </row>
    <row r="68" spans="1:14">
      <c r="C68" s="481"/>
      <c r="D68" s="481"/>
      <c r="E68" s="18" t="s">
        <v>365</v>
      </c>
      <c r="F68" s="398" t="s">
        <v>366</v>
      </c>
      <c r="G68" s="18" t="s">
        <v>62</v>
      </c>
      <c r="H68" s="20"/>
      <c r="I68" s="481"/>
      <c r="J68" s="481"/>
      <c r="K68" s="481"/>
    </row>
    <row r="69" spans="1:14">
      <c r="C69" s="520"/>
      <c r="D69" s="520"/>
      <c r="E69" s="544" t="s">
        <v>361</v>
      </c>
      <c r="F69" s="544" t="s">
        <v>362</v>
      </c>
      <c r="G69" s="544" t="s">
        <v>62</v>
      </c>
      <c r="H69" s="522"/>
      <c r="I69" s="520"/>
      <c r="J69" s="520"/>
      <c r="K69" s="520"/>
    </row>
    <row r="70" spans="1:14">
      <c r="C70" s="211" t="s">
        <v>153</v>
      </c>
      <c r="D70" s="211"/>
      <c r="E70" s="212" t="s">
        <v>213</v>
      </c>
      <c r="F70" s="1165" t="s">
        <v>256</v>
      </c>
      <c r="G70" s="212" t="s">
        <v>154</v>
      </c>
      <c r="H70" s="211"/>
      <c r="I70" s="211"/>
      <c r="J70" s="211"/>
      <c r="K70" s="211"/>
    </row>
    <row r="71" spans="1:14" s="602" customFormat="1">
      <c r="C71" s="481"/>
      <c r="D71" s="481"/>
      <c r="E71" s="398" t="s">
        <v>1764</v>
      </c>
      <c r="F71" s="398" t="s">
        <v>1768</v>
      </c>
      <c r="G71" s="398" t="s">
        <v>1767</v>
      </c>
      <c r="H71" s="481"/>
      <c r="I71" s="481"/>
      <c r="J71" s="481"/>
      <c r="K71" s="481"/>
    </row>
    <row r="72" spans="1:14" s="602" customFormat="1">
      <c r="C72" s="481"/>
      <c r="D72" s="481"/>
      <c r="E72" s="398" t="s">
        <v>1765</v>
      </c>
      <c r="F72" s="398" t="s">
        <v>1766</v>
      </c>
      <c r="G72" s="398" t="s">
        <v>1767</v>
      </c>
      <c r="H72" s="481"/>
      <c r="I72" s="481"/>
      <c r="J72" s="481"/>
      <c r="K72" s="481"/>
    </row>
    <row r="73" spans="1:14">
      <c r="C73" s="15"/>
      <c r="D73" s="15"/>
      <c r="E73" s="18" t="s">
        <v>338</v>
      </c>
      <c r="F73" s="18" t="s">
        <v>339</v>
      </c>
      <c r="G73" s="18" t="s">
        <v>154</v>
      </c>
      <c r="H73" s="15"/>
      <c r="I73" s="15"/>
      <c r="J73" s="15"/>
      <c r="K73" s="15"/>
    </row>
    <row r="74" spans="1:14">
      <c r="C74" s="480"/>
      <c r="D74" s="480"/>
      <c r="E74" s="398" t="s">
        <v>340</v>
      </c>
      <c r="F74" s="18" t="s">
        <v>341</v>
      </c>
      <c r="G74" s="18" t="s">
        <v>154</v>
      </c>
      <c r="H74" s="480"/>
      <c r="I74" s="480"/>
      <c r="J74" s="480"/>
      <c r="K74" s="480"/>
    </row>
    <row r="75" spans="1:14" s="602" customFormat="1">
      <c r="C75" s="480"/>
      <c r="D75" s="480"/>
      <c r="E75" s="524" t="s">
        <v>1622</v>
      </c>
      <c r="F75" s="524" t="s">
        <v>1623</v>
      </c>
      <c r="G75" s="524" t="s">
        <v>154</v>
      </c>
      <c r="H75" s="480"/>
      <c r="I75" s="480"/>
      <c r="J75" s="480"/>
      <c r="K75" s="480"/>
    </row>
    <row r="76" spans="1:14" s="484" customFormat="1">
      <c r="C76" s="480"/>
      <c r="D76" s="480"/>
      <c r="E76" s="18" t="s">
        <v>741</v>
      </c>
      <c r="F76" s="18" t="s">
        <v>741</v>
      </c>
      <c r="G76" s="18" t="s">
        <v>154</v>
      </c>
      <c r="H76" s="480"/>
      <c r="I76" s="480"/>
      <c r="J76" s="481"/>
      <c r="K76" s="480"/>
    </row>
    <row r="77" spans="1:14" s="484" customFormat="1">
      <c r="B77" s="480"/>
      <c r="C77" s="480"/>
      <c r="D77" s="480"/>
      <c r="E77" s="543" t="s">
        <v>774</v>
      </c>
      <c r="F77" s="543" t="s">
        <v>775</v>
      </c>
      <c r="G77" s="7" t="s">
        <v>154</v>
      </c>
      <c r="H77" s="542"/>
      <c r="I77" s="543"/>
      <c r="J77" s="20"/>
      <c r="K77" s="542"/>
    </row>
    <row r="78" spans="1:14" s="484" customFormat="1">
      <c r="B78" s="480"/>
      <c r="C78" s="480"/>
      <c r="D78" s="480"/>
      <c r="E78" s="7" t="s">
        <v>776</v>
      </c>
      <c r="F78" s="7" t="s">
        <v>777</v>
      </c>
      <c r="G78" s="7" t="s">
        <v>154</v>
      </c>
      <c r="H78" s="7"/>
      <c r="I78" s="543"/>
      <c r="J78" s="20"/>
      <c r="K78" s="542"/>
    </row>
    <row r="79" spans="1:14">
      <c r="C79" s="481"/>
      <c r="D79" s="481"/>
      <c r="E79" s="3" t="s">
        <v>697</v>
      </c>
      <c r="F79" s="3" t="s">
        <v>698</v>
      </c>
      <c r="G79" s="3" t="s">
        <v>154</v>
      </c>
      <c r="H79" s="481"/>
      <c r="I79" s="481"/>
      <c r="J79" s="481"/>
      <c r="K79" s="481"/>
      <c r="L79" s="1"/>
      <c r="M79" s="1"/>
      <c r="N79" s="1"/>
    </row>
    <row r="80" spans="1:14" ht="15.75" customHeight="1">
      <c r="C80" s="525"/>
      <c r="D80" s="525"/>
      <c r="E80" s="521" t="s">
        <v>718</v>
      </c>
      <c r="F80" s="521" t="s">
        <v>719</v>
      </c>
      <c r="G80" s="521" t="s">
        <v>154</v>
      </c>
      <c r="H80" s="525"/>
      <c r="I80" s="525"/>
      <c r="J80" s="525"/>
      <c r="K80" s="525"/>
      <c r="L80" s="1"/>
      <c r="M80" s="1"/>
      <c r="N80" s="1"/>
    </row>
    <row r="81" spans="1:20">
      <c r="A81" s="484" t="s">
        <v>754</v>
      </c>
      <c r="B81" s="7"/>
      <c r="C81" s="484" t="s">
        <v>39</v>
      </c>
      <c r="D81" s="19"/>
      <c r="E81" s="23" t="s">
        <v>212</v>
      </c>
      <c r="F81" s="398" t="s">
        <v>859</v>
      </c>
      <c r="G81" s="18" t="s">
        <v>62</v>
      </c>
      <c r="H81" s="19"/>
      <c r="I81" s="19" t="s">
        <v>1672</v>
      </c>
      <c r="J81" s="19"/>
      <c r="K81" s="602" t="s">
        <v>1671</v>
      </c>
    </row>
    <row r="82" spans="1:20">
      <c r="B82" s="3"/>
      <c r="C82" s="20"/>
      <c r="D82" s="19"/>
      <c r="E82" s="23" t="s">
        <v>342</v>
      </c>
      <c r="F82" s="398" t="s">
        <v>860</v>
      </c>
      <c r="G82" s="18" t="s">
        <v>62</v>
      </c>
      <c r="H82" s="19"/>
      <c r="I82" s="481" t="s">
        <v>1672</v>
      </c>
      <c r="J82" s="19"/>
      <c r="K82" s="19"/>
      <c r="M82" s="3"/>
      <c r="N82" s="3"/>
      <c r="O82" s="3"/>
      <c r="P82" s="3"/>
      <c r="Q82" s="3"/>
      <c r="R82" s="3"/>
      <c r="S82" s="3"/>
      <c r="T82" s="3"/>
    </row>
    <row r="83" spans="1:20">
      <c r="B83" s="3"/>
      <c r="C83" s="522"/>
      <c r="D83" s="520"/>
      <c r="E83" s="587" t="s">
        <v>343</v>
      </c>
      <c r="F83" s="521" t="s">
        <v>861</v>
      </c>
      <c r="G83" s="544" t="s">
        <v>62</v>
      </c>
      <c r="H83" s="520"/>
      <c r="I83" s="481" t="s">
        <v>1672</v>
      </c>
      <c r="J83" s="520"/>
      <c r="K83" s="520"/>
      <c r="L83" s="1"/>
      <c r="M83" s="3"/>
      <c r="N83" s="3"/>
      <c r="O83" s="3"/>
      <c r="P83" s="3"/>
      <c r="Q83" s="3"/>
      <c r="R83" s="3"/>
      <c r="S83" s="3"/>
      <c r="T83" s="3"/>
    </row>
    <row r="84" spans="1:20">
      <c r="C84" s="484"/>
      <c r="D84" s="484"/>
      <c r="E84" s="484" t="str">
        <f t="shared" ref="E84:E94" si="0">"SUP"&amp;E12</f>
        <v>SUPCOA</v>
      </c>
      <c r="F84" s="480" t="str">
        <f t="shared" ref="F84:F94" si="1">"Supply "&amp;F12</f>
        <v>Supply Coal</v>
      </c>
      <c r="G84" s="480" t="str">
        <f>G46</f>
        <v>PJ</v>
      </c>
    </row>
    <row r="85" spans="1:20">
      <c r="C85" s="484"/>
      <c r="D85" s="484"/>
      <c r="E85" s="484" t="str">
        <f t="shared" si="0"/>
        <v>SUPNGA</v>
      </c>
      <c r="F85" s="480" t="str">
        <f t="shared" si="1"/>
        <v>Supply Natural Gas</v>
      </c>
      <c r="G85" s="480" t="str">
        <f>G47</f>
        <v>PJ</v>
      </c>
    </row>
    <row r="86" spans="1:20">
      <c r="C86" s="484"/>
      <c r="D86" s="484"/>
      <c r="E86" s="484" t="str">
        <f t="shared" si="0"/>
        <v>SUPCRD</v>
      </c>
      <c r="F86" s="480" t="str">
        <f t="shared" si="1"/>
        <v>Supply Crude Oil</v>
      </c>
      <c r="G86" s="480" t="str">
        <f>G48</f>
        <v>PJ</v>
      </c>
    </row>
    <row r="87" spans="1:20">
      <c r="C87" s="484"/>
      <c r="D87" s="484"/>
      <c r="E87" s="484" t="str">
        <f t="shared" si="0"/>
        <v>SUPLPG</v>
      </c>
      <c r="F87" s="480" t="str">
        <f t="shared" si="1"/>
        <v>Supply Liquid petrol gas</v>
      </c>
      <c r="G87" s="480" t="str">
        <f>G23</f>
        <v>PJ</v>
      </c>
    </row>
    <row r="88" spans="1:20">
      <c r="C88" s="484"/>
      <c r="D88" s="484"/>
      <c r="E88" s="484" t="str">
        <f t="shared" si="0"/>
        <v>SUPLVN</v>
      </c>
      <c r="F88" s="480" t="str">
        <f t="shared" si="1"/>
        <v>Supply Naphtha (Petroleoum)</v>
      </c>
      <c r="G88" s="480" t="str">
        <f>G59</f>
        <v>PJ</v>
      </c>
    </row>
    <row r="89" spans="1:20">
      <c r="C89" s="484"/>
      <c r="D89" s="484"/>
      <c r="E89" s="484" t="str">
        <f t="shared" si="0"/>
        <v>SUPGSL</v>
      </c>
      <c r="F89" s="480" t="str">
        <f t="shared" si="1"/>
        <v>Supply Gasoline</v>
      </c>
      <c r="G89" s="480" t="str">
        <f>G60</f>
        <v>PJ</v>
      </c>
    </row>
    <row r="90" spans="1:20">
      <c r="C90" s="484"/>
      <c r="D90" s="484"/>
      <c r="E90" s="484" t="str">
        <f t="shared" si="0"/>
        <v>SUPKER</v>
      </c>
      <c r="F90" s="480" t="str">
        <f t="shared" si="1"/>
        <v>Supply Kerosene</v>
      </c>
      <c r="G90" s="480" t="str">
        <f>G61</f>
        <v>PJ</v>
      </c>
    </row>
    <row r="91" spans="1:20">
      <c r="C91" s="484"/>
      <c r="D91" s="484"/>
      <c r="E91" s="484" t="str">
        <f t="shared" si="0"/>
        <v>SUPDSL</v>
      </c>
      <c r="F91" s="480" t="str">
        <f t="shared" si="1"/>
        <v>Supply Diesel</v>
      </c>
      <c r="G91" s="480" t="str">
        <f>G62</f>
        <v>PJ</v>
      </c>
    </row>
    <row r="92" spans="1:20">
      <c r="C92" s="484"/>
      <c r="D92" s="484"/>
      <c r="E92" s="484" t="str">
        <f t="shared" si="0"/>
        <v>SUPHFO</v>
      </c>
      <c r="F92" s="480" t="str">
        <f t="shared" si="1"/>
        <v>Supply Heavy Fuel Oil</v>
      </c>
      <c r="G92" s="480" t="str">
        <f>G63</f>
        <v>PJ</v>
      </c>
    </row>
    <row r="93" spans="1:20">
      <c r="C93" s="484"/>
      <c r="D93" s="484"/>
      <c r="E93" s="484" t="str">
        <f t="shared" si="0"/>
        <v>SUPMGO</v>
      </c>
      <c r="F93" s="480" t="str">
        <f t="shared" si="1"/>
        <v>Supply Marine Gas Oil</v>
      </c>
      <c r="G93" s="480" t="str">
        <f>G49</f>
        <v>PJ</v>
      </c>
    </row>
    <row r="94" spans="1:20">
      <c r="C94" s="484"/>
      <c r="D94" s="484"/>
      <c r="E94" s="484" t="str">
        <f t="shared" si="0"/>
        <v>SUPAGSL</v>
      </c>
      <c r="F94" s="480" t="str">
        <f t="shared" si="1"/>
        <v>Supply Aviation gasoline</v>
      </c>
      <c r="G94" s="480" t="str">
        <f>G50</f>
        <v>PJ</v>
      </c>
    </row>
    <row r="95" spans="1:20">
      <c r="C95" s="484"/>
      <c r="D95" s="484"/>
      <c r="E95" s="484" t="str">
        <f t="shared" ref="E95:E105" si="2">"SUP"&amp;E46</f>
        <v>SUPWST</v>
      </c>
      <c r="F95" s="480" t="str">
        <f t="shared" ref="F95:F105" si="3">"Supply "&amp;F46</f>
        <v>Supply Waste</v>
      </c>
      <c r="G95" s="480" t="str">
        <f>G51</f>
        <v>PJ</v>
      </c>
    </row>
    <row r="96" spans="1:20">
      <c r="C96" s="484"/>
      <c r="D96" s="484"/>
      <c r="E96" s="484" t="str">
        <f t="shared" si="2"/>
        <v>SUPSTR</v>
      </c>
      <c r="F96" s="480" t="str">
        <f t="shared" si="3"/>
        <v>Supply Straw</v>
      </c>
      <c r="G96" s="480" t="str">
        <f t="shared" ref="G96:G102" si="4">G14</f>
        <v>PJ</v>
      </c>
    </row>
    <row r="97" spans="3:11">
      <c r="C97" s="484"/>
      <c r="D97" s="484"/>
      <c r="E97" s="484" t="str">
        <f t="shared" si="2"/>
        <v>SUPGRS</v>
      </c>
      <c r="F97" s="480" t="str">
        <f t="shared" si="3"/>
        <v>Supply Grass</v>
      </c>
      <c r="G97" s="480" t="str">
        <f t="shared" si="4"/>
        <v>PJ</v>
      </c>
    </row>
    <row r="98" spans="3:11">
      <c r="C98" s="484"/>
      <c r="D98" s="484"/>
      <c r="E98" s="484" t="str">
        <f t="shared" si="2"/>
        <v>SUPWPE</v>
      </c>
      <c r="F98" s="480" t="str">
        <f t="shared" si="3"/>
        <v>Supply Wood pellets</v>
      </c>
      <c r="G98" s="480" t="str">
        <f t="shared" si="4"/>
        <v>PJ</v>
      </c>
    </row>
    <row r="99" spans="3:11">
      <c r="C99" s="484"/>
      <c r="D99" s="484"/>
      <c r="E99" s="484" t="str">
        <f t="shared" si="2"/>
        <v>SUPWCH</v>
      </c>
      <c r="F99" s="480" t="str">
        <f t="shared" si="3"/>
        <v>Supply Wood chips and wood waste</v>
      </c>
      <c r="G99" s="480" t="str">
        <f t="shared" si="4"/>
        <v>PJ</v>
      </c>
    </row>
    <row r="100" spans="3:11">
      <c r="C100" s="484"/>
      <c r="D100" s="484"/>
      <c r="E100" s="484" t="str">
        <f t="shared" si="2"/>
        <v>SUPFIW</v>
      </c>
      <c r="F100" s="480" t="str">
        <f t="shared" si="3"/>
        <v>Supply Firewood</v>
      </c>
      <c r="G100" s="480" t="str">
        <f t="shared" si="4"/>
        <v>PJ</v>
      </c>
    </row>
    <row r="101" spans="3:11">
      <c r="C101" s="484"/>
      <c r="D101" s="484"/>
      <c r="E101" s="484" t="str">
        <f t="shared" si="2"/>
        <v>SUPCRN</v>
      </c>
      <c r="F101" s="480" t="str">
        <f t="shared" si="3"/>
        <v>Supply Corn</v>
      </c>
      <c r="G101" s="480" t="str">
        <f t="shared" si="4"/>
        <v>PJ</v>
      </c>
    </row>
    <row r="102" spans="3:11">
      <c r="C102" s="484"/>
      <c r="D102" s="484"/>
      <c r="E102" s="484" t="str">
        <f t="shared" si="2"/>
        <v>SUPRPS</v>
      </c>
      <c r="F102" s="480" t="str">
        <f t="shared" si="3"/>
        <v>Supply Rapeseed</v>
      </c>
      <c r="G102" s="480" t="str">
        <f t="shared" si="4"/>
        <v>PJ</v>
      </c>
    </row>
    <row r="103" spans="3:11">
      <c r="C103" s="484"/>
      <c r="D103" s="484"/>
      <c r="E103" s="484" t="str">
        <f t="shared" si="2"/>
        <v>SUPSGB</v>
      </c>
      <c r="F103" s="480" t="str">
        <f t="shared" si="3"/>
        <v>Supply Sugar Beet</v>
      </c>
      <c r="G103" s="480" t="str">
        <f>G30</f>
        <v>PJ</v>
      </c>
    </row>
    <row r="104" spans="3:11">
      <c r="C104" s="484"/>
      <c r="D104" s="484"/>
      <c r="E104" s="484" t="str">
        <f t="shared" si="2"/>
        <v>SUPDLI</v>
      </c>
      <c r="F104" s="480" t="str">
        <f t="shared" si="3"/>
        <v>Supply Deep Litter</v>
      </c>
      <c r="G104" s="480" t="str">
        <f>G31</f>
        <v>PJ</v>
      </c>
    </row>
    <row r="105" spans="3:11">
      <c r="C105" s="484"/>
      <c r="D105" s="484"/>
      <c r="E105" s="484" t="str">
        <f t="shared" si="2"/>
        <v>SUPMNR</v>
      </c>
      <c r="F105" s="480" t="str">
        <f t="shared" si="3"/>
        <v>Supply Manure (Gylle)</v>
      </c>
      <c r="G105" s="480" t="str">
        <f>G33</f>
        <v>PJ</v>
      </c>
    </row>
    <row r="106" spans="3:11">
      <c r="C106" s="484"/>
      <c r="D106" s="484"/>
      <c r="E106" s="484" t="str">
        <f t="shared" ref="E106:E112" si="5">"SUP"&amp;E23</f>
        <v>SUPBGA</v>
      </c>
      <c r="F106" s="480" t="str">
        <f t="shared" ref="F106:F112" si="6">"Supply "&amp;F23</f>
        <v>Supply Biogas</v>
      </c>
      <c r="G106" s="480" t="str">
        <f>G34</f>
        <v>PJ</v>
      </c>
    </row>
    <row r="107" spans="3:11">
      <c r="C107" s="484"/>
      <c r="D107" s="484"/>
      <c r="E107" s="484" t="str">
        <f t="shared" si="5"/>
        <v>SUPHFB</v>
      </c>
      <c r="F107" s="480" t="str">
        <f t="shared" si="6"/>
        <v>Supply Heavy Fuel Bio Oil</v>
      </c>
      <c r="G107" s="480" t="str">
        <f>G36</f>
        <v>PJ</v>
      </c>
    </row>
    <row r="108" spans="3:11">
      <c r="C108" s="1"/>
      <c r="D108" s="1"/>
      <c r="E108" s="484" t="str">
        <f t="shared" si="5"/>
        <v>SUPDDGS</v>
      </c>
      <c r="F108" s="480" t="str">
        <f t="shared" si="6"/>
        <v>Supply Ethanol</v>
      </c>
      <c r="G108" s="481" t="str">
        <f>G37</f>
        <v>PJ</v>
      </c>
      <c r="H108" s="1"/>
      <c r="I108" s="1"/>
      <c r="J108" s="1"/>
      <c r="K108" s="1"/>
    </row>
    <row r="109" spans="3:11">
      <c r="C109" s="1"/>
      <c r="D109" s="1"/>
      <c r="E109" s="484" t="str">
        <f t="shared" si="5"/>
        <v>SUPH2</v>
      </c>
      <c r="F109" s="480" t="str">
        <f t="shared" si="6"/>
        <v>Supply Hydrogen</v>
      </c>
      <c r="G109" s="481" t="str">
        <f>G39</f>
        <v>PJ</v>
      </c>
      <c r="H109" s="1"/>
      <c r="I109" s="1"/>
      <c r="J109" s="1"/>
      <c r="K109" s="1"/>
    </row>
    <row r="110" spans="3:11">
      <c r="C110" s="1"/>
      <c r="D110" s="1"/>
      <c r="E110" s="484" t="str">
        <f t="shared" si="5"/>
        <v>SUPH2G</v>
      </c>
      <c r="F110" s="480" t="str">
        <f t="shared" si="6"/>
        <v>Supply Hydrogen Gas</v>
      </c>
      <c r="G110" s="481" t="str">
        <f>G40</f>
        <v>PJ</v>
      </c>
      <c r="H110" s="1"/>
      <c r="I110" s="1"/>
      <c r="J110" s="1"/>
      <c r="K110" s="1"/>
    </row>
    <row r="111" spans="3:11">
      <c r="C111" s="484"/>
      <c r="D111" s="484"/>
      <c r="E111" s="1" t="str">
        <f t="shared" si="5"/>
        <v>SUPAMM</v>
      </c>
      <c r="F111" s="481" t="str">
        <f t="shared" si="6"/>
        <v>Supply Ammonia (Liquid)</v>
      </c>
      <c r="G111" s="480" t="str">
        <f>G52</f>
        <v>PJ</v>
      </c>
    </row>
    <row r="112" spans="3:11">
      <c r="C112" s="484"/>
      <c r="D112" s="484"/>
      <c r="E112" s="1" t="str">
        <f t="shared" si="5"/>
        <v>SUPDME</v>
      </c>
      <c r="F112" s="481" t="str">
        <f t="shared" si="6"/>
        <v>Supply Dimethyl ether</v>
      </c>
      <c r="G112" s="480" t="str">
        <f>G53</f>
        <v>PJ</v>
      </c>
    </row>
    <row r="113" spans="3:11">
      <c r="C113" s="484"/>
      <c r="D113" s="484"/>
      <c r="E113" s="1" t="s">
        <v>1580</v>
      </c>
      <c r="F113" s="481" t="s">
        <v>1581</v>
      </c>
      <c r="G113" s="480" t="s">
        <v>62</v>
      </c>
    </row>
    <row r="114" spans="3:11">
      <c r="C114" s="484"/>
      <c r="D114" s="484"/>
      <c r="E114" s="484" t="s">
        <v>1582</v>
      </c>
      <c r="F114" s="480" t="s">
        <v>1586</v>
      </c>
      <c r="G114" s="480" t="s">
        <v>62</v>
      </c>
    </row>
    <row r="115" spans="3:11">
      <c r="C115" s="484"/>
      <c r="D115" s="484"/>
      <c r="E115" s="484" t="s">
        <v>1583</v>
      </c>
      <c r="F115" s="480" t="s">
        <v>1587</v>
      </c>
      <c r="G115" s="480" t="s">
        <v>62</v>
      </c>
    </row>
    <row r="116" spans="3:11">
      <c r="C116" s="484"/>
      <c r="D116" s="484"/>
      <c r="E116" s="484" t="s">
        <v>1584</v>
      </c>
      <c r="F116" s="480" t="s">
        <v>1588</v>
      </c>
      <c r="G116" s="480" t="s">
        <v>62</v>
      </c>
    </row>
    <row r="117" spans="3:11">
      <c r="E117" s="484" t="s">
        <v>1585</v>
      </c>
      <c r="F117" s="480" t="s">
        <v>1589</v>
      </c>
      <c r="G117" s="18" t="s">
        <v>62</v>
      </c>
    </row>
    <row r="118" spans="3:11">
      <c r="C118" t="s">
        <v>39</v>
      </c>
      <c r="E118" t="str">
        <f>Distribution!E7</f>
        <v>ELCHIG</v>
      </c>
      <c r="F118" s="480" t="s">
        <v>1661</v>
      </c>
      <c r="G118" s="398" t="s">
        <v>62</v>
      </c>
      <c r="I118" s="481" t="s">
        <v>1672</v>
      </c>
      <c r="K118" t="s">
        <v>1671</v>
      </c>
    </row>
    <row r="119" spans="3:11">
      <c r="E119" s="602" t="str">
        <f>Distribution!E8</f>
        <v>ELCMID</v>
      </c>
      <c r="F119" s="480" t="s">
        <v>1662</v>
      </c>
      <c r="G119" s="398" t="s">
        <v>62</v>
      </c>
      <c r="I119" s="481" t="s">
        <v>1672</v>
      </c>
      <c r="K119" s="602" t="s">
        <v>1671</v>
      </c>
    </row>
    <row r="120" spans="3:11">
      <c r="E120" s="602" t="str">
        <f>Distribution!E9</f>
        <v>ELCLOW</v>
      </c>
      <c r="F120" s="480" t="s">
        <v>1663</v>
      </c>
      <c r="G120" s="398" t="s">
        <v>62</v>
      </c>
      <c r="I120" s="481" t="s">
        <v>1672</v>
      </c>
      <c r="K120" s="602" t="s">
        <v>1671</v>
      </c>
    </row>
    <row r="121" spans="3:11" s="602" customFormat="1">
      <c r="E121" s="602" t="str">
        <f>Distribution!E10</f>
        <v>NGAT</v>
      </c>
      <c r="F121" s="480" t="s">
        <v>1679</v>
      </c>
      <c r="G121" s="398" t="s">
        <v>62</v>
      </c>
    </row>
    <row r="122" spans="3:11">
      <c r="E122" s="602" t="str">
        <f>Distribution!E11</f>
        <v>NGAD</v>
      </c>
      <c r="F122" s="480" t="s">
        <v>1680</v>
      </c>
      <c r="G122" s="398" t="s">
        <v>62</v>
      </c>
    </row>
    <row r="123" spans="3:11">
      <c r="E123" s="602" t="s">
        <v>1650</v>
      </c>
      <c r="F123" s="480" t="s">
        <v>1785</v>
      </c>
      <c r="G123" s="398" t="s">
        <v>62</v>
      </c>
    </row>
    <row r="124" spans="3:11">
      <c r="E124" s="602" t="s">
        <v>1651</v>
      </c>
      <c r="F124" s="480" t="s">
        <v>1786</v>
      </c>
      <c r="G124" s="398" t="s">
        <v>62</v>
      </c>
    </row>
    <row r="125" spans="3:11">
      <c r="E125" s="602" t="s">
        <v>1870</v>
      </c>
      <c r="F125" s="480" t="s">
        <v>1871</v>
      </c>
      <c r="G125" s="398" t="s">
        <v>62</v>
      </c>
    </row>
    <row r="126" spans="3:11">
      <c r="E126" s="9"/>
      <c r="F126" s="1295"/>
      <c r="G126" s="398"/>
      <c r="I126" s="588"/>
      <c r="K126" s="588"/>
    </row>
  </sheetData>
  <phoneticPr fontId="33" type="noConversion"/>
  <conditionalFormatting sqref="N28:O28">
    <cfRule type="cellIs" dxfId="43" priority="1" operator="equal">
      <formula>"no"</formula>
    </cfRule>
    <cfRule type="cellIs" dxfId="42" priority="2" operator="equal">
      <formula>"yes"</formula>
    </cfRule>
  </conditionalFormatting>
  <pageMargins left="0.75" right="0.75" top="1" bottom="1" header="0.5" footer="0.5"/>
  <pageSetup paperSize="9" orientation="portrait" horizontalDpi="300" verticalDpi="300"/>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4"/>
  </sheetPr>
  <dimension ref="A1:CH79"/>
  <sheetViews>
    <sheetView workbookViewId="0">
      <selection activeCell="D27" sqref="D27"/>
    </sheetView>
  </sheetViews>
  <sheetFormatPr baseColWidth="10" defaultColWidth="9.1640625" defaultRowHeight="13"/>
  <cols>
    <col min="1" max="1" width="17.1640625" style="606" customWidth="1"/>
    <col min="2" max="2" width="11.5" style="606" customWidth="1"/>
    <col min="3" max="3" width="5.5" style="606" customWidth="1"/>
    <col min="4" max="4" width="8.5" style="606" customWidth="1"/>
    <col min="5" max="6" width="6.1640625" style="606" customWidth="1"/>
    <col min="7" max="7" width="9.1640625" style="606"/>
    <col min="8" max="8" width="17.5" style="606" customWidth="1"/>
    <col min="9" max="9" width="13" style="606" customWidth="1"/>
    <col min="10" max="10" width="7.5" style="606" customWidth="1"/>
    <col min="11" max="11" width="6.5" style="606" customWidth="1"/>
    <col min="12" max="12" width="7.1640625" style="606" customWidth="1"/>
    <col min="13" max="13" width="6.5" style="606" customWidth="1"/>
    <col min="14" max="14" width="5.5" style="606" customWidth="1"/>
    <col min="15" max="15" width="7.1640625" style="606" customWidth="1"/>
    <col min="16" max="19" width="8.5" style="606" customWidth="1"/>
    <col min="20" max="41" width="5.5" style="606" customWidth="1"/>
    <col min="42" max="43" width="9.1640625" style="606"/>
    <col min="44" max="44" width="18.5" style="606" customWidth="1"/>
    <col min="45" max="45" width="11" style="606" customWidth="1"/>
    <col min="46" max="84" width="6.5" style="606" customWidth="1"/>
    <col min="85" max="16384" width="9.1640625" style="606"/>
  </cols>
  <sheetData>
    <row r="1" spans="1:86" ht="14" thickBot="1"/>
    <row r="2" spans="1:86">
      <c r="F2" s="637" t="s">
        <v>1398</v>
      </c>
      <c r="G2" s="775"/>
      <c r="H2" s="775"/>
      <c r="I2" s="775"/>
      <c r="J2" s="775"/>
      <c r="K2" s="775"/>
      <c r="L2" s="775"/>
      <c r="M2" s="774"/>
    </row>
    <row r="3" spans="1:86" ht="15">
      <c r="F3" s="773" t="s">
        <v>1397</v>
      </c>
      <c r="G3" s="772"/>
      <c r="H3" s="772"/>
      <c r="I3" s="772"/>
      <c r="J3" s="772"/>
      <c r="K3" s="762"/>
      <c r="L3" s="762"/>
      <c r="M3" s="771"/>
    </row>
    <row r="4" spans="1:86" ht="15">
      <c r="F4" s="640"/>
      <c r="H4" s="762" t="s">
        <v>1396</v>
      </c>
      <c r="I4" s="772" t="s">
        <v>1395</v>
      </c>
      <c r="J4" s="772"/>
      <c r="K4" s="762"/>
      <c r="L4" s="762"/>
      <c r="M4" s="771"/>
      <c r="N4" s="762"/>
      <c r="O4" s="762"/>
      <c r="P4" s="762"/>
    </row>
    <row r="5" spans="1:86" ht="16" thickBot="1">
      <c r="F5" s="770"/>
      <c r="G5" s="769"/>
      <c r="H5" s="767"/>
      <c r="I5" s="768">
        <v>7.4587000000000003</v>
      </c>
      <c r="J5" s="767"/>
      <c r="K5" s="767"/>
      <c r="L5" s="767"/>
      <c r="M5" s="766"/>
      <c r="N5" s="762"/>
      <c r="O5" s="762"/>
      <c r="P5" s="762"/>
    </row>
    <row r="6" spans="1:86" ht="15">
      <c r="A6" s="762"/>
      <c r="B6" s="762"/>
      <c r="C6" s="762"/>
      <c r="D6" s="762"/>
      <c r="E6" s="762"/>
      <c r="F6" s="762"/>
      <c r="G6" s="762"/>
      <c r="H6" s="762"/>
      <c r="I6" s="762"/>
      <c r="J6" s="762"/>
      <c r="K6" s="762"/>
      <c r="L6" s="762"/>
      <c r="M6" s="762"/>
      <c r="N6" s="762"/>
      <c r="O6" s="762"/>
      <c r="P6" s="762"/>
      <c r="Q6" s="762"/>
      <c r="R6" s="762"/>
      <c r="S6" s="762"/>
      <c r="T6" s="762"/>
      <c r="U6" s="762"/>
      <c r="V6" s="762"/>
      <c r="W6" s="762"/>
      <c r="X6" s="762"/>
      <c r="Y6" s="762"/>
      <c r="Z6" s="762"/>
      <c r="AA6" s="762"/>
      <c r="AB6" s="762"/>
      <c r="AC6" s="762"/>
      <c r="AD6" s="762"/>
      <c r="AE6" s="762"/>
      <c r="AF6" s="762"/>
      <c r="AG6" s="762"/>
      <c r="AH6" s="762"/>
      <c r="AI6" s="762"/>
      <c r="AJ6" s="762"/>
      <c r="AK6" s="762"/>
      <c r="AL6" s="762"/>
      <c r="AM6" s="762"/>
      <c r="AN6" s="762"/>
      <c r="AO6" s="762"/>
      <c r="AP6" s="762"/>
      <c r="AQ6" s="762"/>
      <c r="AR6" s="762"/>
    </row>
    <row r="7" spans="1:86" ht="15">
      <c r="A7" s="764" t="s">
        <v>1393</v>
      </c>
      <c r="B7" s="764" t="s">
        <v>1394</v>
      </c>
      <c r="C7" s="764"/>
      <c r="D7" s="762"/>
      <c r="E7" s="762"/>
      <c r="H7" s="764" t="s">
        <v>1393</v>
      </c>
      <c r="I7" s="764" t="s">
        <v>1394</v>
      </c>
      <c r="J7" s="762"/>
      <c r="K7" s="762"/>
      <c r="L7" s="762"/>
      <c r="N7" s="762"/>
      <c r="O7" s="762"/>
      <c r="P7" s="762"/>
      <c r="Q7" s="762"/>
      <c r="R7" s="762"/>
      <c r="S7" s="762"/>
      <c r="T7" s="762"/>
      <c r="U7" s="762"/>
      <c r="V7" s="762"/>
      <c r="W7" s="762"/>
      <c r="X7" s="762"/>
      <c r="Y7" s="762"/>
      <c r="Z7" s="762"/>
      <c r="AA7" s="762"/>
      <c r="AB7" s="762"/>
      <c r="AC7" s="762"/>
      <c r="AD7" s="762"/>
      <c r="AE7" s="762"/>
      <c r="AF7" s="762"/>
      <c r="AG7" s="762"/>
      <c r="AH7" s="762"/>
      <c r="AI7" s="762"/>
      <c r="AJ7" s="762"/>
      <c r="AK7" s="762"/>
      <c r="AL7" s="762"/>
      <c r="AM7" s="762"/>
      <c r="AN7" s="762"/>
      <c r="AO7" s="762"/>
      <c r="AP7" s="762"/>
      <c r="AQ7" s="762"/>
      <c r="AW7" s="762"/>
      <c r="AX7" s="762"/>
      <c r="AY7" s="762"/>
      <c r="AZ7" s="762"/>
      <c r="BA7" s="762"/>
      <c r="BB7" s="762"/>
      <c r="BC7" s="762"/>
      <c r="BD7" s="762"/>
      <c r="BE7" s="762"/>
      <c r="BF7" s="762"/>
      <c r="BG7" s="762"/>
      <c r="BH7" s="762"/>
      <c r="BI7" s="762"/>
      <c r="BJ7" s="762"/>
      <c r="BK7" s="762"/>
      <c r="BL7" s="762"/>
      <c r="BM7" s="762"/>
      <c r="BN7" s="762"/>
      <c r="BO7" s="762"/>
      <c r="BP7" s="762"/>
      <c r="BQ7" s="762"/>
      <c r="BR7" s="762"/>
      <c r="BS7" s="762"/>
      <c r="BT7" s="762"/>
      <c r="BU7" s="762"/>
      <c r="BV7" s="762"/>
      <c r="BW7" s="762"/>
      <c r="BX7" s="762"/>
      <c r="BY7" s="762"/>
      <c r="BZ7" s="762"/>
      <c r="CA7" s="762"/>
      <c r="CB7" s="762"/>
      <c r="CC7" s="762"/>
      <c r="CD7" s="762"/>
      <c r="CE7" s="762"/>
      <c r="CF7" s="762"/>
    </row>
    <row r="8" spans="1:86" ht="15">
      <c r="A8" s="764"/>
      <c r="B8" s="764"/>
      <c r="C8" s="764"/>
      <c r="D8" s="762"/>
      <c r="E8" s="762"/>
      <c r="H8" s="764"/>
      <c r="I8" s="764"/>
      <c r="J8" s="762"/>
      <c r="K8" s="762"/>
      <c r="L8" s="762"/>
      <c r="N8" s="762"/>
      <c r="T8" s="762"/>
      <c r="U8" s="762"/>
      <c r="V8" s="762"/>
      <c r="W8" s="762"/>
      <c r="X8" s="762"/>
      <c r="Y8" s="762"/>
      <c r="Z8" s="762"/>
      <c r="AA8" s="762"/>
      <c r="AB8" s="762"/>
      <c r="AC8" s="762"/>
      <c r="AD8" s="762"/>
      <c r="AE8" s="762"/>
      <c r="AF8" s="762"/>
      <c r="AG8" s="762"/>
      <c r="AH8" s="762"/>
      <c r="AI8" s="762"/>
      <c r="AJ8" s="762"/>
      <c r="AK8" s="762"/>
      <c r="AL8" s="762"/>
      <c r="AM8" s="762"/>
      <c r="AN8" s="762"/>
      <c r="AO8" s="762"/>
      <c r="AP8" s="762"/>
      <c r="AQ8" s="762"/>
      <c r="AW8" s="762"/>
      <c r="AX8" s="762"/>
      <c r="AY8" s="762"/>
      <c r="AZ8" s="762"/>
      <c r="BA8" s="762"/>
      <c r="BB8" s="762"/>
      <c r="BC8" s="762"/>
      <c r="BD8" s="762"/>
      <c r="BE8" s="762"/>
      <c r="BF8" s="762"/>
      <c r="BG8" s="762"/>
      <c r="BH8" s="762"/>
      <c r="BI8" s="762"/>
      <c r="BJ8" s="762"/>
      <c r="BK8" s="762"/>
      <c r="BL8" s="762"/>
      <c r="BM8" s="762"/>
      <c r="BN8" s="762"/>
      <c r="BO8" s="762"/>
      <c r="BP8" s="762"/>
      <c r="BQ8" s="762"/>
      <c r="BR8" s="762"/>
      <c r="BS8" s="762"/>
      <c r="BT8" s="762"/>
      <c r="BU8" s="762"/>
      <c r="BV8" s="762"/>
      <c r="BW8" s="762"/>
      <c r="BX8" s="762"/>
      <c r="BY8" s="762"/>
      <c r="BZ8" s="762"/>
      <c r="CA8" s="762"/>
      <c r="CB8" s="762"/>
      <c r="CC8" s="762"/>
      <c r="CD8" s="762"/>
      <c r="CE8" s="762"/>
      <c r="CF8" s="762"/>
    </row>
    <row r="9" spans="1:86" ht="15">
      <c r="A9" s="764" t="s">
        <v>1391</v>
      </c>
      <c r="B9" s="764" t="s">
        <v>1390</v>
      </c>
      <c r="C9" s="764"/>
      <c r="D9" s="762"/>
      <c r="E9" s="762"/>
      <c r="H9" s="764" t="s">
        <v>1391</v>
      </c>
      <c r="I9" s="764" t="s">
        <v>1390</v>
      </c>
      <c r="J9" s="762"/>
      <c r="K9" s="762"/>
      <c r="L9" s="762"/>
      <c r="N9" s="762"/>
      <c r="T9" s="762"/>
      <c r="U9" s="762"/>
      <c r="V9" s="762"/>
      <c r="W9" s="762"/>
      <c r="X9" s="762"/>
      <c r="Y9" s="762"/>
      <c r="Z9" s="762"/>
      <c r="AA9" s="762"/>
      <c r="AB9" s="762"/>
      <c r="AC9" s="762"/>
      <c r="AD9" s="762"/>
      <c r="AE9" s="762"/>
      <c r="AF9" s="762"/>
      <c r="AG9" s="762"/>
      <c r="AH9" s="762"/>
      <c r="AI9" s="762"/>
      <c r="AJ9" s="762"/>
      <c r="AK9" s="762"/>
      <c r="AL9" s="762"/>
      <c r="AM9" s="762"/>
      <c r="AN9" s="762"/>
      <c r="AO9" s="762"/>
      <c r="AP9" s="762"/>
      <c r="AQ9" s="762"/>
      <c r="AW9" s="762"/>
      <c r="AX9" s="762"/>
      <c r="AY9" s="762"/>
      <c r="AZ9" s="762"/>
      <c r="BA9" s="762"/>
      <c r="BB9" s="762"/>
      <c r="BC9" s="762"/>
      <c r="BD9" s="762"/>
      <c r="BE9" s="762"/>
      <c r="BF9" s="762"/>
      <c r="BG9" s="762"/>
      <c r="BH9" s="762"/>
      <c r="BI9" s="762"/>
      <c r="BJ9" s="762"/>
      <c r="BK9" s="762"/>
      <c r="BL9" s="762"/>
      <c r="BM9" s="762"/>
      <c r="BN9" s="762"/>
      <c r="BO9" s="762"/>
      <c r="BP9" s="762"/>
      <c r="BQ9" s="762"/>
      <c r="BR9" s="762"/>
      <c r="BS9" s="762"/>
      <c r="BT9" s="762"/>
      <c r="BU9" s="762"/>
      <c r="BV9" s="762"/>
      <c r="BW9" s="762"/>
      <c r="BX9" s="762"/>
      <c r="BY9" s="762"/>
      <c r="BZ9" s="762"/>
      <c r="CA9" s="762"/>
      <c r="CB9" s="762"/>
      <c r="CC9" s="762"/>
      <c r="CD9" s="762"/>
      <c r="CE9" s="762"/>
      <c r="CF9" s="762"/>
    </row>
    <row r="10" spans="1:86" ht="15">
      <c r="A10" s="764"/>
      <c r="B10" s="764" t="s">
        <v>1389</v>
      </c>
      <c r="C10" s="764"/>
      <c r="D10" s="762"/>
      <c r="E10" s="762"/>
      <c r="F10" s="762"/>
      <c r="G10" s="762"/>
      <c r="H10" s="764"/>
      <c r="I10" s="764" t="s">
        <v>1389</v>
      </c>
      <c r="J10" s="762"/>
      <c r="K10" s="762"/>
      <c r="L10" s="762"/>
      <c r="M10" s="762"/>
      <c r="N10" s="762"/>
      <c r="T10" s="762"/>
      <c r="U10" s="762"/>
      <c r="V10" s="762"/>
      <c r="W10" s="762"/>
      <c r="X10" s="762"/>
      <c r="Y10" s="762"/>
      <c r="Z10" s="762"/>
      <c r="AA10" s="762"/>
      <c r="AB10" s="762"/>
      <c r="AC10" s="762"/>
      <c r="AD10" s="762"/>
      <c r="AE10" s="762"/>
      <c r="AF10" s="762"/>
      <c r="AG10" s="762"/>
      <c r="AH10" s="762"/>
      <c r="AI10" s="762"/>
      <c r="AJ10" s="762"/>
      <c r="AK10" s="762"/>
      <c r="AL10" s="762"/>
      <c r="AM10" s="762"/>
      <c r="AN10" s="762"/>
      <c r="AO10" s="762"/>
      <c r="AP10" s="762"/>
      <c r="AQ10" s="762"/>
      <c r="AW10" s="762"/>
      <c r="AX10" s="762"/>
      <c r="AY10" s="762"/>
      <c r="AZ10" s="762"/>
      <c r="BA10" s="762"/>
      <c r="BB10" s="762"/>
      <c r="BC10" s="762"/>
      <c r="BD10" s="762"/>
      <c r="BE10" s="762"/>
      <c r="BF10" s="762"/>
      <c r="BG10" s="762"/>
      <c r="BH10" s="762"/>
      <c r="BI10" s="762"/>
      <c r="BJ10" s="762"/>
      <c r="BK10" s="762"/>
      <c r="BL10" s="762"/>
      <c r="BM10" s="762"/>
      <c r="BN10" s="762"/>
      <c r="BO10" s="762"/>
      <c r="BP10" s="762"/>
      <c r="BQ10" s="762"/>
      <c r="BR10" s="762"/>
      <c r="BS10" s="762"/>
      <c r="BT10" s="762"/>
      <c r="BU10" s="762"/>
      <c r="BV10" s="762"/>
      <c r="BW10" s="762"/>
      <c r="BX10" s="762"/>
      <c r="BY10" s="762"/>
      <c r="BZ10" s="762"/>
      <c r="CA10" s="762"/>
      <c r="CB10" s="762"/>
      <c r="CC10" s="762"/>
      <c r="CD10" s="762"/>
      <c r="CE10" s="762"/>
      <c r="CF10" s="762"/>
    </row>
    <row r="11" spans="1:86" ht="15">
      <c r="A11" s="764"/>
      <c r="B11" s="764" t="s">
        <v>1388</v>
      </c>
      <c r="C11" s="764"/>
      <c r="D11" s="762"/>
      <c r="E11" s="762"/>
      <c r="F11" s="762"/>
      <c r="G11" s="762"/>
      <c r="H11" s="764"/>
      <c r="I11" s="764" t="s">
        <v>1388</v>
      </c>
      <c r="J11" s="762"/>
      <c r="K11" s="762"/>
      <c r="L11" s="762"/>
      <c r="M11" s="762"/>
      <c r="N11" s="762"/>
      <c r="T11" s="762"/>
      <c r="U11" s="762"/>
      <c r="V11" s="762"/>
      <c r="W11" s="762"/>
      <c r="X11" s="762"/>
      <c r="Y11" s="762"/>
      <c r="Z11" s="762"/>
      <c r="AA11" s="762"/>
      <c r="AB11" s="762"/>
      <c r="AC11" s="762"/>
      <c r="AD11" s="762"/>
      <c r="AE11" s="762"/>
      <c r="AF11" s="762"/>
      <c r="AG11" s="762"/>
      <c r="AH11" s="762"/>
      <c r="AI11" s="762"/>
      <c r="AJ11" s="762"/>
      <c r="AK11" s="762"/>
      <c r="AL11" s="762"/>
      <c r="AM11" s="762"/>
      <c r="AN11" s="762"/>
      <c r="AO11" s="762"/>
      <c r="AP11" s="762"/>
      <c r="AQ11" s="762"/>
      <c r="AW11" s="762"/>
      <c r="AX11" s="762"/>
      <c r="AY11" s="762"/>
      <c r="AZ11" s="762"/>
      <c r="BA11" s="762"/>
      <c r="BB11" s="762"/>
      <c r="BC11" s="762"/>
      <c r="BD11" s="762"/>
      <c r="BE11" s="762"/>
      <c r="BF11" s="762"/>
      <c r="BG11" s="762"/>
      <c r="BH11" s="762"/>
      <c r="BI11" s="762"/>
      <c r="BJ11" s="762"/>
      <c r="BK11" s="762"/>
      <c r="BL11" s="762"/>
      <c r="BM11" s="762"/>
      <c r="BN11" s="762"/>
      <c r="BO11" s="762"/>
      <c r="BP11" s="762"/>
      <c r="BQ11" s="762"/>
      <c r="BR11" s="762"/>
      <c r="BS11" s="762"/>
      <c r="BT11" s="762"/>
      <c r="BU11" s="762"/>
      <c r="BV11" s="762"/>
      <c r="BW11" s="762"/>
      <c r="BX11" s="762"/>
      <c r="BY11" s="762"/>
      <c r="BZ11" s="762"/>
      <c r="CA11" s="762"/>
      <c r="CB11" s="762"/>
      <c r="CC11" s="762"/>
      <c r="CD11" s="762"/>
      <c r="CE11" s="762"/>
      <c r="CF11" s="762"/>
    </row>
    <row r="12" spans="1:86" s="765" customFormat="1" ht="15">
      <c r="A12" s="764" t="s">
        <v>1387</v>
      </c>
      <c r="B12" s="764" t="s">
        <v>954</v>
      </c>
      <c r="C12" s="764" t="s">
        <v>1386</v>
      </c>
      <c r="D12" s="764" t="s">
        <v>1385</v>
      </c>
      <c r="E12" s="764" t="s">
        <v>1384</v>
      </c>
      <c r="F12" s="764" t="s">
        <v>1383</v>
      </c>
      <c r="G12" s="764"/>
      <c r="H12" s="764" t="s">
        <v>1387</v>
      </c>
      <c r="I12" s="764" t="s">
        <v>954</v>
      </c>
      <c r="J12" s="764" t="s">
        <v>1386</v>
      </c>
      <c r="K12" s="764" t="s">
        <v>1385</v>
      </c>
      <c r="L12" s="764" t="s">
        <v>1384</v>
      </c>
      <c r="M12" s="764" t="s">
        <v>1383</v>
      </c>
      <c r="N12" s="764"/>
      <c r="T12" s="764"/>
      <c r="V12" s="764"/>
      <c r="W12" s="764"/>
      <c r="X12" s="764"/>
      <c r="Y12" s="764"/>
      <c r="Z12" s="764"/>
      <c r="AA12" s="764"/>
      <c r="AB12" s="764"/>
      <c r="AC12" s="764"/>
      <c r="AD12" s="764"/>
      <c r="AF12" s="764"/>
      <c r="AG12" s="764"/>
      <c r="AH12" s="764"/>
      <c r="AI12" s="764"/>
      <c r="AJ12" s="764"/>
      <c r="AK12" s="764"/>
      <c r="AL12" s="764"/>
      <c r="AM12" s="764"/>
      <c r="AN12" s="764"/>
      <c r="AW12" s="764"/>
      <c r="AX12" s="764"/>
      <c r="AY12" s="764"/>
      <c r="AZ12" s="764"/>
      <c r="BA12" s="764"/>
      <c r="BC12" s="764"/>
      <c r="BD12" s="764"/>
      <c r="BE12" s="764"/>
      <c r="BF12" s="764"/>
      <c r="BG12" s="764"/>
      <c r="BH12" s="764"/>
      <c r="BI12" s="764"/>
      <c r="BJ12" s="764"/>
      <c r="BK12" s="764"/>
      <c r="BM12" s="764"/>
      <c r="BN12" s="764"/>
      <c r="BO12" s="764"/>
      <c r="BP12" s="764"/>
      <c r="BQ12" s="764"/>
      <c r="BR12" s="764"/>
      <c r="BS12" s="764"/>
      <c r="BT12" s="764"/>
      <c r="BU12" s="764"/>
      <c r="BW12" s="764"/>
      <c r="BX12" s="764"/>
      <c r="BY12" s="764"/>
      <c r="BZ12" s="764"/>
      <c r="CA12" s="764"/>
      <c r="CB12" s="764"/>
      <c r="CC12" s="764"/>
      <c r="CD12" s="764"/>
      <c r="CE12" s="764"/>
    </row>
    <row r="13" spans="1:86" ht="20">
      <c r="A13" s="764"/>
      <c r="B13" s="763" t="s">
        <v>1382</v>
      </c>
      <c r="C13" s="762"/>
      <c r="D13" s="762"/>
      <c r="E13" s="762"/>
      <c r="F13" s="762"/>
      <c r="G13" s="762"/>
      <c r="H13" s="764"/>
      <c r="I13" s="762"/>
      <c r="J13" s="762"/>
      <c r="K13" s="762"/>
      <c r="L13" s="762"/>
      <c r="M13" s="762"/>
      <c r="N13" s="762"/>
      <c r="T13" s="762"/>
      <c r="V13" s="762"/>
      <c r="W13" s="762"/>
      <c r="X13" s="762"/>
      <c r="Y13" s="762"/>
      <c r="Z13" s="762"/>
      <c r="AA13" s="762"/>
      <c r="AB13" s="762"/>
      <c r="AC13" s="762"/>
      <c r="AD13" s="762"/>
      <c r="AF13" s="762"/>
      <c r="AG13" s="762"/>
      <c r="AH13" s="762"/>
      <c r="AI13" s="762"/>
      <c r="AJ13" s="762"/>
      <c r="AK13" s="762"/>
      <c r="AL13" s="762"/>
      <c r="AM13" s="762"/>
      <c r="AN13" s="762"/>
      <c r="AW13" s="762"/>
      <c r="AX13" s="762"/>
      <c r="AY13" s="762"/>
      <c r="AZ13" s="762"/>
      <c r="BA13" s="762"/>
      <c r="BC13" s="762"/>
      <c r="BD13" s="762"/>
      <c r="BE13" s="762"/>
      <c r="BF13" s="762"/>
      <c r="BG13" s="762"/>
      <c r="BH13" s="762"/>
      <c r="BI13" s="762"/>
      <c r="BJ13" s="762"/>
      <c r="BK13" s="762"/>
      <c r="BM13" s="762"/>
      <c r="BN13" s="762"/>
      <c r="BO13" s="762"/>
      <c r="BP13" s="762"/>
      <c r="BQ13" s="762"/>
      <c r="BR13" s="762"/>
      <c r="BS13" s="762"/>
      <c r="BT13" s="762"/>
      <c r="BU13" s="762"/>
      <c r="BW13" s="762"/>
      <c r="BX13" s="762"/>
      <c r="BY13" s="762"/>
      <c r="BZ13" s="762"/>
      <c r="CA13" s="762"/>
      <c r="CB13" s="762"/>
      <c r="CC13" s="762"/>
      <c r="CD13" s="762"/>
      <c r="CE13" s="762"/>
    </row>
    <row r="14" spans="1:86" ht="15">
      <c r="A14" s="760" t="s">
        <v>1380</v>
      </c>
      <c r="B14" s="759">
        <v>27.870653586999996</v>
      </c>
      <c r="C14" s="762">
        <v>18.523454098999995</v>
      </c>
      <c r="D14" s="762">
        <v>25.333034976000011</v>
      </c>
      <c r="E14" s="762">
        <v>25.045913969000015</v>
      </c>
      <c r="F14" s="762">
        <v>24.76045262100001</v>
      </c>
      <c r="G14" s="762"/>
      <c r="H14" s="760" t="s">
        <v>1380</v>
      </c>
      <c r="I14" s="759">
        <f t="shared" ref="I14:I41" si="0">B14*$I$5</f>
        <v>207.87884390935687</v>
      </c>
      <c r="J14" s="762">
        <f t="shared" ref="J14:J41" si="1">C14*$I$5</f>
        <v>138.16088708821127</v>
      </c>
      <c r="K14" s="762">
        <f t="shared" ref="K14:K41" si="2">D14*$I$5</f>
        <v>188.9515079754913</v>
      </c>
      <c r="L14" s="762">
        <f t="shared" ref="L14:L41" si="3">E14*$I$5</f>
        <v>186.80995852058041</v>
      </c>
      <c r="M14" s="762">
        <f t="shared" ref="M14:M41" si="4">F14*$I$5</f>
        <v>184.68078796425277</v>
      </c>
      <c r="N14" s="762"/>
      <c r="T14" s="762"/>
      <c r="V14" s="762"/>
      <c r="W14" s="762"/>
      <c r="X14" s="762"/>
      <c r="Y14" s="762"/>
      <c r="Z14" s="762"/>
      <c r="AA14" s="762"/>
      <c r="AB14" s="762"/>
      <c r="AC14" s="762"/>
      <c r="AD14" s="762"/>
      <c r="AF14" s="762"/>
      <c r="AG14" s="762"/>
      <c r="AH14" s="762"/>
      <c r="AI14" s="762"/>
      <c r="AJ14" s="762"/>
      <c r="AK14" s="762"/>
      <c r="AL14" s="762"/>
      <c r="AM14" s="762"/>
      <c r="AN14" s="762"/>
      <c r="AW14" s="762"/>
      <c r="AX14" s="762"/>
      <c r="AY14" s="762"/>
      <c r="AZ14" s="762"/>
      <c r="BA14" s="762"/>
      <c r="BC14" s="762"/>
      <c r="BD14" s="762"/>
      <c r="BE14" s="762"/>
      <c r="BF14" s="762"/>
      <c r="BG14" s="762"/>
      <c r="BH14" s="762"/>
      <c r="BI14" s="762"/>
      <c r="BJ14" s="762"/>
      <c r="BK14" s="762"/>
      <c r="BM14" s="762"/>
      <c r="BN14" s="762"/>
      <c r="BO14" s="762"/>
      <c r="BP14" s="762"/>
      <c r="BQ14" s="762"/>
      <c r="BR14" s="762"/>
      <c r="BS14" s="762"/>
      <c r="BT14" s="762"/>
      <c r="BU14" s="762"/>
      <c r="BW14" s="762"/>
      <c r="BX14" s="762"/>
      <c r="BY14" s="762"/>
      <c r="BZ14" s="762"/>
      <c r="CA14" s="762"/>
      <c r="CB14" s="762"/>
      <c r="CC14" s="762"/>
      <c r="CD14" s="762"/>
      <c r="CE14" s="762"/>
      <c r="CG14" s="762"/>
      <c r="CH14" s="762"/>
    </row>
    <row r="15" spans="1:86" ht="15">
      <c r="A15" s="760" t="s">
        <v>1379</v>
      </c>
      <c r="B15" s="759">
        <v>21.163971567999994</v>
      </c>
      <c r="C15" s="762">
        <v>21.163971567999994</v>
      </c>
      <c r="D15" s="762">
        <v>21.163971567999994</v>
      </c>
      <c r="E15" s="762">
        <v>21.163971567999994</v>
      </c>
      <c r="F15" s="762">
        <v>21.163971567999994</v>
      </c>
      <c r="G15" s="762"/>
      <c r="H15" s="760" t="s">
        <v>1379</v>
      </c>
      <c r="I15" s="759">
        <f t="shared" si="0"/>
        <v>157.85571473424156</v>
      </c>
      <c r="J15" s="762">
        <f t="shared" si="1"/>
        <v>157.85571473424156</v>
      </c>
      <c r="K15" s="762">
        <f t="shared" si="2"/>
        <v>157.85571473424156</v>
      </c>
      <c r="L15" s="762">
        <f t="shared" si="3"/>
        <v>157.85571473424156</v>
      </c>
      <c r="M15" s="762">
        <f t="shared" si="4"/>
        <v>157.85571473424156</v>
      </c>
      <c r="N15" s="762"/>
      <c r="T15" s="762"/>
      <c r="V15" s="762"/>
      <c r="W15" s="762"/>
      <c r="X15" s="762"/>
      <c r="Y15" s="762"/>
      <c r="Z15" s="762"/>
      <c r="AA15" s="762"/>
      <c r="AB15" s="762"/>
      <c r="AC15" s="762"/>
      <c r="AD15" s="762"/>
      <c r="AF15" s="762"/>
      <c r="AG15" s="762"/>
      <c r="AH15" s="762"/>
      <c r="AI15" s="762"/>
      <c r="AJ15" s="762"/>
      <c r="AK15" s="762"/>
      <c r="AL15" s="762"/>
      <c r="AM15" s="762"/>
      <c r="AN15" s="762"/>
      <c r="AW15" s="762"/>
      <c r="AX15" s="762"/>
      <c r="AY15" s="762"/>
      <c r="AZ15" s="762"/>
      <c r="BA15" s="762"/>
      <c r="BC15" s="762"/>
      <c r="BD15" s="762"/>
      <c r="BE15" s="762"/>
      <c r="BF15" s="762"/>
      <c r="BG15" s="762"/>
      <c r="BH15" s="762"/>
      <c r="BI15" s="762"/>
      <c r="BJ15" s="762"/>
      <c r="BK15" s="762"/>
      <c r="BM15" s="762"/>
      <c r="BN15" s="762"/>
      <c r="BO15" s="762"/>
      <c r="BP15" s="762"/>
      <c r="BQ15" s="762"/>
      <c r="BR15" s="762"/>
      <c r="BS15" s="762"/>
      <c r="BT15" s="762"/>
      <c r="BU15" s="762"/>
      <c r="BW15" s="762"/>
      <c r="BX15" s="762"/>
      <c r="BY15" s="762"/>
      <c r="BZ15" s="762"/>
      <c r="CA15" s="762"/>
      <c r="CB15" s="762"/>
      <c r="CC15" s="762"/>
      <c r="CD15" s="762"/>
      <c r="CE15" s="762"/>
      <c r="CG15" s="762"/>
      <c r="CH15" s="762"/>
    </row>
    <row r="16" spans="1:86" ht="15">
      <c r="A16" s="760" t="s">
        <v>1378</v>
      </c>
      <c r="B16" s="759">
        <v>7.1099791560000032</v>
      </c>
      <c r="C16" s="762">
        <v>7.1099791560000032</v>
      </c>
      <c r="D16" s="762">
        <v>7.1099791560000032</v>
      </c>
      <c r="E16" s="762">
        <v>7.1099791560000032</v>
      </c>
      <c r="F16" s="762">
        <v>7.1099791560000032</v>
      </c>
      <c r="G16" s="762"/>
      <c r="H16" s="760" t="s">
        <v>1378</v>
      </c>
      <c r="I16" s="759">
        <f t="shared" si="0"/>
        <v>53.031201530857224</v>
      </c>
      <c r="J16" s="762">
        <f t="shared" si="1"/>
        <v>53.031201530857224</v>
      </c>
      <c r="K16" s="762">
        <f t="shared" si="2"/>
        <v>53.031201530857224</v>
      </c>
      <c r="L16" s="762">
        <f t="shared" si="3"/>
        <v>53.031201530857224</v>
      </c>
      <c r="M16" s="762">
        <f t="shared" si="4"/>
        <v>53.031201530857224</v>
      </c>
      <c r="N16" s="762"/>
      <c r="T16" s="762"/>
      <c r="V16" s="762"/>
      <c r="W16" s="762"/>
      <c r="X16" s="762"/>
      <c r="Y16" s="762"/>
      <c r="Z16" s="762"/>
      <c r="AA16" s="762"/>
      <c r="AB16" s="762"/>
      <c r="AC16" s="762"/>
      <c r="AD16" s="762"/>
      <c r="AF16" s="762"/>
      <c r="AG16" s="762"/>
      <c r="AH16" s="762"/>
      <c r="AI16" s="762"/>
      <c r="AJ16" s="762"/>
      <c r="AK16" s="762"/>
      <c r="AL16" s="762"/>
      <c r="AM16" s="762"/>
      <c r="AN16" s="762"/>
      <c r="AW16" s="762"/>
      <c r="AX16" s="762"/>
      <c r="AY16" s="762"/>
      <c r="AZ16" s="762"/>
      <c r="BA16" s="762"/>
      <c r="BC16" s="762"/>
      <c r="BD16" s="762"/>
      <c r="BE16" s="762"/>
      <c r="BF16" s="762"/>
      <c r="BG16" s="762"/>
      <c r="BH16" s="762"/>
      <c r="BI16" s="762"/>
      <c r="BJ16" s="762"/>
      <c r="BK16" s="762"/>
      <c r="BM16" s="762"/>
      <c r="BN16" s="762"/>
      <c r="BO16" s="762"/>
      <c r="BP16" s="762"/>
      <c r="BQ16" s="762"/>
      <c r="BR16" s="762"/>
      <c r="BS16" s="762"/>
      <c r="BT16" s="762"/>
      <c r="BU16" s="762"/>
      <c r="BW16" s="762"/>
      <c r="BX16" s="762"/>
      <c r="BY16" s="762"/>
      <c r="BZ16" s="762"/>
      <c r="CA16" s="762"/>
      <c r="CB16" s="762"/>
      <c r="CC16" s="762"/>
      <c r="CD16" s="762"/>
      <c r="CE16" s="762"/>
      <c r="CG16" s="762"/>
      <c r="CH16" s="762"/>
    </row>
    <row r="17" spans="1:86" ht="15">
      <c r="A17" s="760" t="s">
        <v>1377</v>
      </c>
      <c r="B17" s="759">
        <v>10.563729534999995</v>
      </c>
      <c r="C17" s="762">
        <v>10.563729534999995</v>
      </c>
      <c r="D17" s="762">
        <v>10.563729534999995</v>
      </c>
      <c r="E17" s="762">
        <v>10.563729534999995</v>
      </c>
      <c r="F17" s="762">
        <v>10.563729534999995</v>
      </c>
      <c r="G17" s="762"/>
      <c r="H17" s="760" t="s">
        <v>1377</v>
      </c>
      <c r="I17" s="759">
        <f t="shared" si="0"/>
        <v>78.79168948270447</v>
      </c>
      <c r="J17" s="762">
        <f t="shared" si="1"/>
        <v>78.79168948270447</v>
      </c>
      <c r="K17" s="762">
        <f t="shared" si="2"/>
        <v>78.79168948270447</v>
      </c>
      <c r="L17" s="762">
        <f t="shared" si="3"/>
        <v>78.79168948270447</v>
      </c>
      <c r="M17" s="762">
        <f t="shared" si="4"/>
        <v>78.79168948270447</v>
      </c>
      <c r="N17" s="762"/>
      <c r="T17" s="762"/>
      <c r="V17" s="762"/>
      <c r="W17" s="762"/>
      <c r="X17" s="762"/>
      <c r="Y17" s="762"/>
      <c r="Z17" s="762"/>
      <c r="AA17" s="762"/>
      <c r="AB17" s="762"/>
      <c r="AC17" s="762"/>
      <c r="AD17" s="762"/>
      <c r="AF17" s="762"/>
      <c r="AG17" s="762"/>
      <c r="AH17" s="762"/>
      <c r="AI17" s="762"/>
      <c r="AJ17" s="762"/>
      <c r="AK17" s="762"/>
      <c r="AL17" s="762"/>
      <c r="AM17" s="762"/>
      <c r="AN17" s="762"/>
      <c r="AW17" s="762"/>
      <c r="AX17" s="762"/>
      <c r="AY17" s="762"/>
      <c r="AZ17" s="762"/>
      <c r="BA17" s="762"/>
      <c r="BC17" s="762"/>
      <c r="BD17" s="762"/>
      <c r="BE17" s="762"/>
      <c r="BF17" s="762"/>
      <c r="BG17" s="762"/>
      <c r="BH17" s="762"/>
      <c r="BI17" s="762"/>
      <c r="BJ17" s="762"/>
      <c r="BK17" s="762"/>
      <c r="BM17" s="762"/>
      <c r="BN17" s="762"/>
      <c r="BO17" s="762"/>
      <c r="BP17" s="762"/>
      <c r="BQ17" s="762"/>
      <c r="BR17" s="762"/>
      <c r="BS17" s="762"/>
      <c r="BT17" s="762"/>
      <c r="BU17" s="762"/>
      <c r="BW17" s="762"/>
      <c r="BX17" s="762"/>
      <c r="BY17" s="762"/>
      <c r="BZ17" s="762"/>
      <c r="CA17" s="762"/>
      <c r="CB17" s="762"/>
      <c r="CC17" s="762"/>
      <c r="CD17" s="762"/>
      <c r="CE17" s="762"/>
      <c r="CG17" s="762"/>
      <c r="CH17" s="762"/>
    </row>
    <row r="18" spans="1:86" ht="15">
      <c r="A18" s="760" t="s">
        <v>1376</v>
      </c>
      <c r="B18" s="759">
        <v>21.163971567999994</v>
      </c>
      <c r="C18" s="762">
        <v>21.163971567999994</v>
      </c>
      <c r="D18" s="762">
        <v>21.163971567999994</v>
      </c>
      <c r="E18" s="762">
        <v>21.163971567999994</v>
      </c>
      <c r="F18" s="762">
        <v>21.163971567999994</v>
      </c>
      <c r="G18" s="762"/>
      <c r="H18" s="760" t="s">
        <v>1376</v>
      </c>
      <c r="I18" s="759">
        <f t="shared" si="0"/>
        <v>157.85571473424156</v>
      </c>
      <c r="J18" s="762">
        <f t="shared" si="1"/>
        <v>157.85571473424156</v>
      </c>
      <c r="K18" s="762">
        <f t="shared" si="2"/>
        <v>157.85571473424156</v>
      </c>
      <c r="L18" s="762">
        <f t="shared" si="3"/>
        <v>157.85571473424156</v>
      </c>
      <c r="M18" s="762">
        <f t="shared" si="4"/>
        <v>157.85571473424156</v>
      </c>
      <c r="N18" s="762"/>
      <c r="T18" s="762"/>
      <c r="V18" s="762"/>
      <c r="W18" s="762"/>
      <c r="X18" s="762"/>
      <c r="Y18" s="762"/>
      <c r="Z18" s="762"/>
      <c r="AA18" s="762"/>
      <c r="AB18" s="762"/>
      <c r="AC18" s="762"/>
      <c r="AD18" s="762"/>
      <c r="AF18" s="762"/>
      <c r="AG18" s="762"/>
      <c r="AH18" s="762"/>
      <c r="AI18" s="762"/>
      <c r="AJ18" s="762"/>
      <c r="AK18" s="762"/>
      <c r="AL18" s="762"/>
      <c r="AM18" s="762"/>
      <c r="AN18" s="762"/>
      <c r="AW18" s="762"/>
      <c r="AX18" s="762"/>
      <c r="AY18" s="762"/>
      <c r="AZ18" s="762"/>
      <c r="BA18" s="762"/>
      <c r="BC18" s="762"/>
      <c r="BD18" s="762"/>
      <c r="BE18" s="762"/>
      <c r="BF18" s="762"/>
      <c r="BG18" s="762"/>
      <c r="BH18" s="762"/>
      <c r="BI18" s="762"/>
      <c r="BJ18" s="762"/>
      <c r="BK18" s="762"/>
      <c r="BM18" s="762"/>
      <c r="BN18" s="762"/>
      <c r="BO18" s="762"/>
      <c r="BP18" s="762"/>
      <c r="BQ18" s="762"/>
      <c r="BR18" s="762"/>
      <c r="BS18" s="762"/>
      <c r="BT18" s="762"/>
      <c r="BU18" s="762"/>
      <c r="BW18" s="762"/>
      <c r="BX18" s="762"/>
      <c r="BY18" s="762"/>
      <c r="BZ18" s="762"/>
      <c r="CA18" s="762"/>
      <c r="CB18" s="762"/>
      <c r="CC18" s="762"/>
      <c r="CD18" s="762"/>
      <c r="CE18" s="762"/>
      <c r="CG18" s="762"/>
      <c r="CH18" s="762"/>
    </row>
    <row r="19" spans="1:86" ht="15">
      <c r="A19" s="761" t="s">
        <v>1375</v>
      </c>
      <c r="B19" s="759">
        <v>24.987825904000008</v>
      </c>
      <c r="C19" s="759">
        <v>24.987825904000008</v>
      </c>
      <c r="D19" s="759">
        <v>24.987825904000008</v>
      </c>
      <c r="E19" s="762">
        <v>24.987825904000008</v>
      </c>
      <c r="F19" s="762">
        <v>24.987825904000008</v>
      </c>
      <c r="G19" s="762"/>
      <c r="H19" s="761" t="s">
        <v>1375</v>
      </c>
      <c r="I19" s="759">
        <f t="shared" si="0"/>
        <v>186.37669707016488</v>
      </c>
      <c r="J19" s="762">
        <f t="shared" si="1"/>
        <v>186.37669707016488</v>
      </c>
      <c r="K19" s="762">
        <f t="shared" si="2"/>
        <v>186.37669707016488</v>
      </c>
      <c r="L19" s="762">
        <f t="shared" si="3"/>
        <v>186.37669707016488</v>
      </c>
      <c r="M19" s="762">
        <f t="shared" si="4"/>
        <v>186.37669707016488</v>
      </c>
      <c r="N19" s="762"/>
      <c r="P19" s="758"/>
      <c r="Q19" s="758"/>
      <c r="R19" s="758"/>
      <c r="S19" s="758"/>
      <c r="T19" s="758"/>
      <c r="U19" s="758"/>
      <c r="V19" s="758"/>
      <c r="W19" s="758"/>
      <c r="X19" s="758"/>
      <c r="Y19" s="758"/>
      <c r="Z19" s="762"/>
      <c r="AA19" s="762"/>
      <c r="AB19" s="762"/>
      <c r="AC19" s="762"/>
      <c r="AD19" s="762"/>
      <c r="AF19" s="762"/>
      <c r="AG19" s="762"/>
      <c r="AH19" s="762"/>
      <c r="AI19" s="762"/>
      <c r="AJ19" s="762"/>
      <c r="AK19" s="762"/>
      <c r="AL19" s="762"/>
      <c r="AM19" s="762"/>
      <c r="AN19" s="762"/>
      <c r="AW19" s="762"/>
      <c r="AX19" s="762"/>
      <c r="AY19" s="762"/>
      <c r="AZ19" s="762"/>
      <c r="BA19" s="762"/>
      <c r="BC19" s="762"/>
      <c r="BD19" s="762"/>
      <c r="BE19" s="762"/>
      <c r="BF19" s="762"/>
      <c r="BG19" s="762"/>
      <c r="BH19" s="762"/>
      <c r="BI19" s="762"/>
      <c r="BJ19" s="762"/>
      <c r="BK19" s="762"/>
      <c r="BM19" s="762"/>
      <c r="BN19" s="762"/>
      <c r="BO19" s="762"/>
      <c r="BP19" s="762"/>
      <c r="BQ19" s="762"/>
      <c r="BR19" s="762"/>
      <c r="BS19" s="762"/>
      <c r="BT19" s="762"/>
      <c r="BU19" s="762"/>
      <c r="BW19" s="762"/>
      <c r="BX19" s="762"/>
      <c r="BY19" s="762"/>
      <c r="BZ19" s="762"/>
      <c r="CA19" s="762"/>
      <c r="CB19" s="762"/>
      <c r="CC19" s="762"/>
      <c r="CD19" s="762"/>
      <c r="CE19" s="762"/>
      <c r="CG19" s="762"/>
      <c r="CH19" s="762"/>
    </row>
    <row r="20" spans="1:86" ht="15">
      <c r="A20" s="760" t="s">
        <v>1374</v>
      </c>
      <c r="B20" s="759">
        <v>16.120267867000003</v>
      </c>
      <c r="C20" s="762">
        <v>9.4534176639999945</v>
      </c>
      <c r="D20" s="762">
        <v>16.262998540999998</v>
      </c>
      <c r="E20" s="762">
        <v>15.975877534000002</v>
      </c>
      <c r="F20" s="762">
        <v>15.690416185999997</v>
      </c>
      <c r="G20" s="762"/>
      <c r="H20" s="760" t="s">
        <v>1374</v>
      </c>
      <c r="I20" s="759">
        <f t="shared" si="0"/>
        <v>120.23624193959293</v>
      </c>
      <c r="J20" s="762">
        <f t="shared" si="1"/>
        <v>70.510206330476763</v>
      </c>
      <c r="K20" s="762">
        <f t="shared" si="2"/>
        <v>121.30082721775669</v>
      </c>
      <c r="L20" s="762">
        <f t="shared" si="3"/>
        <v>119.15927776284582</v>
      </c>
      <c r="M20" s="762">
        <f t="shared" si="4"/>
        <v>117.03010720651818</v>
      </c>
      <c r="N20" s="762"/>
      <c r="P20" s="758"/>
      <c r="Q20" s="758"/>
      <c r="R20" s="758"/>
      <c r="S20" s="758"/>
      <c r="T20" s="758"/>
      <c r="U20" s="758"/>
      <c r="V20" s="758"/>
      <c r="W20" s="758"/>
      <c r="X20" s="758"/>
      <c r="Y20" s="758"/>
      <c r="Z20" s="762"/>
      <c r="AA20" s="762"/>
      <c r="AB20" s="762"/>
      <c r="AC20" s="762"/>
      <c r="AD20" s="762"/>
      <c r="AF20" s="762"/>
      <c r="AG20" s="762"/>
      <c r="AH20" s="762"/>
      <c r="AI20" s="762"/>
      <c r="AJ20" s="762"/>
      <c r="AK20" s="762"/>
      <c r="AL20" s="762"/>
      <c r="AM20" s="762"/>
      <c r="AN20" s="762"/>
      <c r="AW20" s="762"/>
      <c r="AX20" s="762"/>
      <c r="AY20" s="762"/>
      <c r="AZ20" s="762"/>
      <c r="BA20" s="762"/>
      <c r="BC20" s="762"/>
      <c r="BD20" s="762"/>
      <c r="BE20" s="762"/>
      <c r="BF20" s="762"/>
      <c r="BG20" s="762"/>
      <c r="BH20" s="762"/>
      <c r="BI20" s="762"/>
      <c r="BJ20" s="762"/>
      <c r="BK20" s="762"/>
      <c r="BM20" s="762"/>
      <c r="BN20" s="762"/>
      <c r="BO20" s="762"/>
      <c r="BP20" s="762"/>
      <c r="BQ20" s="762"/>
      <c r="BR20" s="762"/>
      <c r="BS20" s="762"/>
      <c r="BT20" s="762"/>
      <c r="BU20" s="762"/>
      <c r="BW20" s="762"/>
      <c r="BX20" s="762"/>
      <c r="BY20" s="762"/>
      <c r="BZ20" s="762"/>
      <c r="CA20" s="762"/>
      <c r="CB20" s="762"/>
      <c r="CC20" s="762"/>
      <c r="CD20" s="762"/>
      <c r="CE20" s="762"/>
      <c r="CG20" s="762"/>
      <c r="CH20" s="762"/>
    </row>
    <row r="21" spans="1:86" ht="15">
      <c r="A21" s="761" t="s">
        <v>1373</v>
      </c>
      <c r="B21" s="759">
        <v>2.5724714499999992</v>
      </c>
      <c r="C21" s="762">
        <v>1.5385038929999995</v>
      </c>
      <c r="D21" s="762">
        <v>2.0695947729999999</v>
      </c>
      <c r="E21" s="762">
        <v>2.0181453439999992</v>
      </c>
      <c r="F21" s="762">
        <v>1.966695915000001</v>
      </c>
      <c r="G21" s="762"/>
      <c r="H21" s="761" t="s">
        <v>1373</v>
      </c>
      <c r="I21" s="759">
        <f t="shared" si="0"/>
        <v>19.187292804114996</v>
      </c>
      <c r="J21" s="762">
        <f t="shared" si="1"/>
        <v>11.475238986719097</v>
      </c>
      <c r="K21" s="762">
        <f t="shared" si="2"/>
        <v>15.436486533375101</v>
      </c>
      <c r="L21" s="762">
        <f t="shared" si="3"/>
        <v>15.052740677292794</v>
      </c>
      <c r="M21" s="762">
        <f t="shared" si="4"/>
        <v>14.668994821210507</v>
      </c>
      <c r="N21" s="762"/>
      <c r="P21" s="758"/>
      <c r="Q21" s="758"/>
      <c r="R21" s="758"/>
      <c r="S21" s="758"/>
      <c r="T21" s="758"/>
      <c r="U21" s="758"/>
      <c r="V21" s="758"/>
      <c r="W21" s="758"/>
      <c r="X21" s="758"/>
      <c r="Y21" s="758"/>
      <c r="Z21" s="762"/>
      <c r="AA21" s="762"/>
      <c r="AB21" s="762"/>
      <c r="AC21" s="762"/>
      <c r="AD21" s="762"/>
      <c r="AF21" s="762"/>
      <c r="AG21" s="762"/>
      <c r="AH21" s="762"/>
      <c r="AI21" s="762"/>
      <c r="AJ21" s="762"/>
      <c r="AK21" s="762"/>
      <c r="AL21" s="762"/>
      <c r="AM21" s="762"/>
      <c r="AN21" s="762"/>
      <c r="AW21" s="762"/>
      <c r="AX21" s="762"/>
      <c r="AY21" s="762"/>
      <c r="AZ21" s="762"/>
      <c r="BA21" s="762"/>
      <c r="BC21" s="762"/>
      <c r="BD21" s="762"/>
      <c r="BE21" s="762"/>
      <c r="BF21" s="762"/>
      <c r="BG21" s="762"/>
      <c r="BH21" s="762"/>
      <c r="BI21" s="762"/>
      <c r="BJ21" s="762"/>
      <c r="BK21" s="762"/>
      <c r="BM21" s="762"/>
      <c r="BN21" s="762"/>
      <c r="BO21" s="762"/>
      <c r="BP21" s="762"/>
      <c r="BQ21" s="762"/>
      <c r="BR21" s="762"/>
      <c r="BS21" s="762"/>
      <c r="BT21" s="762"/>
      <c r="BU21" s="762"/>
      <c r="BW21" s="762"/>
      <c r="BX21" s="762"/>
      <c r="BY21" s="762"/>
      <c r="BZ21" s="762"/>
      <c r="CA21" s="762"/>
      <c r="CB21" s="762"/>
      <c r="CC21" s="762"/>
      <c r="CD21" s="762"/>
      <c r="CE21" s="762"/>
      <c r="CG21" s="762"/>
      <c r="CH21" s="762"/>
    </row>
    <row r="22" spans="1:86" ht="15">
      <c r="A22" s="760" t="s">
        <v>1372</v>
      </c>
      <c r="B22" s="759">
        <v>2.5724714499999992</v>
      </c>
      <c r="C22" s="762">
        <v>1.5385038929999995</v>
      </c>
      <c r="D22" s="762">
        <v>2.0695947729999999</v>
      </c>
      <c r="E22" s="762">
        <v>2.0181453439999992</v>
      </c>
      <c r="F22" s="762">
        <v>1.966695915000001</v>
      </c>
      <c r="G22" s="762"/>
      <c r="H22" s="760" t="s">
        <v>1372</v>
      </c>
      <c r="I22" s="759">
        <f t="shared" si="0"/>
        <v>19.187292804114996</v>
      </c>
      <c r="J22" s="762">
        <f t="shared" si="1"/>
        <v>11.475238986719097</v>
      </c>
      <c r="K22" s="762">
        <f t="shared" si="2"/>
        <v>15.436486533375101</v>
      </c>
      <c r="L22" s="762">
        <f t="shared" si="3"/>
        <v>15.052740677292794</v>
      </c>
      <c r="M22" s="762">
        <f t="shared" si="4"/>
        <v>14.668994821210507</v>
      </c>
      <c r="N22" s="762"/>
      <c r="P22" s="758"/>
      <c r="Q22" s="758"/>
      <c r="R22" s="758"/>
      <c r="S22" s="758"/>
      <c r="T22" s="758"/>
      <c r="U22" s="758"/>
      <c r="V22" s="758"/>
      <c r="W22" s="758"/>
      <c r="X22" s="758"/>
      <c r="Y22" s="758"/>
      <c r="Z22" s="762"/>
      <c r="AA22" s="762"/>
      <c r="AB22" s="762"/>
      <c r="AC22" s="762"/>
      <c r="AD22" s="762"/>
      <c r="AF22" s="762"/>
      <c r="AG22" s="762"/>
      <c r="AH22" s="762"/>
      <c r="AI22" s="762"/>
      <c r="AJ22" s="762"/>
      <c r="AK22" s="762"/>
      <c r="AL22" s="762"/>
      <c r="AM22" s="762"/>
      <c r="AN22" s="762"/>
      <c r="AW22" s="762"/>
      <c r="AX22" s="762"/>
      <c r="AY22" s="762"/>
      <c r="AZ22" s="762"/>
      <c r="BA22" s="762"/>
      <c r="BC22" s="762"/>
      <c r="BD22" s="762"/>
      <c r="BE22" s="762"/>
      <c r="BF22" s="762"/>
      <c r="BG22" s="762"/>
      <c r="BH22" s="762"/>
      <c r="BI22" s="762"/>
      <c r="BJ22" s="762"/>
      <c r="BK22" s="762"/>
      <c r="BM22" s="762"/>
      <c r="BN22" s="762"/>
      <c r="BO22" s="762"/>
      <c r="BP22" s="762"/>
      <c r="BQ22" s="762"/>
      <c r="BR22" s="762"/>
      <c r="BS22" s="762"/>
      <c r="BT22" s="762"/>
      <c r="BU22" s="762"/>
      <c r="BW22" s="762"/>
      <c r="BX22" s="762"/>
      <c r="BY22" s="762"/>
      <c r="BZ22" s="762"/>
      <c r="CA22" s="762"/>
      <c r="CB22" s="762"/>
      <c r="CC22" s="762"/>
      <c r="CD22" s="762"/>
      <c r="CE22" s="762"/>
      <c r="CG22" s="762"/>
      <c r="CH22" s="762"/>
    </row>
    <row r="23" spans="1:86" ht="15">
      <c r="A23" s="761" t="s">
        <v>1371</v>
      </c>
      <c r="B23" s="759">
        <v>12.206791945000008</v>
      </c>
      <c r="C23" s="762">
        <v>5.5382820830000039</v>
      </c>
      <c r="D23" s="762">
        <v>12.347862959999992</v>
      </c>
      <c r="E23" s="762">
        <v>12.06240161199999</v>
      </c>
      <c r="F23" s="762">
        <v>11.775280604999994</v>
      </c>
      <c r="G23" s="762"/>
      <c r="H23" s="761" t="s">
        <v>1371</v>
      </c>
      <c r="I23" s="759">
        <f t="shared" si="0"/>
        <v>91.046799080171567</v>
      </c>
      <c r="J23" s="762">
        <f t="shared" si="1"/>
        <v>41.308384572472129</v>
      </c>
      <c r="K23" s="762">
        <f t="shared" si="2"/>
        <v>92.099005459751936</v>
      </c>
      <c r="L23" s="762">
        <f t="shared" si="3"/>
        <v>89.969834903424328</v>
      </c>
      <c r="M23" s="762">
        <f t="shared" si="4"/>
        <v>87.828285448513455</v>
      </c>
      <c r="N23" s="762"/>
      <c r="P23" s="758"/>
      <c r="Q23" s="758"/>
      <c r="R23" s="758"/>
      <c r="S23" s="758"/>
      <c r="T23" s="758"/>
      <c r="U23" s="758"/>
      <c r="V23" s="758"/>
      <c r="W23" s="758"/>
      <c r="X23" s="758"/>
      <c r="Y23" s="758"/>
      <c r="Z23" s="762"/>
      <c r="AA23" s="762"/>
      <c r="AB23" s="762"/>
      <c r="AC23" s="762"/>
      <c r="AD23" s="762"/>
      <c r="AF23" s="762"/>
      <c r="AG23" s="762"/>
      <c r="AH23" s="762"/>
      <c r="AI23" s="762"/>
      <c r="AJ23" s="762"/>
      <c r="AK23" s="762"/>
      <c r="AL23" s="762"/>
      <c r="AM23" s="762"/>
      <c r="AN23" s="762"/>
      <c r="AW23" s="762"/>
      <c r="AX23" s="762"/>
      <c r="AY23" s="762"/>
      <c r="AZ23" s="762"/>
      <c r="BA23" s="762"/>
      <c r="BC23" s="762"/>
      <c r="BD23" s="762"/>
      <c r="BE23" s="762"/>
      <c r="BF23" s="762"/>
      <c r="BG23" s="762"/>
      <c r="BH23" s="762"/>
      <c r="BI23" s="762"/>
      <c r="BJ23" s="762"/>
      <c r="BK23" s="762"/>
      <c r="BM23" s="762"/>
      <c r="BN23" s="762"/>
      <c r="BO23" s="762"/>
      <c r="BP23" s="762"/>
      <c r="BQ23" s="762"/>
      <c r="BR23" s="762"/>
      <c r="BS23" s="762"/>
      <c r="BT23" s="762"/>
      <c r="BU23" s="762"/>
      <c r="BW23" s="762"/>
      <c r="BX23" s="762"/>
      <c r="BY23" s="762"/>
      <c r="BZ23" s="762"/>
      <c r="CA23" s="762"/>
      <c r="CB23" s="762"/>
      <c r="CC23" s="762"/>
      <c r="CD23" s="762"/>
      <c r="CE23" s="762"/>
      <c r="CG23" s="762"/>
      <c r="CH23" s="762"/>
    </row>
    <row r="24" spans="1:86" ht="15">
      <c r="A24" s="760" t="s">
        <v>1370</v>
      </c>
      <c r="B24" s="759">
        <v>6.3564939700000016</v>
      </c>
      <c r="C24" s="762">
        <v>6.3681115830000001</v>
      </c>
      <c r="D24" s="762">
        <v>8.5173699879999916</v>
      </c>
      <c r="E24" s="762">
        <v>10.414360224999998</v>
      </c>
      <c r="F24" s="762">
        <v>10.990261897999991</v>
      </c>
      <c r="G24" s="762"/>
      <c r="H24" s="760" t="s">
        <v>1370</v>
      </c>
      <c r="I24" s="759">
        <f t="shared" si="0"/>
        <v>47.411181574039013</v>
      </c>
      <c r="J24" s="762">
        <f t="shared" si="1"/>
        <v>47.4978338641221</v>
      </c>
      <c r="K24" s="762">
        <f t="shared" si="2"/>
        <v>63.528507529495542</v>
      </c>
      <c r="L24" s="762">
        <f t="shared" si="3"/>
        <v>77.677588610207479</v>
      </c>
      <c r="M24" s="762">
        <f t="shared" si="4"/>
        <v>81.973066418612532</v>
      </c>
      <c r="N24" s="762"/>
      <c r="P24" s="758"/>
      <c r="Q24" s="758"/>
      <c r="R24" s="758"/>
      <c r="S24" s="758"/>
      <c r="T24" s="758"/>
      <c r="U24" s="758"/>
      <c r="V24" s="758"/>
      <c r="W24" s="758"/>
      <c r="X24" s="758"/>
      <c r="Y24" s="758"/>
      <c r="Z24" s="762"/>
      <c r="AA24" s="762"/>
      <c r="AB24" s="762"/>
      <c r="AC24" s="762"/>
      <c r="AD24" s="762"/>
      <c r="AF24" s="762"/>
      <c r="AG24" s="762"/>
      <c r="AH24" s="762"/>
      <c r="AI24" s="762"/>
      <c r="AJ24" s="762"/>
      <c r="AK24" s="762"/>
      <c r="AL24" s="762"/>
      <c r="AM24" s="762"/>
      <c r="AN24" s="762"/>
      <c r="AW24" s="762"/>
      <c r="AX24" s="762"/>
      <c r="AY24" s="762"/>
      <c r="AZ24" s="762"/>
      <c r="BA24" s="762"/>
      <c r="BC24" s="762"/>
      <c r="BD24" s="762"/>
      <c r="BE24" s="762"/>
      <c r="BF24" s="762"/>
      <c r="BG24" s="762"/>
      <c r="BH24" s="762"/>
      <c r="BI24" s="762"/>
      <c r="BJ24" s="762"/>
      <c r="BK24" s="762"/>
      <c r="BM24" s="762"/>
      <c r="BN24" s="762"/>
      <c r="BO24" s="762"/>
      <c r="BP24" s="762"/>
      <c r="BQ24" s="762"/>
      <c r="BR24" s="762"/>
      <c r="BS24" s="762"/>
      <c r="BT24" s="762"/>
      <c r="BU24" s="762"/>
      <c r="BW24" s="762"/>
      <c r="BX24" s="762"/>
      <c r="BY24" s="762"/>
      <c r="BZ24" s="762"/>
      <c r="CA24" s="762"/>
      <c r="CB24" s="762"/>
      <c r="CC24" s="762"/>
      <c r="CD24" s="762"/>
      <c r="CE24" s="762"/>
      <c r="CG24" s="762"/>
      <c r="CH24" s="762"/>
    </row>
    <row r="25" spans="1:86" ht="15">
      <c r="A25" s="761" t="s">
        <v>1369</v>
      </c>
      <c r="B25" s="759">
        <v>16.120267867000003</v>
      </c>
      <c r="C25" s="762">
        <v>9.4534176639999945</v>
      </c>
      <c r="D25" s="762">
        <v>16.262998540999998</v>
      </c>
      <c r="E25" s="762">
        <v>15.975877534000002</v>
      </c>
      <c r="F25" s="762">
        <v>15.690416185999997</v>
      </c>
      <c r="G25" s="762"/>
      <c r="H25" s="761" t="s">
        <v>1369</v>
      </c>
      <c r="I25" s="759">
        <f t="shared" si="0"/>
        <v>120.23624193959293</v>
      </c>
      <c r="J25" s="762">
        <f t="shared" si="1"/>
        <v>70.510206330476763</v>
      </c>
      <c r="K25" s="762">
        <f t="shared" si="2"/>
        <v>121.30082721775669</v>
      </c>
      <c r="L25" s="762">
        <f t="shared" si="3"/>
        <v>119.15927776284582</v>
      </c>
      <c r="M25" s="762">
        <f t="shared" si="4"/>
        <v>117.03010720651818</v>
      </c>
      <c r="N25" s="762"/>
      <c r="P25" s="758"/>
      <c r="Q25" s="758"/>
      <c r="R25" s="758"/>
      <c r="S25" s="758"/>
      <c r="T25" s="758"/>
      <c r="U25" s="758"/>
      <c r="V25" s="758"/>
      <c r="W25" s="758"/>
      <c r="X25" s="758"/>
      <c r="Y25" s="758"/>
      <c r="Z25" s="762"/>
      <c r="AA25" s="762"/>
      <c r="AB25" s="762"/>
      <c r="AC25" s="762"/>
      <c r="AD25" s="762"/>
      <c r="AF25" s="762"/>
      <c r="AG25" s="762"/>
      <c r="AH25" s="762"/>
      <c r="AI25" s="762"/>
      <c r="AJ25" s="762"/>
      <c r="AK25" s="762"/>
      <c r="AL25" s="762"/>
      <c r="AM25" s="762"/>
      <c r="AN25" s="762"/>
      <c r="AW25" s="762"/>
      <c r="AX25" s="762"/>
      <c r="AY25" s="762"/>
      <c r="AZ25" s="762"/>
      <c r="BA25" s="762"/>
      <c r="BC25" s="762"/>
      <c r="BD25" s="762"/>
      <c r="BE25" s="762"/>
      <c r="BF25" s="762"/>
      <c r="BG25" s="762"/>
      <c r="BH25" s="762"/>
      <c r="BI25" s="762"/>
      <c r="BJ25" s="762"/>
      <c r="BK25" s="762"/>
      <c r="BM25" s="762"/>
      <c r="BN25" s="762"/>
      <c r="BO25" s="762"/>
      <c r="BP25" s="762"/>
      <c r="BQ25" s="762"/>
      <c r="BR25" s="762"/>
      <c r="BS25" s="762"/>
      <c r="BT25" s="762"/>
      <c r="BU25" s="762"/>
      <c r="BW25" s="762"/>
      <c r="BX25" s="762"/>
      <c r="BY25" s="762"/>
      <c r="BZ25" s="762"/>
      <c r="CA25" s="762"/>
      <c r="CB25" s="762"/>
      <c r="CC25" s="762"/>
      <c r="CD25" s="762"/>
      <c r="CE25" s="762"/>
      <c r="CG25" s="762"/>
      <c r="CH25" s="762"/>
    </row>
    <row r="26" spans="1:86" ht="15">
      <c r="A26" s="760" t="s">
        <v>1368</v>
      </c>
      <c r="B26" s="759">
        <v>1.2862357249999996</v>
      </c>
      <c r="C26" s="762">
        <v>0.76842211700000007</v>
      </c>
      <c r="D26" s="762">
        <v>1.0356272160000008</v>
      </c>
      <c r="E26" s="762">
        <v>1.0090726719999996</v>
      </c>
      <c r="F26" s="762">
        <v>0.98251812799999971</v>
      </c>
      <c r="G26" s="762"/>
      <c r="H26" s="760" t="s">
        <v>1368</v>
      </c>
      <c r="I26" s="759">
        <f t="shared" si="0"/>
        <v>9.5936464020574981</v>
      </c>
      <c r="J26" s="762">
        <f t="shared" si="1"/>
        <v>5.7314300440679009</v>
      </c>
      <c r="K26" s="762">
        <f t="shared" si="2"/>
        <v>7.7244327159792068</v>
      </c>
      <c r="L26" s="762">
        <f t="shared" si="3"/>
        <v>7.5263703386463972</v>
      </c>
      <c r="M26" s="762">
        <f t="shared" si="4"/>
        <v>7.3283079613135982</v>
      </c>
      <c r="N26" s="762"/>
      <c r="P26" s="758"/>
      <c r="Q26" s="758"/>
      <c r="R26" s="758"/>
      <c r="S26" s="758"/>
      <c r="T26" s="758"/>
      <c r="U26" s="758"/>
      <c r="V26" s="758"/>
      <c r="W26" s="758"/>
      <c r="X26" s="758"/>
      <c r="Y26" s="758"/>
      <c r="Z26" s="762"/>
      <c r="AA26" s="762"/>
      <c r="AB26" s="762"/>
      <c r="AC26" s="762"/>
      <c r="AD26" s="762"/>
      <c r="AF26" s="762"/>
      <c r="AG26" s="762"/>
      <c r="AH26" s="762"/>
      <c r="AI26" s="762"/>
      <c r="AJ26" s="762"/>
      <c r="AK26" s="762"/>
      <c r="AL26" s="762"/>
      <c r="AM26" s="762"/>
      <c r="AN26" s="762"/>
      <c r="AW26" s="762"/>
      <c r="AX26" s="762"/>
      <c r="AY26" s="762"/>
      <c r="AZ26" s="762"/>
      <c r="BA26" s="762"/>
      <c r="BC26" s="762"/>
      <c r="BD26" s="762"/>
      <c r="BE26" s="762"/>
      <c r="BF26" s="762"/>
      <c r="BG26" s="762"/>
      <c r="BH26" s="762"/>
      <c r="BI26" s="762"/>
      <c r="BJ26" s="762"/>
      <c r="BK26" s="762"/>
      <c r="BM26" s="762"/>
      <c r="BN26" s="762"/>
      <c r="BO26" s="762"/>
      <c r="BP26" s="762"/>
      <c r="BQ26" s="762"/>
      <c r="BR26" s="762"/>
      <c r="BS26" s="762"/>
      <c r="BT26" s="762"/>
      <c r="BU26" s="762"/>
      <c r="BW26" s="762"/>
      <c r="BX26" s="762"/>
      <c r="BY26" s="762"/>
      <c r="BZ26" s="762"/>
      <c r="CA26" s="762"/>
      <c r="CB26" s="762"/>
      <c r="CC26" s="762"/>
      <c r="CD26" s="762"/>
      <c r="CE26" s="762"/>
      <c r="CG26" s="762"/>
      <c r="CH26" s="762"/>
    </row>
    <row r="27" spans="1:86" ht="15">
      <c r="A27" s="760" t="s">
        <v>1367</v>
      </c>
      <c r="B27" s="759">
        <v>-3.259066353073965</v>
      </c>
      <c r="C27" s="762">
        <v>-3.259066353073965</v>
      </c>
      <c r="D27" s="762">
        <v>-3.259066353073965</v>
      </c>
      <c r="E27" s="762">
        <v>-3.259066353073965</v>
      </c>
      <c r="F27" s="762">
        <v>-3.259066353073965</v>
      </c>
      <c r="G27" s="762"/>
      <c r="H27" s="760" t="s">
        <v>1367</v>
      </c>
      <c r="I27" s="759">
        <f t="shared" si="0"/>
        <v>-24.308398207672784</v>
      </c>
      <c r="J27" s="762">
        <f t="shared" si="1"/>
        <v>-24.308398207672784</v>
      </c>
      <c r="K27" s="762">
        <f t="shared" si="2"/>
        <v>-24.308398207672784</v>
      </c>
      <c r="L27" s="762">
        <f t="shared" si="3"/>
        <v>-24.308398207672784</v>
      </c>
      <c r="M27" s="762">
        <f t="shared" si="4"/>
        <v>-24.308398207672784</v>
      </c>
      <c r="N27" s="762"/>
      <c r="P27" s="758"/>
      <c r="Q27" s="758"/>
      <c r="R27" s="758"/>
      <c r="S27" s="758"/>
      <c r="T27" s="758"/>
      <c r="U27" s="758"/>
      <c r="V27" s="758"/>
      <c r="W27" s="758"/>
      <c r="X27" s="758"/>
      <c r="Y27" s="758"/>
      <c r="Z27" s="762"/>
      <c r="AA27" s="762"/>
      <c r="AB27" s="762"/>
      <c r="AC27" s="762"/>
      <c r="AD27" s="762"/>
      <c r="AF27" s="762"/>
      <c r="AG27" s="762"/>
      <c r="AH27" s="762"/>
      <c r="AI27" s="762"/>
      <c r="AJ27" s="762"/>
      <c r="AK27" s="762"/>
      <c r="AL27" s="762"/>
      <c r="AM27" s="762"/>
      <c r="AN27" s="762"/>
      <c r="AW27" s="762"/>
      <c r="AX27" s="762"/>
      <c r="AY27" s="762"/>
      <c r="AZ27" s="762"/>
      <c r="BA27" s="762"/>
      <c r="BC27" s="762"/>
      <c r="BD27" s="762"/>
      <c r="BE27" s="762"/>
      <c r="BF27" s="762"/>
      <c r="BG27" s="762"/>
      <c r="BH27" s="762"/>
      <c r="BI27" s="762"/>
      <c r="BJ27" s="762"/>
      <c r="BK27" s="762"/>
      <c r="BM27" s="762"/>
      <c r="BN27" s="762"/>
      <c r="BO27" s="762"/>
      <c r="BP27" s="762"/>
      <c r="BQ27" s="762"/>
      <c r="BR27" s="762"/>
      <c r="BS27" s="762"/>
      <c r="BT27" s="762"/>
      <c r="BU27" s="762"/>
      <c r="BW27" s="762"/>
      <c r="BX27" s="762"/>
      <c r="BY27" s="762"/>
      <c r="BZ27" s="762"/>
      <c r="CA27" s="762"/>
      <c r="CB27" s="762"/>
      <c r="CC27" s="762"/>
      <c r="CD27" s="762"/>
      <c r="CE27" s="762"/>
      <c r="CG27" s="762"/>
      <c r="CH27" s="762"/>
    </row>
    <row r="28" spans="1:86" ht="15">
      <c r="A28" s="760" t="s">
        <v>1366</v>
      </c>
      <c r="B28" s="759">
        <v>-3.259066353073965</v>
      </c>
      <c r="C28" s="762">
        <v>-3.259066353073965</v>
      </c>
      <c r="D28" s="762">
        <v>-3.259066353073965</v>
      </c>
      <c r="E28" s="762">
        <v>-3.259066353073965</v>
      </c>
      <c r="F28" s="762">
        <v>-3.259066353073965</v>
      </c>
      <c r="G28" s="762"/>
      <c r="H28" s="760" t="s">
        <v>1366</v>
      </c>
      <c r="I28" s="759">
        <f t="shared" si="0"/>
        <v>-24.308398207672784</v>
      </c>
      <c r="J28" s="762">
        <f t="shared" si="1"/>
        <v>-24.308398207672784</v>
      </c>
      <c r="K28" s="762">
        <f t="shared" si="2"/>
        <v>-24.308398207672784</v>
      </c>
      <c r="L28" s="762">
        <f t="shared" si="3"/>
        <v>-24.308398207672784</v>
      </c>
      <c r="M28" s="762">
        <f t="shared" si="4"/>
        <v>-24.308398207672784</v>
      </c>
      <c r="N28" s="762"/>
      <c r="P28" s="758"/>
      <c r="Q28" s="758"/>
      <c r="R28" s="758"/>
      <c r="S28" s="758"/>
      <c r="T28" s="758"/>
      <c r="U28" s="758"/>
      <c r="V28" s="758"/>
      <c r="W28" s="758"/>
      <c r="X28" s="758"/>
      <c r="Y28" s="758"/>
      <c r="Z28" s="762"/>
      <c r="AA28" s="762"/>
      <c r="AB28" s="762"/>
      <c r="AC28" s="762"/>
      <c r="AD28" s="762"/>
      <c r="AF28" s="762"/>
      <c r="AG28" s="762"/>
      <c r="AH28" s="762"/>
      <c r="AI28" s="762"/>
      <c r="AJ28" s="762"/>
      <c r="AK28" s="762"/>
      <c r="AL28" s="762"/>
      <c r="AM28" s="762"/>
      <c r="AN28" s="762"/>
      <c r="AW28" s="762"/>
      <c r="AX28" s="762"/>
      <c r="AY28" s="762"/>
      <c r="AZ28" s="762"/>
      <c r="BA28" s="762"/>
      <c r="BC28" s="762"/>
      <c r="BD28" s="762"/>
      <c r="BE28" s="762"/>
      <c r="BF28" s="762"/>
      <c r="BG28" s="762"/>
      <c r="BH28" s="762"/>
      <c r="BI28" s="762"/>
      <c r="BJ28" s="762"/>
      <c r="BK28" s="762"/>
      <c r="BM28" s="762"/>
      <c r="BN28" s="762"/>
      <c r="BO28" s="762"/>
      <c r="BP28" s="762"/>
      <c r="BQ28" s="762"/>
      <c r="BR28" s="762"/>
      <c r="BS28" s="762"/>
      <c r="BT28" s="762"/>
      <c r="BU28" s="762"/>
      <c r="BW28" s="762"/>
      <c r="BX28" s="762"/>
      <c r="BY28" s="762"/>
      <c r="BZ28" s="762"/>
      <c r="CA28" s="762"/>
      <c r="CB28" s="762"/>
      <c r="CC28" s="762"/>
      <c r="CD28" s="762"/>
      <c r="CE28" s="762"/>
      <c r="CG28" s="762"/>
      <c r="CH28" s="762"/>
    </row>
    <row r="29" spans="1:86" ht="15">
      <c r="A29" s="761" t="s">
        <v>1365</v>
      </c>
      <c r="B29" s="759">
        <v>6.6142153032857101</v>
      </c>
      <c r="C29" s="762">
        <v>4.4384023542857136</v>
      </c>
      <c r="D29" s="762">
        <v>6.3802033842857115</v>
      </c>
      <c r="E29" s="762">
        <v>6.0219541344285732</v>
      </c>
      <c r="F29" s="762">
        <v>5.8877588495714264</v>
      </c>
      <c r="G29" s="762"/>
      <c r="H29" s="761" t="s">
        <v>1365</v>
      </c>
      <c r="I29" s="759">
        <f t="shared" si="0"/>
        <v>49.333447682617127</v>
      </c>
      <c r="J29" s="759">
        <f t="shared" si="1"/>
        <v>33.104711639910853</v>
      </c>
      <c r="K29" s="759">
        <f t="shared" si="2"/>
        <v>47.588022982371839</v>
      </c>
      <c r="L29" s="759">
        <f t="shared" si="3"/>
        <v>44.915949302462401</v>
      </c>
      <c r="M29" s="759">
        <f t="shared" si="4"/>
        <v>43.915026931298399</v>
      </c>
      <c r="N29" s="762"/>
      <c r="P29" s="758"/>
      <c r="Q29" s="758"/>
      <c r="R29" s="758"/>
      <c r="S29" s="758"/>
      <c r="T29" s="758"/>
      <c r="U29" s="758"/>
      <c r="V29" s="758"/>
      <c r="W29" s="758"/>
      <c r="X29" s="758"/>
      <c r="Y29" s="758"/>
      <c r="Z29" s="762"/>
      <c r="AA29" s="762"/>
      <c r="AB29" s="762"/>
      <c r="AC29" s="762"/>
      <c r="AD29" s="762"/>
      <c r="AF29" s="762"/>
      <c r="AG29" s="762"/>
      <c r="AH29" s="762"/>
      <c r="AI29" s="762"/>
      <c r="AJ29" s="762"/>
      <c r="AK29" s="762"/>
      <c r="AL29" s="762"/>
      <c r="AM29" s="762"/>
      <c r="AN29" s="762"/>
      <c r="AW29" s="759"/>
      <c r="AX29" s="759"/>
      <c r="AY29" s="759"/>
      <c r="AZ29" s="759"/>
      <c r="BA29" s="759"/>
      <c r="BC29" s="759"/>
      <c r="BD29" s="759"/>
      <c r="BE29" s="759"/>
      <c r="BF29" s="759"/>
      <c r="BG29" s="759"/>
      <c r="BH29" s="759"/>
      <c r="BI29" s="759"/>
      <c r="BJ29" s="759"/>
      <c r="BK29" s="759"/>
      <c r="BM29" s="759"/>
      <c r="BN29" s="759"/>
      <c r="BO29" s="759"/>
      <c r="BP29" s="759"/>
      <c r="BQ29" s="759"/>
      <c r="BR29" s="759"/>
      <c r="BS29" s="759"/>
      <c r="BT29" s="759"/>
      <c r="BU29" s="759"/>
      <c r="BW29" s="759"/>
      <c r="BX29" s="759"/>
      <c r="BY29" s="759"/>
      <c r="BZ29" s="759"/>
      <c r="CA29" s="759"/>
      <c r="CB29" s="759"/>
      <c r="CC29" s="759"/>
      <c r="CD29" s="759"/>
      <c r="CE29" s="759"/>
      <c r="CG29" s="762"/>
      <c r="CH29" s="762"/>
    </row>
    <row r="30" spans="1:86" ht="15">
      <c r="A30" s="760" t="s">
        <v>1364</v>
      </c>
      <c r="B30" s="759">
        <v>6.039499100999997</v>
      </c>
      <c r="C30" s="762">
        <v>4.0528872780000009</v>
      </c>
      <c r="D30" s="762">
        <v>5.8254030900000027</v>
      </c>
      <c r="E30" s="762">
        <v>5.4984502670000026</v>
      </c>
      <c r="F30" s="762">
        <v>5.3756355010000023</v>
      </c>
      <c r="G30" s="762"/>
      <c r="H30" s="760" t="s">
        <v>1364</v>
      </c>
      <c r="I30" s="759">
        <f t="shared" si="0"/>
        <v>45.046811944628679</v>
      </c>
      <c r="J30" s="762">
        <f t="shared" si="1"/>
        <v>30.229270340418608</v>
      </c>
      <c r="K30" s="762">
        <f t="shared" si="2"/>
        <v>43.449934027383023</v>
      </c>
      <c r="L30" s="762">
        <f t="shared" si="3"/>
        <v>41.011291006472923</v>
      </c>
      <c r="M30" s="762">
        <f t="shared" si="4"/>
        <v>40.095252511308722</v>
      </c>
      <c r="N30" s="762"/>
      <c r="P30" s="758"/>
      <c r="Q30" s="758"/>
      <c r="R30" s="758"/>
      <c r="S30" s="758"/>
      <c r="T30" s="758"/>
      <c r="U30" s="758"/>
      <c r="V30" s="758"/>
      <c r="W30" s="758"/>
      <c r="X30" s="758"/>
      <c r="Y30" s="758"/>
      <c r="Z30" s="762"/>
      <c r="AA30" s="762"/>
      <c r="AB30" s="762"/>
      <c r="AC30" s="762"/>
      <c r="AD30" s="762"/>
      <c r="AF30" s="762"/>
      <c r="AG30" s="762"/>
      <c r="AH30" s="762"/>
      <c r="AI30" s="762"/>
      <c r="AJ30" s="762"/>
      <c r="AK30" s="762"/>
      <c r="AL30" s="762"/>
      <c r="AM30" s="762"/>
      <c r="AN30" s="762"/>
      <c r="AW30" s="762"/>
      <c r="AX30" s="762"/>
      <c r="AY30" s="762"/>
      <c r="AZ30" s="762"/>
      <c r="BA30" s="762"/>
      <c r="BC30" s="762"/>
      <c r="BD30" s="762"/>
      <c r="BE30" s="762"/>
      <c r="BF30" s="762"/>
      <c r="BG30" s="762"/>
      <c r="BH30" s="762"/>
      <c r="BI30" s="762"/>
      <c r="BJ30" s="762"/>
      <c r="BK30" s="762"/>
      <c r="BM30" s="762"/>
      <c r="BN30" s="762"/>
      <c r="BO30" s="762"/>
      <c r="BP30" s="762"/>
      <c r="BQ30" s="762"/>
      <c r="BR30" s="762"/>
      <c r="BS30" s="762"/>
      <c r="BT30" s="762"/>
      <c r="BU30" s="762"/>
      <c r="BW30" s="762"/>
      <c r="BX30" s="762"/>
      <c r="BY30" s="762"/>
      <c r="BZ30" s="762"/>
      <c r="CA30" s="762"/>
      <c r="CB30" s="762"/>
      <c r="CC30" s="762"/>
      <c r="CD30" s="762"/>
      <c r="CE30" s="762"/>
      <c r="CG30" s="762"/>
      <c r="CH30" s="762"/>
    </row>
    <row r="31" spans="1:86" ht="15">
      <c r="A31" s="760" t="s">
        <v>1363</v>
      </c>
      <c r="B31" s="759">
        <v>0.77340109400000034</v>
      </c>
      <c r="C31" s="762">
        <v>0.77340109400000034</v>
      </c>
      <c r="D31" s="762">
        <v>0.77340109400000034</v>
      </c>
      <c r="E31" s="762">
        <v>0.77340109400000034</v>
      </c>
      <c r="F31" s="762">
        <v>0.77340109400000034</v>
      </c>
      <c r="G31" s="762"/>
      <c r="H31" s="760" t="s">
        <v>1363</v>
      </c>
      <c r="I31" s="759">
        <f t="shared" si="0"/>
        <v>5.7685667398178024</v>
      </c>
      <c r="J31" s="762">
        <f t="shared" si="1"/>
        <v>5.7685667398178024</v>
      </c>
      <c r="K31" s="762">
        <f t="shared" si="2"/>
        <v>5.7685667398178024</v>
      </c>
      <c r="L31" s="762">
        <f t="shared" si="3"/>
        <v>5.7685667398178024</v>
      </c>
      <c r="M31" s="762">
        <f t="shared" si="4"/>
        <v>5.7685667398178024</v>
      </c>
      <c r="N31" s="762"/>
      <c r="P31" s="758"/>
      <c r="Q31" s="758"/>
      <c r="R31" s="758"/>
      <c r="S31" s="758"/>
      <c r="T31" s="758"/>
      <c r="U31" s="758"/>
      <c r="V31" s="758"/>
      <c r="W31" s="758"/>
      <c r="X31" s="758"/>
      <c r="Y31" s="758"/>
      <c r="Z31" s="762"/>
      <c r="AA31" s="762"/>
      <c r="AB31" s="762"/>
      <c r="AC31" s="762"/>
      <c r="AD31" s="762"/>
      <c r="AF31" s="762"/>
      <c r="AG31" s="762"/>
      <c r="AH31" s="762"/>
      <c r="AI31" s="762"/>
      <c r="AJ31" s="762"/>
      <c r="AK31" s="762"/>
      <c r="AL31" s="762"/>
      <c r="AM31" s="762"/>
      <c r="AN31" s="762"/>
      <c r="AW31" s="762"/>
      <c r="AX31" s="762"/>
      <c r="AY31" s="762"/>
      <c r="AZ31" s="762"/>
      <c r="BA31" s="762"/>
      <c r="BC31" s="762"/>
      <c r="BD31" s="762"/>
      <c r="BE31" s="762"/>
      <c r="BF31" s="762"/>
      <c r="BG31" s="762"/>
      <c r="BH31" s="762"/>
      <c r="BI31" s="762"/>
      <c r="BJ31" s="762"/>
      <c r="BK31" s="762"/>
      <c r="BM31" s="762"/>
      <c r="BN31" s="762"/>
      <c r="BO31" s="762"/>
      <c r="BP31" s="762"/>
      <c r="BQ31" s="762"/>
      <c r="BR31" s="762"/>
      <c r="BS31" s="762"/>
      <c r="BT31" s="762"/>
      <c r="BU31" s="762"/>
      <c r="BW31" s="762"/>
      <c r="BX31" s="762"/>
      <c r="BY31" s="762"/>
      <c r="BZ31" s="762"/>
      <c r="CA31" s="762"/>
      <c r="CB31" s="762"/>
      <c r="CC31" s="762"/>
      <c r="CD31" s="762"/>
      <c r="CE31" s="762"/>
      <c r="CG31" s="762"/>
      <c r="CH31" s="762"/>
    </row>
    <row r="32" spans="1:86" ht="15">
      <c r="A32" s="760" t="s">
        <v>1362</v>
      </c>
      <c r="B32" s="759">
        <v>2.3666737340000013</v>
      </c>
      <c r="C32" s="762">
        <v>1.4140294680000007</v>
      </c>
      <c r="D32" s="762">
        <v>1.9036288730000008</v>
      </c>
      <c r="E32" s="762">
        <v>1.8554987620000016</v>
      </c>
      <c r="F32" s="762">
        <v>1.8090283100000009</v>
      </c>
      <c r="G32" s="762"/>
      <c r="H32" s="760" t="s">
        <v>1362</v>
      </c>
      <c r="I32" s="759">
        <f t="shared" si="0"/>
        <v>17.652309379785809</v>
      </c>
      <c r="J32" s="762">
        <f t="shared" si="1"/>
        <v>10.546821592971606</v>
      </c>
      <c r="K32" s="762">
        <f t="shared" si="2"/>
        <v>14.198596675045106</v>
      </c>
      <c r="L32" s="762">
        <f t="shared" si="3"/>
        <v>13.839608616129413</v>
      </c>
      <c r="M32" s="762">
        <f t="shared" si="4"/>
        <v>13.492999455797007</v>
      </c>
      <c r="N32" s="762"/>
      <c r="P32" s="758"/>
      <c r="Q32" s="758"/>
      <c r="R32" s="758"/>
      <c r="S32" s="758"/>
      <c r="T32" s="758"/>
      <c r="U32" s="758"/>
      <c r="V32" s="758"/>
      <c r="W32" s="758"/>
      <c r="X32" s="758"/>
      <c r="Y32" s="758"/>
      <c r="Z32" s="762"/>
      <c r="AA32" s="762"/>
      <c r="AB32" s="762"/>
      <c r="AC32" s="762"/>
      <c r="AD32" s="762"/>
      <c r="AF32" s="762"/>
      <c r="AG32" s="762"/>
      <c r="AH32" s="762"/>
      <c r="AI32" s="762"/>
      <c r="AJ32" s="762"/>
      <c r="AK32" s="762"/>
      <c r="AL32" s="762"/>
      <c r="AM32" s="762"/>
      <c r="AN32" s="762"/>
      <c r="AW32" s="762"/>
      <c r="AX32" s="762"/>
      <c r="AY32" s="762"/>
      <c r="AZ32" s="762"/>
      <c r="BA32" s="762"/>
      <c r="BC32" s="762"/>
      <c r="BD32" s="762"/>
      <c r="BE32" s="762"/>
      <c r="BF32" s="762"/>
      <c r="BG32" s="762"/>
      <c r="BH32" s="762"/>
      <c r="BI32" s="762"/>
      <c r="BJ32" s="762"/>
      <c r="BK32" s="762"/>
      <c r="BM32" s="762"/>
      <c r="BN32" s="762"/>
      <c r="BO32" s="762"/>
      <c r="BP32" s="762"/>
      <c r="BQ32" s="762"/>
      <c r="BR32" s="762"/>
      <c r="BS32" s="762"/>
      <c r="BT32" s="762"/>
      <c r="BU32" s="762"/>
      <c r="BW32" s="762"/>
      <c r="BX32" s="762"/>
      <c r="BY32" s="762"/>
      <c r="BZ32" s="762"/>
      <c r="CA32" s="762"/>
      <c r="CB32" s="762"/>
      <c r="CC32" s="762"/>
      <c r="CD32" s="762"/>
      <c r="CE32" s="762"/>
      <c r="CG32" s="762"/>
      <c r="CH32" s="762"/>
    </row>
    <row r="33" spans="1:86" ht="15">
      <c r="A33" s="760" t="s">
        <v>1361</v>
      </c>
      <c r="B33" s="759">
        <v>2.3666737340000013</v>
      </c>
      <c r="C33" s="762">
        <v>1.4140294680000007</v>
      </c>
      <c r="D33" s="762">
        <v>1.9036288730000008</v>
      </c>
      <c r="E33" s="762">
        <v>1.8554987620000016</v>
      </c>
      <c r="F33" s="762">
        <v>1.8090283100000009</v>
      </c>
      <c r="G33" s="762"/>
      <c r="H33" s="760" t="s">
        <v>1361</v>
      </c>
      <c r="I33" s="759">
        <f t="shared" si="0"/>
        <v>17.652309379785809</v>
      </c>
      <c r="J33" s="762">
        <f t="shared" si="1"/>
        <v>10.546821592971606</v>
      </c>
      <c r="K33" s="762">
        <f t="shared" si="2"/>
        <v>14.198596675045106</v>
      </c>
      <c r="L33" s="762">
        <f t="shared" si="3"/>
        <v>13.839608616129413</v>
      </c>
      <c r="M33" s="762">
        <f t="shared" si="4"/>
        <v>13.492999455797007</v>
      </c>
      <c r="N33" s="762"/>
      <c r="P33" s="758"/>
      <c r="Q33" s="758"/>
      <c r="R33" s="758"/>
      <c r="S33" s="758"/>
      <c r="T33" s="758"/>
      <c r="U33" s="758"/>
      <c r="V33" s="758"/>
      <c r="W33" s="758"/>
      <c r="X33" s="758"/>
      <c r="Y33" s="758"/>
      <c r="Z33" s="762"/>
      <c r="AA33" s="762"/>
      <c r="AB33" s="762"/>
      <c r="AC33" s="762"/>
      <c r="AD33" s="762"/>
      <c r="AF33" s="762"/>
      <c r="AG33" s="762"/>
      <c r="AH33" s="762"/>
      <c r="AI33" s="762"/>
      <c r="AJ33" s="762"/>
      <c r="AK33" s="762"/>
      <c r="AL33" s="762"/>
      <c r="AM33" s="762"/>
      <c r="AN33" s="762"/>
      <c r="AW33" s="762"/>
      <c r="AX33" s="762"/>
      <c r="AY33" s="762"/>
      <c r="AZ33" s="762"/>
      <c r="BA33" s="762"/>
      <c r="BC33" s="762"/>
      <c r="BD33" s="762"/>
      <c r="BE33" s="762"/>
      <c r="BF33" s="762"/>
      <c r="BG33" s="762"/>
      <c r="BH33" s="762"/>
      <c r="BI33" s="762"/>
      <c r="BJ33" s="762"/>
      <c r="BK33" s="762"/>
      <c r="BM33" s="762"/>
      <c r="BN33" s="762"/>
      <c r="BO33" s="762"/>
      <c r="BP33" s="762"/>
      <c r="BQ33" s="762"/>
      <c r="BR33" s="762"/>
      <c r="BS33" s="762"/>
      <c r="BT33" s="762"/>
      <c r="BU33" s="762"/>
      <c r="BW33" s="762"/>
      <c r="BX33" s="762"/>
      <c r="BY33" s="762"/>
      <c r="BZ33" s="762"/>
      <c r="CA33" s="762"/>
      <c r="CB33" s="762"/>
      <c r="CC33" s="762"/>
      <c r="CD33" s="762"/>
      <c r="CE33" s="762"/>
      <c r="CG33" s="762"/>
      <c r="CH33" s="762"/>
    </row>
    <row r="34" spans="1:86" ht="15">
      <c r="A34" s="760" t="s">
        <v>1360</v>
      </c>
      <c r="B34" s="759">
        <v>2.1575567000000002</v>
      </c>
      <c r="C34" s="762">
        <v>5.9581758100000002</v>
      </c>
      <c r="D34" s="762">
        <v>5.8585962699999952</v>
      </c>
      <c r="E34" s="762">
        <v>5.5764542400000012</v>
      </c>
      <c r="F34" s="762">
        <v>5.0785565399999966</v>
      </c>
      <c r="G34" s="762"/>
      <c r="H34" s="760" t="s">
        <v>1360</v>
      </c>
      <c r="I34" s="759">
        <f t="shared" si="0"/>
        <v>16.092568158290003</v>
      </c>
      <c r="J34" s="762">
        <f t="shared" si="1"/>
        <v>44.440245914047004</v>
      </c>
      <c r="K34" s="762">
        <f t="shared" si="2"/>
        <v>43.697511999048963</v>
      </c>
      <c r="L34" s="762">
        <f t="shared" si="3"/>
        <v>41.593099239888012</v>
      </c>
      <c r="M34" s="762">
        <f t="shared" si="4"/>
        <v>37.879429664897977</v>
      </c>
      <c r="N34" s="762"/>
      <c r="P34" s="758"/>
      <c r="Q34" s="758"/>
      <c r="R34" s="758"/>
      <c r="S34" s="758"/>
      <c r="T34" s="758"/>
      <c r="U34" s="758"/>
      <c r="V34" s="758"/>
      <c r="W34" s="758"/>
      <c r="X34" s="758"/>
      <c r="Y34" s="758"/>
      <c r="Z34" s="762"/>
      <c r="AA34" s="762"/>
      <c r="AB34" s="762"/>
      <c r="AC34" s="762"/>
      <c r="AD34" s="762"/>
      <c r="AF34" s="762"/>
      <c r="AG34" s="762"/>
      <c r="AH34" s="762"/>
      <c r="AI34" s="762"/>
      <c r="AJ34" s="762"/>
      <c r="AK34" s="762"/>
      <c r="AL34" s="762"/>
      <c r="AM34" s="762"/>
      <c r="AN34" s="762"/>
      <c r="AW34" s="762"/>
      <c r="AX34" s="762"/>
      <c r="AY34" s="762"/>
      <c r="AZ34" s="762"/>
      <c r="BA34" s="762"/>
      <c r="BC34" s="762"/>
      <c r="BD34" s="762"/>
      <c r="BE34" s="762"/>
      <c r="BF34" s="762"/>
      <c r="BG34" s="762"/>
      <c r="BH34" s="762"/>
      <c r="BI34" s="762"/>
      <c r="BJ34" s="762"/>
      <c r="BK34" s="762"/>
      <c r="BM34" s="762"/>
      <c r="BN34" s="762"/>
      <c r="BO34" s="762"/>
      <c r="BP34" s="762"/>
      <c r="BQ34" s="762"/>
      <c r="BR34" s="762"/>
      <c r="BS34" s="762"/>
      <c r="BT34" s="762"/>
      <c r="BU34" s="762"/>
      <c r="BW34" s="762"/>
      <c r="BX34" s="762"/>
      <c r="BY34" s="762"/>
      <c r="BZ34" s="762"/>
      <c r="CA34" s="762"/>
      <c r="CB34" s="762"/>
      <c r="CC34" s="762"/>
      <c r="CD34" s="762"/>
      <c r="CE34" s="762"/>
      <c r="CG34" s="762"/>
      <c r="CH34" s="762"/>
    </row>
    <row r="35" spans="1:86" ht="15">
      <c r="A35" s="761" t="s">
        <v>1359</v>
      </c>
      <c r="B35" s="759">
        <v>5.3955514090000039</v>
      </c>
      <c r="C35" s="762">
        <v>5.4088286809999975</v>
      </c>
      <c r="D35" s="762">
        <v>7.5580870860000005</v>
      </c>
      <c r="E35" s="762">
        <v>9.4550773230000065</v>
      </c>
      <c r="F35" s="762">
        <v>10.029319337000002</v>
      </c>
      <c r="G35" s="762"/>
      <c r="H35" s="761" t="s">
        <v>1359</v>
      </c>
      <c r="I35" s="759">
        <f t="shared" si="0"/>
        <v>40.243799294308332</v>
      </c>
      <c r="J35" s="762">
        <f t="shared" si="1"/>
        <v>40.342830482974684</v>
      </c>
      <c r="K35" s="762">
        <f t="shared" si="2"/>
        <v>56.373504148348204</v>
      </c>
      <c r="L35" s="762">
        <f t="shared" si="3"/>
        <v>70.522585229060155</v>
      </c>
      <c r="M35" s="762">
        <f t="shared" si="4"/>
        <v>74.805684138881915</v>
      </c>
      <c r="N35" s="762"/>
      <c r="P35" s="758"/>
      <c r="Q35" s="758"/>
      <c r="R35" s="758"/>
      <c r="S35" s="758"/>
      <c r="T35" s="758"/>
      <c r="U35" s="758"/>
      <c r="V35" s="758"/>
      <c r="W35" s="758"/>
      <c r="X35" s="758"/>
      <c r="Y35" s="758"/>
      <c r="Z35" s="762"/>
      <c r="AA35" s="762"/>
      <c r="AB35" s="762"/>
      <c r="AC35" s="762"/>
      <c r="AD35" s="762"/>
      <c r="AF35" s="762"/>
      <c r="AG35" s="762"/>
      <c r="AH35" s="762"/>
      <c r="AI35" s="762"/>
      <c r="AJ35" s="762"/>
      <c r="AK35" s="762"/>
      <c r="AL35" s="762"/>
      <c r="AM35" s="762"/>
      <c r="AN35" s="762"/>
      <c r="AW35" s="762"/>
      <c r="AX35" s="762"/>
      <c r="AY35" s="762"/>
      <c r="AZ35" s="762"/>
      <c r="BA35" s="762"/>
      <c r="BC35" s="762"/>
      <c r="BD35" s="762"/>
      <c r="BE35" s="762"/>
      <c r="BF35" s="762"/>
      <c r="BG35" s="762"/>
      <c r="BH35" s="762"/>
      <c r="BI35" s="762"/>
      <c r="BJ35" s="762"/>
      <c r="BK35" s="762"/>
      <c r="BM35" s="762"/>
      <c r="BN35" s="762"/>
      <c r="BO35" s="762"/>
      <c r="BP35" s="762"/>
      <c r="BQ35" s="762"/>
      <c r="BR35" s="762"/>
      <c r="BS35" s="762"/>
      <c r="BT35" s="762"/>
      <c r="BU35" s="762"/>
      <c r="BW35" s="762"/>
      <c r="BX35" s="762"/>
      <c r="BY35" s="762"/>
      <c r="BZ35" s="762"/>
      <c r="CA35" s="762"/>
      <c r="CB35" s="762"/>
      <c r="CC35" s="762"/>
      <c r="CD35" s="762"/>
      <c r="CE35" s="762"/>
      <c r="CG35" s="762"/>
      <c r="CH35" s="762"/>
    </row>
    <row r="36" spans="1:86" ht="15">
      <c r="A36" s="760" t="s">
        <v>1358</v>
      </c>
      <c r="B36" s="759">
        <v>5.3955514090000039</v>
      </c>
      <c r="C36" s="762">
        <v>5.4088286809999975</v>
      </c>
      <c r="D36" s="762">
        <v>7.5580870860000005</v>
      </c>
      <c r="E36" s="762">
        <v>9.4550773230000065</v>
      </c>
      <c r="F36" s="762">
        <v>10.029319337000002</v>
      </c>
      <c r="G36" s="762"/>
      <c r="H36" s="760" t="s">
        <v>1358</v>
      </c>
      <c r="I36" s="759">
        <f t="shared" si="0"/>
        <v>40.243799294308332</v>
      </c>
      <c r="J36" s="762">
        <f t="shared" si="1"/>
        <v>40.342830482974684</v>
      </c>
      <c r="K36" s="762">
        <f t="shared" si="2"/>
        <v>56.373504148348204</v>
      </c>
      <c r="L36" s="762">
        <f t="shared" si="3"/>
        <v>70.522585229060155</v>
      </c>
      <c r="M36" s="762">
        <f t="shared" si="4"/>
        <v>74.805684138881915</v>
      </c>
      <c r="N36" s="762"/>
      <c r="P36" s="758"/>
      <c r="Q36" s="758"/>
      <c r="R36" s="758"/>
      <c r="S36" s="758"/>
      <c r="T36" s="758"/>
      <c r="U36" s="758"/>
      <c r="V36" s="758"/>
      <c r="W36" s="758"/>
      <c r="X36" s="758"/>
      <c r="Y36" s="758"/>
      <c r="Z36" s="762"/>
      <c r="AA36" s="762"/>
      <c r="AB36" s="762"/>
      <c r="AC36" s="762"/>
      <c r="AD36" s="762"/>
      <c r="AF36" s="762"/>
      <c r="AG36" s="762"/>
      <c r="AH36" s="762"/>
      <c r="AI36" s="762"/>
      <c r="AJ36" s="762"/>
      <c r="AK36" s="762"/>
      <c r="AL36" s="762"/>
      <c r="AM36" s="762"/>
      <c r="AN36" s="762"/>
      <c r="AW36" s="762"/>
      <c r="AX36" s="762"/>
      <c r="AY36" s="762"/>
      <c r="AZ36" s="762"/>
      <c r="BA36" s="762"/>
      <c r="BC36" s="762"/>
      <c r="BD36" s="762"/>
      <c r="BE36" s="762"/>
      <c r="BF36" s="762"/>
      <c r="BG36" s="762"/>
      <c r="BH36" s="762"/>
      <c r="BI36" s="762"/>
      <c r="BJ36" s="762"/>
      <c r="BK36" s="762"/>
      <c r="BM36" s="762"/>
      <c r="BN36" s="762"/>
      <c r="BO36" s="762"/>
      <c r="BP36" s="762"/>
      <c r="BQ36" s="762"/>
      <c r="BR36" s="762"/>
      <c r="BS36" s="762"/>
      <c r="BT36" s="762"/>
      <c r="BU36" s="762"/>
      <c r="BW36" s="762"/>
      <c r="BX36" s="762"/>
      <c r="BY36" s="762"/>
      <c r="BZ36" s="762"/>
      <c r="CA36" s="762"/>
      <c r="CB36" s="762"/>
      <c r="CC36" s="762"/>
      <c r="CD36" s="762"/>
      <c r="CE36" s="762"/>
      <c r="CG36" s="762"/>
      <c r="CH36" s="762"/>
    </row>
    <row r="37" spans="1:86" ht="15">
      <c r="A37" s="760" t="s">
        <v>1357</v>
      </c>
      <c r="B37" s="759">
        <v>6.3564939700000016</v>
      </c>
      <c r="C37" s="762">
        <v>6.3681115830000001</v>
      </c>
      <c r="D37" s="762">
        <v>8.5173699879999916</v>
      </c>
      <c r="E37" s="762">
        <v>10.414360224999998</v>
      </c>
      <c r="F37" s="762">
        <v>10.990261897999991</v>
      </c>
      <c r="G37" s="762"/>
      <c r="H37" s="760" t="s">
        <v>1357</v>
      </c>
      <c r="I37" s="759">
        <f t="shared" si="0"/>
        <v>47.411181574039013</v>
      </c>
      <c r="J37" s="762">
        <f t="shared" si="1"/>
        <v>47.4978338641221</v>
      </c>
      <c r="K37" s="762">
        <f t="shared" si="2"/>
        <v>63.528507529495542</v>
      </c>
      <c r="L37" s="762">
        <f t="shared" si="3"/>
        <v>77.677588610207479</v>
      </c>
      <c r="M37" s="762">
        <f t="shared" si="4"/>
        <v>81.973066418612532</v>
      </c>
      <c r="N37" s="762"/>
      <c r="P37" s="758"/>
      <c r="Q37" s="758"/>
      <c r="R37" s="758"/>
      <c r="S37" s="758"/>
      <c r="T37" s="758"/>
      <c r="U37" s="758"/>
      <c r="V37" s="758"/>
      <c r="W37" s="758"/>
      <c r="X37" s="758"/>
      <c r="Y37" s="758"/>
      <c r="Z37" s="762"/>
      <c r="AA37" s="762"/>
      <c r="AB37" s="762"/>
      <c r="AC37" s="762"/>
      <c r="AD37" s="762"/>
      <c r="AF37" s="762"/>
      <c r="AG37" s="762"/>
      <c r="AH37" s="762"/>
      <c r="AI37" s="762"/>
      <c r="AJ37" s="762"/>
      <c r="AK37" s="762"/>
      <c r="AL37" s="762"/>
      <c r="AM37" s="762"/>
      <c r="AN37" s="762"/>
      <c r="AW37" s="762"/>
      <c r="AX37" s="762"/>
      <c r="AY37" s="762"/>
      <c r="AZ37" s="762"/>
      <c r="BA37" s="762"/>
      <c r="BC37" s="762"/>
      <c r="BD37" s="762"/>
      <c r="BE37" s="762"/>
      <c r="BF37" s="762"/>
      <c r="BG37" s="762"/>
      <c r="BH37" s="762"/>
      <c r="BI37" s="762"/>
      <c r="BJ37" s="762"/>
      <c r="BK37" s="762"/>
      <c r="BM37" s="762"/>
      <c r="BN37" s="762"/>
      <c r="BO37" s="762"/>
      <c r="BP37" s="762"/>
      <c r="BQ37" s="762"/>
      <c r="BR37" s="762"/>
      <c r="BS37" s="762"/>
      <c r="BT37" s="762"/>
      <c r="BU37" s="762"/>
      <c r="BW37" s="762"/>
      <c r="BX37" s="762"/>
      <c r="BY37" s="762"/>
      <c r="BZ37" s="762"/>
      <c r="CA37" s="762"/>
      <c r="CB37" s="762"/>
      <c r="CC37" s="762"/>
      <c r="CD37" s="762"/>
      <c r="CE37" s="762"/>
      <c r="CG37" s="762"/>
      <c r="CH37" s="762"/>
    </row>
    <row r="38" spans="1:86" ht="15">
      <c r="A38" s="761" t="s">
        <v>1356</v>
      </c>
      <c r="B38" s="759">
        <v>6.3564939700000016</v>
      </c>
      <c r="C38" s="762">
        <v>6.3681115830000001</v>
      </c>
      <c r="D38" s="762">
        <v>8.5173699879999916</v>
      </c>
      <c r="E38" s="762">
        <v>10.414360224999998</v>
      </c>
      <c r="F38" s="762">
        <v>10.990261897999991</v>
      </c>
      <c r="G38" s="762"/>
      <c r="H38" s="761" t="s">
        <v>1356</v>
      </c>
      <c r="I38" s="759">
        <f t="shared" si="0"/>
        <v>47.411181574039013</v>
      </c>
      <c r="J38" s="762">
        <f t="shared" si="1"/>
        <v>47.4978338641221</v>
      </c>
      <c r="K38" s="762">
        <f t="shared" si="2"/>
        <v>63.528507529495542</v>
      </c>
      <c r="L38" s="762">
        <f t="shared" si="3"/>
        <v>77.677588610207479</v>
      </c>
      <c r="M38" s="762">
        <f t="shared" si="4"/>
        <v>81.973066418612532</v>
      </c>
      <c r="N38" s="762"/>
      <c r="P38" s="758"/>
      <c r="Q38" s="758"/>
      <c r="R38" s="758"/>
      <c r="S38" s="758"/>
      <c r="T38" s="758"/>
      <c r="U38" s="758"/>
      <c r="V38" s="758"/>
      <c r="W38" s="758"/>
      <c r="X38" s="758"/>
      <c r="Y38" s="758"/>
      <c r="Z38" s="762"/>
      <c r="AA38" s="762"/>
      <c r="AB38" s="762"/>
      <c r="AC38" s="762"/>
      <c r="AD38" s="762"/>
      <c r="AF38" s="762"/>
      <c r="AG38" s="762"/>
      <c r="AH38" s="762"/>
      <c r="AI38" s="762"/>
      <c r="AJ38" s="762"/>
      <c r="AK38" s="762"/>
      <c r="AL38" s="762"/>
      <c r="AM38" s="762"/>
      <c r="AN38" s="762"/>
      <c r="AW38" s="762"/>
      <c r="AX38" s="762"/>
      <c r="AY38" s="762"/>
      <c r="AZ38" s="762"/>
      <c r="BA38" s="762"/>
      <c r="BC38" s="762"/>
      <c r="BD38" s="762"/>
      <c r="BE38" s="762"/>
      <c r="BF38" s="762"/>
      <c r="BG38" s="762"/>
      <c r="BH38" s="762"/>
      <c r="BI38" s="762"/>
      <c r="BJ38" s="762"/>
      <c r="BK38" s="762"/>
      <c r="BM38" s="762"/>
      <c r="BN38" s="762"/>
      <c r="BO38" s="762"/>
      <c r="BP38" s="762"/>
      <c r="BQ38" s="762"/>
      <c r="BR38" s="762"/>
      <c r="BS38" s="762"/>
      <c r="BT38" s="762"/>
      <c r="BU38" s="762"/>
      <c r="BW38" s="762"/>
      <c r="BX38" s="762"/>
      <c r="BY38" s="762"/>
      <c r="BZ38" s="762"/>
      <c r="CA38" s="762"/>
      <c r="CB38" s="762"/>
      <c r="CC38" s="762"/>
      <c r="CD38" s="762"/>
      <c r="CE38" s="762"/>
      <c r="CG38" s="762"/>
      <c r="CH38" s="762"/>
    </row>
    <row r="39" spans="1:86" ht="15">
      <c r="A39" s="761" t="s">
        <v>1355</v>
      </c>
      <c r="B39" s="759">
        <v>8.611970551000006</v>
      </c>
      <c r="C39" s="762">
        <v>8.5372858960000073</v>
      </c>
      <c r="D39" s="762">
        <v>10.567048853000003</v>
      </c>
      <c r="E39" s="762">
        <v>12.387694775999995</v>
      </c>
      <c r="F39" s="762">
        <v>12.940361223000011</v>
      </c>
      <c r="G39" s="762"/>
      <c r="H39" s="761" t="s">
        <v>1355</v>
      </c>
      <c r="I39" s="759">
        <f t="shared" si="0"/>
        <v>64.234104748743746</v>
      </c>
      <c r="J39" s="762">
        <f t="shared" si="1"/>
        <v>63.677054312495258</v>
      </c>
      <c r="K39" s="762">
        <f t="shared" si="2"/>
        <v>78.816447279871127</v>
      </c>
      <c r="L39" s="762">
        <f t="shared" si="3"/>
        <v>92.39609902575117</v>
      </c>
      <c r="M39" s="762">
        <f t="shared" si="4"/>
        <v>96.51827225399019</v>
      </c>
      <c r="N39" s="762"/>
      <c r="P39" s="758"/>
      <c r="Q39" s="758"/>
      <c r="R39" s="758"/>
      <c r="S39" s="758"/>
      <c r="T39" s="758"/>
      <c r="U39" s="758"/>
      <c r="V39" s="758"/>
      <c r="W39" s="758"/>
      <c r="X39" s="758"/>
      <c r="Y39" s="758"/>
      <c r="Z39" s="762"/>
      <c r="AA39" s="762"/>
      <c r="AB39" s="762"/>
      <c r="AC39" s="762"/>
      <c r="AD39" s="762"/>
      <c r="AF39" s="762"/>
      <c r="AG39" s="762"/>
      <c r="AH39" s="762"/>
      <c r="AI39" s="762"/>
      <c r="AJ39" s="762"/>
      <c r="AK39" s="762"/>
      <c r="AL39" s="762"/>
      <c r="AM39" s="762"/>
      <c r="AN39" s="762"/>
      <c r="AW39" s="762"/>
      <c r="AX39" s="762"/>
      <c r="AY39" s="762"/>
      <c r="AZ39" s="762"/>
      <c r="BA39" s="762"/>
      <c r="BC39" s="762"/>
      <c r="BD39" s="762"/>
      <c r="BE39" s="762"/>
      <c r="BF39" s="762"/>
      <c r="BG39" s="762"/>
      <c r="BH39" s="762"/>
      <c r="BI39" s="762"/>
      <c r="BJ39" s="762"/>
      <c r="BK39" s="762"/>
      <c r="BM39" s="762"/>
      <c r="BN39" s="762"/>
      <c r="BO39" s="762"/>
      <c r="BP39" s="762"/>
      <c r="BQ39" s="762"/>
      <c r="BR39" s="762"/>
      <c r="BS39" s="762"/>
      <c r="BT39" s="762"/>
      <c r="BU39" s="762"/>
      <c r="BW39" s="762"/>
      <c r="BX39" s="762"/>
      <c r="BY39" s="762"/>
      <c r="BZ39" s="762"/>
      <c r="CA39" s="762"/>
      <c r="CB39" s="762"/>
      <c r="CC39" s="762"/>
      <c r="CD39" s="762"/>
      <c r="CE39" s="762"/>
      <c r="CG39" s="762"/>
      <c r="CH39" s="762"/>
    </row>
    <row r="40" spans="1:86" ht="15">
      <c r="A40" s="760" t="s">
        <v>1354</v>
      </c>
      <c r="B40" s="759">
        <v>0.66386359999999944</v>
      </c>
      <c r="C40" s="762">
        <v>0.66386359999999944</v>
      </c>
      <c r="D40" s="762">
        <v>0.66386359999999944</v>
      </c>
      <c r="E40" s="762">
        <v>0.66386359999999944</v>
      </c>
      <c r="F40" s="762">
        <v>0.66386359999999944</v>
      </c>
      <c r="G40" s="762"/>
      <c r="H40" s="760" t="s">
        <v>1354</v>
      </c>
      <c r="I40" s="759">
        <f t="shared" si="0"/>
        <v>4.9515594333199964</v>
      </c>
      <c r="J40" s="762">
        <f t="shared" si="1"/>
        <v>4.9515594333199964</v>
      </c>
      <c r="K40" s="762">
        <f t="shared" si="2"/>
        <v>4.9515594333199964</v>
      </c>
      <c r="L40" s="762">
        <f t="shared" si="3"/>
        <v>4.9515594333199964</v>
      </c>
      <c r="M40" s="762">
        <f t="shared" si="4"/>
        <v>4.9515594333199964</v>
      </c>
      <c r="N40" s="762"/>
      <c r="T40" s="762"/>
      <c r="V40" s="762"/>
      <c r="W40" s="762"/>
      <c r="X40" s="762"/>
      <c r="Y40" s="762"/>
      <c r="Z40" s="762"/>
      <c r="AA40" s="762"/>
      <c r="AB40" s="762"/>
      <c r="AC40" s="762"/>
      <c r="AD40" s="762"/>
      <c r="AF40" s="762"/>
      <c r="AG40" s="762"/>
      <c r="AH40" s="762"/>
      <c r="AI40" s="762"/>
      <c r="AJ40" s="762"/>
      <c r="AK40" s="762"/>
      <c r="AL40" s="762"/>
      <c r="AM40" s="762"/>
      <c r="AN40" s="762"/>
      <c r="AW40" s="762"/>
      <c r="AX40" s="762"/>
      <c r="AY40" s="762"/>
      <c r="AZ40" s="762"/>
      <c r="BA40" s="762"/>
      <c r="BC40" s="762"/>
      <c r="BD40" s="762"/>
      <c r="BE40" s="762"/>
      <c r="BF40" s="762"/>
      <c r="BG40" s="762"/>
      <c r="BH40" s="762"/>
      <c r="BI40" s="762"/>
      <c r="BJ40" s="762"/>
      <c r="BK40" s="762"/>
      <c r="BM40" s="762"/>
      <c r="BN40" s="762"/>
      <c r="BO40" s="762"/>
      <c r="BP40" s="762"/>
      <c r="BQ40" s="762"/>
      <c r="BR40" s="762"/>
      <c r="BS40" s="762"/>
      <c r="BT40" s="762"/>
      <c r="BU40" s="762"/>
      <c r="BW40" s="762"/>
      <c r="BX40" s="762"/>
      <c r="BY40" s="762"/>
      <c r="BZ40" s="762"/>
      <c r="CA40" s="762"/>
      <c r="CB40" s="762"/>
      <c r="CC40" s="762"/>
      <c r="CD40" s="762"/>
      <c r="CE40" s="762"/>
      <c r="CG40" s="762"/>
      <c r="CH40" s="762"/>
    </row>
    <row r="41" spans="1:86" ht="15">
      <c r="A41" s="760" t="s">
        <v>1353</v>
      </c>
      <c r="B41" s="759">
        <v>8.611970551000006</v>
      </c>
      <c r="C41" s="762">
        <v>8.5372858960000073</v>
      </c>
      <c r="D41" s="762">
        <v>10.567048853000003</v>
      </c>
      <c r="E41" s="762">
        <v>12.387694775999995</v>
      </c>
      <c r="F41" s="762">
        <v>12.940361223000011</v>
      </c>
      <c r="G41" s="762"/>
      <c r="H41" s="760" t="s">
        <v>1353</v>
      </c>
      <c r="I41" s="759">
        <f t="shared" si="0"/>
        <v>64.234104748743746</v>
      </c>
      <c r="J41" s="762">
        <f t="shared" si="1"/>
        <v>63.677054312495258</v>
      </c>
      <c r="K41" s="762">
        <f t="shared" si="2"/>
        <v>78.816447279871127</v>
      </c>
      <c r="L41" s="762">
        <f t="shared" si="3"/>
        <v>92.39609902575117</v>
      </c>
      <c r="M41" s="762">
        <f t="shared" si="4"/>
        <v>96.51827225399019</v>
      </c>
      <c r="N41" s="762"/>
      <c r="T41" s="762"/>
      <c r="V41" s="762"/>
      <c r="W41" s="762"/>
      <c r="X41" s="762"/>
      <c r="Y41" s="762"/>
      <c r="Z41" s="762"/>
      <c r="AA41" s="762"/>
      <c r="AB41" s="762"/>
      <c r="AC41" s="762"/>
      <c r="AD41" s="762"/>
      <c r="AF41" s="762"/>
      <c r="AG41" s="762"/>
      <c r="AH41" s="762"/>
      <c r="AI41" s="762"/>
      <c r="AJ41" s="762"/>
      <c r="AK41" s="762"/>
      <c r="AL41" s="762"/>
      <c r="AM41" s="762"/>
      <c r="AN41" s="762"/>
      <c r="AW41" s="762"/>
      <c r="AX41" s="762"/>
      <c r="AY41" s="762"/>
      <c r="AZ41" s="762"/>
      <c r="BA41" s="762"/>
      <c r="BC41" s="762"/>
      <c r="BD41" s="762"/>
      <c r="BE41" s="762"/>
      <c r="BF41" s="762"/>
      <c r="BG41" s="762"/>
      <c r="BH41" s="762"/>
      <c r="BI41" s="762"/>
      <c r="BJ41" s="762"/>
      <c r="BK41" s="762"/>
      <c r="BM41" s="762"/>
      <c r="BN41" s="762"/>
      <c r="BO41" s="762"/>
      <c r="BP41" s="762"/>
      <c r="BQ41" s="762"/>
      <c r="BR41" s="762"/>
      <c r="BS41" s="762"/>
      <c r="BT41" s="762"/>
      <c r="BU41" s="762"/>
      <c r="BW41" s="762"/>
      <c r="BX41" s="762"/>
      <c r="BY41" s="762"/>
      <c r="BZ41" s="762"/>
      <c r="CA41" s="762"/>
      <c r="CB41" s="762"/>
      <c r="CC41" s="762"/>
      <c r="CD41" s="762"/>
      <c r="CE41" s="762"/>
      <c r="CG41" s="762"/>
      <c r="CH41" s="762"/>
    </row>
    <row r="45" spans="1:86" ht="15">
      <c r="A45" s="764" t="s">
        <v>1393</v>
      </c>
      <c r="B45" s="764" t="s">
        <v>1392</v>
      </c>
      <c r="C45" s="764"/>
      <c r="D45" s="764"/>
      <c r="E45" s="764"/>
      <c r="F45" s="764"/>
      <c r="G45" s="765"/>
      <c r="H45" s="765"/>
      <c r="I45" s="764" t="s">
        <v>1393</v>
      </c>
      <c r="J45" s="764" t="s">
        <v>1392</v>
      </c>
      <c r="K45" s="764"/>
      <c r="L45" s="764"/>
      <c r="M45" s="764"/>
      <c r="N45" s="764"/>
    </row>
    <row r="46" spans="1:86" ht="15">
      <c r="A46" s="764"/>
      <c r="B46" s="764"/>
      <c r="C46" s="764"/>
      <c r="D46" s="764"/>
      <c r="E46" s="764"/>
      <c r="F46" s="764"/>
      <c r="G46" s="765"/>
      <c r="H46" s="765"/>
      <c r="I46" s="764"/>
      <c r="J46" s="764"/>
      <c r="K46" s="764"/>
      <c r="L46" s="764"/>
      <c r="M46" s="764"/>
      <c r="N46" s="764"/>
    </row>
    <row r="47" spans="1:86" ht="15">
      <c r="A47" s="764" t="s">
        <v>1391</v>
      </c>
      <c r="B47" s="764" t="s">
        <v>1390</v>
      </c>
      <c r="C47" s="764"/>
      <c r="D47" s="764"/>
      <c r="E47" s="764"/>
      <c r="F47" s="764"/>
      <c r="G47" s="765"/>
      <c r="H47" s="764" t="s">
        <v>1391</v>
      </c>
      <c r="I47" s="764" t="s">
        <v>1390</v>
      </c>
      <c r="J47" s="764"/>
      <c r="K47" s="764"/>
      <c r="L47" s="764"/>
      <c r="M47" s="764"/>
    </row>
    <row r="48" spans="1:86" ht="15">
      <c r="A48" s="764"/>
      <c r="B48" s="764" t="s">
        <v>1389</v>
      </c>
      <c r="C48" s="764"/>
      <c r="D48" s="764"/>
      <c r="E48" s="764"/>
      <c r="F48" s="765"/>
      <c r="G48" s="765"/>
      <c r="H48" s="764"/>
      <c r="I48" s="764" t="s">
        <v>1389</v>
      </c>
      <c r="J48" s="764"/>
      <c r="K48" s="764"/>
      <c r="L48" s="764"/>
      <c r="M48" s="765"/>
    </row>
    <row r="49" spans="1:17" ht="15">
      <c r="A49" s="764"/>
      <c r="B49" s="764" t="s">
        <v>1388</v>
      </c>
      <c r="C49" s="764"/>
      <c r="D49" s="764"/>
      <c r="E49" s="764"/>
      <c r="F49" s="764"/>
      <c r="G49" s="765"/>
      <c r="H49" s="764"/>
      <c r="I49" s="764" t="s">
        <v>1388</v>
      </c>
      <c r="J49" s="764"/>
      <c r="K49" s="764"/>
      <c r="L49" s="764"/>
      <c r="M49" s="764"/>
    </row>
    <row r="50" spans="1:17" ht="15">
      <c r="A50" s="764" t="s">
        <v>1387</v>
      </c>
      <c r="B50" s="764" t="s">
        <v>954</v>
      </c>
      <c r="C50" s="764" t="s">
        <v>1386</v>
      </c>
      <c r="D50" s="764" t="s">
        <v>1385</v>
      </c>
      <c r="E50" s="764" t="s">
        <v>1384</v>
      </c>
      <c r="F50" s="764" t="s">
        <v>1383</v>
      </c>
      <c r="G50" s="765"/>
      <c r="H50" s="764" t="s">
        <v>1387</v>
      </c>
      <c r="I50" s="764" t="s">
        <v>954</v>
      </c>
      <c r="J50" s="764" t="s">
        <v>1386</v>
      </c>
      <c r="K50" s="764" t="s">
        <v>1385</v>
      </c>
      <c r="L50" s="764" t="s">
        <v>1384</v>
      </c>
      <c r="M50" s="764" t="s">
        <v>1383</v>
      </c>
    </row>
    <row r="51" spans="1:17" ht="20">
      <c r="A51" s="762"/>
      <c r="B51" s="763" t="s">
        <v>1382</v>
      </c>
      <c r="C51" s="762"/>
      <c r="D51" s="762"/>
      <c r="E51" s="762"/>
      <c r="F51" s="762"/>
      <c r="H51" s="762"/>
      <c r="I51" s="763" t="s">
        <v>1381</v>
      </c>
      <c r="J51" s="762"/>
      <c r="K51" s="762"/>
      <c r="L51" s="762"/>
      <c r="M51" s="762"/>
    </row>
    <row r="52" spans="1:17" ht="15">
      <c r="A52" s="760" t="s">
        <v>1380</v>
      </c>
      <c r="B52" s="759">
        <v>27.870653586999996</v>
      </c>
      <c r="C52" s="759">
        <v>22.417014113000015</v>
      </c>
      <c r="D52" s="759">
        <v>27.928741651999989</v>
      </c>
      <c r="E52" s="759">
        <v>27.588511556999975</v>
      </c>
      <c r="F52" s="759">
        <v>27.248281462000016</v>
      </c>
      <c r="H52" s="760" t="s">
        <v>1380</v>
      </c>
      <c r="I52" s="759">
        <f t="shared" ref="I52:I79" si="5">B52*$I$5</f>
        <v>207.87884390935687</v>
      </c>
      <c r="J52" s="759">
        <f t="shared" ref="J52:J79" si="6">C52*$I$5</f>
        <v>167.20178316463321</v>
      </c>
      <c r="K52" s="759">
        <f t="shared" ref="K52:K79" si="7">D52*$I$5</f>
        <v>208.31210535977232</v>
      </c>
      <c r="L52" s="759">
        <f t="shared" ref="L52:L79" si="8">E52*$I$5</f>
        <v>205.77443115019574</v>
      </c>
      <c r="M52" s="759">
        <f t="shared" ref="M52:M79" si="9">F52*$I$5</f>
        <v>203.23675694061953</v>
      </c>
      <c r="P52" s="758"/>
    </row>
    <row r="53" spans="1:17" ht="15">
      <c r="A53" s="760" t="s">
        <v>1379</v>
      </c>
      <c r="B53" s="759">
        <v>21.163971567999994</v>
      </c>
      <c r="C53" s="759">
        <v>21.163971567999994</v>
      </c>
      <c r="D53" s="759">
        <v>21.163971567999994</v>
      </c>
      <c r="E53" s="759">
        <v>21.163971567999994</v>
      </c>
      <c r="F53" s="759">
        <v>21.163971567999994</v>
      </c>
      <c r="H53" s="760" t="s">
        <v>1379</v>
      </c>
      <c r="I53" s="759">
        <f t="shared" si="5"/>
        <v>157.85571473424156</v>
      </c>
      <c r="J53" s="759">
        <f t="shared" si="6"/>
        <v>157.85571473424156</v>
      </c>
      <c r="K53" s="759">
        <f t="shared" si="7"/>
        <v>157.85571473424156</v>
      </c>
      <c r="L53" s="759">
        <f t="shared" si="8"/>
        <v>157.85571473424156</v>
      </c>
      <c r="M53" s="759">
        <f t="shared" si="9"/>
        <v>157.85571473424156</v>
      </c>
      <c r="P53" s="758"/>
    </row>
    <row r="54" spans="1:17" ht="15">
      <c r="A54" s="760" t="s">
        <v>1378</v>
      </c>
      <c r="B54" s="759">
        <v>7.1099791560000032</v>
      </c>
      <c r="C54" s="759">
        <v>7.1099791560000032</v>
      </c>
      <c r="D54" s="759">
        <v>7.1099791560000032</v>
      </c>
      <c r="E54" s="759">
        <v>7.1099791560000032</v>
      </c>
      <c r="F54" s="759">
        <v>7.1099791560000032</v>
      </c>
      <c r="H54" s="760" t="s">
        <v>1378</v>
      </c>
      <c r="I54" s="759">
        <f t="shared" si="5"/>
        <v>53.031201530857224</v>
      </c>
      <c r="J54" s="759">
        <f t="shared" si="6"/>
        <v>53.031201530857224</v>
      </c>
      <c r="K54" s="759">
        <f t="shared" si="7"/>
        <v>53.031201530857224</v>
      </c>
      <c r="L54" s="759">
        <f t="shared" si="8"/>
        <v>53.031201530857224</v>
      </c>
      <c r="M54" s="759">
        <f t="shared" si="9"/>
        <v>53.031201530857224</v>
      </c>
      <c r="P54" s="758"/>
    </row>
    <row r="55" spans="1:17" ht="15">
      <c r="A55" s="760" t="s">
        <v>1377</v>
      </c>
      <c r="B55" s="759">
        <v>10.563729534999995</v>
      </c>
      <c r="C55" s="759">
        <v>10.563729534999995</v>
      </c>
      <c r="D55" s="759">
        <v>10.563729534999995</v>
      </c>
      <c r="E55" s="759">
        <v>10.563729534999995</v>
      </c>
      <c r="F55" s="759">
        <v>10.563729534999995</v>
      </c>
      <c r="H55" s="760" t="s">
        <v>1377</v>
      </c>
      <c r="I55" s="759">
        <f t="shared" si="5"/>
        <v>78.79168948270447</v>
      </c>
      <c r="J55" s="759">
        <f t="shared" si="6"/>
        <v>78.79168948270447</v>
      </c>
      <c r="K55" s="759">
        <f t="shared" si="7"/>
        <v>78.79168948270447</v>
      </c>
      <c r="L55" s="759">
        <f t="shared" si="8"/>
        <v>78.79168948270447</v>
      </c>
      <c r="M55" s="759">
        <f t="shared" si="9"/>
        <v>78.79168948270447</v>
      </c>
      <c r="P55" s="758"/>
    </row>
    <row r="56" spans="1:17" ht="15">
      <c r="A56" s="760" t="s">
        <v>1376</v>
      </c>
      <c r="B56" s="759">
        <v>21.163971567999994</v>
      </c>
      <c r="C56" s="759">
        <v>21.163971567999994</v>
      </c>
      <c r="D56" s="759">
        <v>21.163971567999994</v>
      </c>
      <c r="E56" s="759">
        <v>21.163971567999994</v>
      </c>
      <c r="F56" s="759">
        <v>21.163971567999994</v>
      </c>
      <c r="H56" s="760" t="s">
        <v>1376</v>
      </c>
      <c r="I56" s="759">
        <f t="shared" si="5"/>
        <v>157.85571473424156</v>
      </c>
      <c r="J56" s="759">
        <f t="shared" si="6"/>
        <v>157.85571473424156</v>
      </c>
      <c r="K56" s="759">
        <f t="shared" si="7"/>
        <v>157.85571473424156</v>
      </c>
      <c r="L56" s="759">
        <f t="shared" si="8"/>
        <v>157.85571473424156</v>
      </c>
      <c r="M56" s="759">
        <f t="shared" si="9"/>
        <v>157.85571473424156</v>
      </c>
      <c r="P56" s="758"/>
    </row>
    <row r="57" spans="1:17" ht="15">
      <c r="A57" s="761" t="s">
        <v>1375</v>
      </c>
      <c r="B57" s="759">
        <v>24.987825904000008</v>
      </c>
      <c r="C57" s="759">
        <v>24.987825904000008</v>
      </c>
      <c r="D57" s="759">
        <v>24.987825904000008</v>
      </c>
      <c r="E57" s="759">
        <v>24.987825904000008</v>
      </c>
      <c r="F57" s="759">
        <v>24.987825904000008</v>
      </c>
      <c r="H57" s="761" t="s">
        <v>1375</v>
      </c>
      <c r="I57" s="759">
        <f t="shared" si="5"/>
        <v>186.37669707016488</v>
      </c>
      <c r="J57" s="759">
        <f t="shared" si="6"/>
        <v>186.37669707016488</v>
      </c>
      <c r="K57" s="759">
        <f t="shared" si="7"/>
        <v>186.37669707016488</v>
      </c>
      <c r="L57" s="759">
        <f t="shared" si="8"/>
        <v>186.37669707016488</v>
      </c>
      <c r="M57" s="759">
        <f t="shared" si="9"/>
        <v>186.37669707016488</v>
      </c>
      <c r="P57" s="758"/>
      <c r="Q57" s="628"/>
    </row>
    <row r="58" spans="1:17" ht="15">
      <c r="A58" s="760" t="s">
        <v>1374</v>
      </c>
      <c r="B58" s="759">
        <v>16.120267867000003</v>
      </c>
      <c r="C58" s="759">
        <v>13.346977677999988</v>
      </c>
      <c r="D58" s="759">
        <v>18.858705217000001</v>
      </c>
      <c r="E58" s="759">
        <v>18.518475121999998</v>
      </c>
      <c r="F58" s="759">
        <v>18.178245026999999</v>
      </c>
      <c r="H58" s="760" t="s">
        <v>1374</v>
      </c>
      <c r="I58" s="759">
        <f t="shared" si="5"/>
        <v>120.23624193959293</v>
      </c>
      <c r="J58" s="759">
        <f t="shared" si="6"/>
        <v>99.551102406898508</v>
      </c>
      <c r="K58" s="759">
        <f t="shared" si="7"/>
        <v>140.66142460203793</v>
      </c>
      <c r="L58" s="759">
        <f t="shared" si="8"/>
        <v>138.1237503924614</v>
      </c>
      <c r="M58" s="759">
        <f t="shared" si="9"/>
        <v>135.58607618288491</v>
      </c>
      <c r="P58" s="758"/>
    </row>
    <row r="59" spans="1:17" ht="15">
      <c r="A59" s="761" t="s">
        <v>1373</v>
      </c>
      <c r="B59" s="759">
        <v>2.5724714499999992</v>
      </c>
      <c r="C59" s="759">
        <v>2.2239430600000007</v>
      </c>
      <c r="D59" s="759">
        <v>2.4562953199999997</v>
      </c>
      <c r="E59" s="759">
        <v>2.3932282779999996</v>
      </c>
      <c r="F59" s="759">
        <v>2.3334805540000003</v>
      </c>
      <c r="H59" s="761" t="s">
        <v>1373</v>
      </c>
      <c r="I59" s="759">
        <f t="shared" si="5"/>
        <v>19.187292804114996</v>
      </c>
      <c r="J59" s="759">
        <f t="shared" si="6"/>
        <v>16.587724101622005</v>
      </c>
      <c r="K59" s="759">
        <f t="shared" si="7"/>
        <v>18.320769903283999</v>
      </c>
      <c r="L59" s="759">
        <f t="shared" si="8"/>
        <v>17.850371757118598</v>
      </c>
      <c r="M59" s="759">
        <f t="shared" si="9"/>
        <v>17.404731408119805</v>
      </c>
      <c r="P59" s="758"/>
    </row>
    <row r="60" spans="1:17" ht="15">
      <c r="A60" s="760" t="s">
        <v>1372</v>
      </c>
      <c r="B60" s="759">
        <v>2.5724714499999992</v>
      </c>
      <c r="C60" s="759">
        <v>2.2239430600000007</v>
      </c>
      <c r="D60" s="759">
        <v>2.4562953199999997</v>
      </c>
      <c r="E60" s="759">
        <v>2.3932282779999996</v>
      </c>
      <c r="F60" s="759">
        <v>2.3334805540000003</v>
      </c>
      <c r="H60" s="760" t="s">
        <v>1372</v>
      </c>
      <c r="I60" s="759">
        <f t="shared" si="5"/>
        <v>19.187292804114996</v>
      </c>
      <c r="J60" s="759">
        <f t="shared" si="6"/>
        <v>16.587724101622005</v>
      </c>
      <c r="K60" s="759">
        <f t="shared" si="7"/>
        <v>18.320769903283999</v>
      </c>
      <c r="L60" s="759">
        <f t="shared" si="8"/>
        <v>17.850371757118598</v>
      </c>
      <c r="M60" s="759">
        <f t="shared" si="9"/>
        <v>17.404731408119805</v>
      </c>
      <c r="P60" s="758"/>
    </row>
    <row r="61" spans="1:17" ht="15">
      <c r="A61" s="761" t="s">
        <v>1371</v>
      </c>
      <c r="B61" s="759">
        <v>12.206791945000008</v>
      </c>
      <c r="C61" s="759">
        <v>9.4318420970000076</v>
      </c>
      <c r="D61" s="759">
        <v>14.943569636000003</v>
      </c>
      <c r="E61" s="759">
        <v>14.603339541000013</v>
      </c>
      <c r="F61" s="759">
        <v>14.264769105000015</v>
      </c>
      <c r="H61" s="761" t="s">
        <v>1371</v>
      </c>
      <c r="I61" s="759">
        <f t="shared" si="5"/>
        <v>91.046799080171567</v>
      </c>
      <c r="J61" s="759">
        <f t="shared" si="6"/>
        <v>70.349280648893966</v>
      </c>
      <c r="K61" s="759">
        <f t="shared" si="7"/>
        <v>111.45960284403323</v>
      </c>
      <c r="L61" s="759">
        <f t="shared" si="8"/>
        <v>108.9219286344568</v>
      </c>
      <c r="M61" s="759">
        <f t="shared" si="9"/>
        <v>106.39663332346362</v>
      </c>
      <c r="P61" s="758"/>
    </row>
    <row r="62" spans="1:17" ht="15">
      <c r="A62" s="760" t="s">
        <v>1370</v>
      </c>
      <c r="B62" s="759">
        <v>6.8411143980000011</v>
      </c>
      <c r="C62" s="759">
        <v>7.3041592589999942</v>
      </c>
      <c r="D62" s="759">
        <v>8.0028756980000004</v>
      </c>
      <c r="E62" s="759">
        <v>8.6501427079999988</v>
      </c>
      <c r="F62" s="759">
        <v>9.2957500589999995</v>
      </c>
      <c r="H62" s="760" t="s">
        <v>1370</v>
      </c>
      <c r="I62" s="759">
        <f t="shared" si="5"/>
        <v>51.025819960362611</v>
      </c>
      <c r="J62" s="759">
        <f t="shared" si="6"/>
        <v>54.479532665103257</v>
      </c>
      <c r="K62" s="759">
        <f t="shared" si="7"/>
        <v>59.691048968672604</v>
      </c>
      <c r="L62" s="759">
        <f t="shared" si="8"/>
        <v>64.518819416159587</v>
      </c>
      <c r="M62" s="759">
        <f t="shared" si="9"/>
        <v>69.334210965063306</v>
      </c>
      <c r="P62" s="758"/>
    </row>
    <row r="63" spans="1:17" ht="15">
      <c r="A63" s="761" t="s">
        <v>1369</v>
      </c>
      <c r="B63" s="759">
        <v>16.120267867000003</v>
      </c>
      <c r="C63" s="759">
        <v>13.346977677999988</v>
      </c>
      <c r="D63" s="759">
        <v>18.858705217000001</v>
      </c>
      <c r="E63" s="759">
        <v>18.518475121999998</v>
      </c>
      <c r="F63" s="759">
        <v>18.178245026999999</v>
      </c>
      <c r="H63" s="761" t="s">
        <v>1369</v>
      </c>
      <c r="I63" s="759">
        <f t="shared" si="5"/>
        <v>120.23624193959293</v>
      </c>
      <c r="J63" s="759">
        <f t="shared" si="6"/>
        <v>99.551102406898508</v>
      </c>
      <c r="K63" s="759">
        <f t="shared" si="7"/>
        <v>140.66142460203793</v>
      </c>
      <c r="L63" s="759">
        <f t="shared" si="8"/>
        <v>138.1237503924614</v>
      </c>
      <c r="M63" s="759">
        <f t="shared" si="9"/>
        <v>135.58607618288491</v>
      </c>
      <c r="P63" s="758"/>
    </row>
    <row r="64" spans="1:17" ht="15">
      <c r="A64" s="760" t="s">
        <v>1368</v>
      </c>
      <c r="B64" s="759">
        <v>1.2862357249999996</v>
      </c>
      <c r="C64" s="759">
        <v>1.1119715300000004</v>
      </c>
      <c r="D64" s="759">
        <v>1.2281476599999999</v>
      </c>
      <c r="E64" s="759">
        <v>1.1966141389999998</v>
      </c>
      <c r="F64" s="759">
        <v>1.1667402770000002</v>
      </c>
      <c r="H64" s="760" t="s">
        <v>1368</v>
      </c>
      <c r="I64" s="759">
        <f t="shared" si="5"/>
        <v>9.5936464020574981</v>
      </c>
      <c r="J64" s="759">
        <f t="shared" si="6"/>
        <v>8.2938620508110024</v>
      </c>
      <c r="K64" s="759">
        <f t="shared" si="7"/>
        <v>9.1603849516419995</v>
      </c>
      <c r="L64" s="759">
        <f t="shared" si="8"/>
        <v>8.925185878559299</v>
      </c>
      <c r="M64" s="759">
        <f t="shared" si="9"/>
        <v>8.7023657040599023</v>
      </c>
      <c r="P64" s="758"/>
    </row>
    <row r="65" spans="1:16" ht="15">
      <c r="A65" s="760" t="s">
        <v>1367</v>
      </c>
      <c r="B65" s="759">
        <v>-3.259066353073965</v>
      </c>
      <c r="C65" s="759">
        <v>-3.259066353073965</v>
      </c>
      <c r="D65" s="759">
        <v>-3.259066353073965</v>
      </c>
      <c r="E65" s="759">
        <v>-3.259066353073965</v>
      </c>
      <c r="F65" s="759">
        <v>-3.259066353073965</v>
      </c>
      <c r="H65" s="760" t="s">
        <v>1367</v>
      </c>
      <c r="I65" s="759">
        <f t="shared" si="5"/>
        <v>-24.308398207672784</v>
      </c>
      <c r="J65" s="759">
        <f t="shared" si="6"/>
        <v>-24.308398207672784</v>
      </c>
      <c r="K65" s="759">
        <f t="shared" si="7"/>
        <v>-24.308398207672784</v>
      </c>
      <c r="L65" s="759">
        <f t="shared" si="8"/>
        <v>-24.308398207672784</v>
      </c>
      <c r="M65" s="759">
        <f t="shared" si="9"/>
        <v>-24.308398207672784</v>
      </c>
      <c r="P65" s="758"/>
    </row>
    <row r="66" spans="1:16" ht="15">
      <c r="A66" s="760" t="s">
        <v>1366</v>
      </c>
      <c r="B66" s="759">
        <v>-3.259066353073965</v>
      </c>
      <c r="C66" s="759">
        <v>-3.259066353073965</v>
      </c>
      <c r="D66" s="759">
        <v>-3.259066353073965</v>
      </c>
      <c r="E66" s="759">
        <v>-3.259066353073965</v>
      </c>
      <c r="F66" s="759">
        <v>-3.259066353073965</v>
      </c>
      <c r="H66" s="760" t="s">
        <v>1366</v>
      </c>
      <c r="I66" s="759">
        <f t="shared" si="5"/>
        <v>-24.308398207672784</v>
      </c>
      <c r="J66" s="759">
        <f t="shared" si="6"/>
        <v>-24.308398207672784</v>
      </c>
      <c r="K66" s="759">
        <f t="shared" si="7"/>
        <v>-24.308398207672784</v>
      </c>
      <c r="L66" s="759">
        <f t="shared" si="8"/>
        <v>-24.308398207672784</v>
      </c>
      <c r="M66" s="759">
        <f t="shared" si="9"/>
        <v>-24.308398207672784</v>
      </c>
      <c r="P66" s="758"/>
    </row>
    <row r="67" spans="1:16" ht="15">
      <c r="A67" s="761" t="s">
        <v>1365</v>
      </c>
      <c r="B67" s="759">
        <v>6.6142153032857101</v>
      </c>
      <c r="C67" s="759">
        <v>6.6108959852857128</v>
      </c>
      <c r="D67" s="759">
        <v>7.6382249062857177</v>
      </c>
      <c r="E67" s="759">
        <v>7.2128780139999993</v>
      </c>
      <c r="F67" s="759">
        <v>7.0542620324285723</v>
      </c>
      <c r="H67" s="761" t="s">
        <v>1365</v>
      </c>
      <c r="I67" s="759">
        <f t="shared" si="5"/>
        <v>49.333447682617127</v>
      </c>
      <c r="J67" s="759">
        <f t="shared" si="6"/>
        <v>49.308689885450548</v>
      </c>
      <c r="K67" s="759">
        <f t="shared" si="7"/>
        <v>56.971228108513287</v>
      </c>
      <c r="L67" s="759">
        <f t="shared" si="8"/>
        <v>53.798693243021795</v>
      </c>
      <c r="M67" s="759">
        <f t="shared" si="9"/>
        <v>52.615624221274992</v>
      </c>
      <c r="P67" s="758"/>
    </row>
    <row r="68" spans="1:16" ht="15">
      <c r="A68" s="760" t="s">
        <v>1364</v>
      </c>
      <c r="B68" s="759">
        <v>6.039499100999997</v>
      </c>
      <c r="C68" s="759">
        <v>6.036179782999997</v>
      </c>
      <c r="D68" s="759">
        <v>6.9738871179999951</v>
      </c>
      <c r="E68" s="759">
        <v>6.5855269120000042</v>
      </c>
      <c r="F68" s="759">
        <v>6.4411365789999948</v>
      </c>
      <c r="H68" s="760" t="s">
        <v>1364</v>
      </c>
      <c r="I68" s="759">
        <f t="shared" si="5"/>
        <v>45.046811944628679</v>
      </c>
      <c r="J68" s="759">
        <f t="shared" si="6"/>
        <v>45.022054147462079</v>
      </c>
      <c r="K68" s="759">
        <f t="shared" si="7"/>
        <v>52.016131847026564</v>
      </c>
      <c r="L68" s="759">
        <f t="shared" si="8"/>
        <v>49.119469578534435</v>
      </c>
      <c r="M68" s="759">
        <f t="shared" si="9"/>
        <v>48.042505401787267</v>
      </c>
      <c r="P68" s="758"/>
    </row>
    <row r="69" spans="1:16" ht="15">
      <c r="A69" s="760" t="s">
        <v>1363</v>
      </c>
      <c r="B69" s="759">
        <v>0.77340109400000034</v>
      </c>
      <c r="C69" s="759">
        <v>0.77340109400000034</v>
      </c>
      <c r="D69" s="759">
        <v>0.77340109400000034</v>
      </c>
      <c r="E69" s="759">
        <v>0.77340109400000034</v>
      </c>
      <c r="F69" s="759">
        <v>0.77340109400000034</v>
      </c>
      <c r="H69" s="760" t="s">
        <v>1363</v>
      </c>
      <c r="I69" s="759">
        <f t="shared" si="5"/>
        <v>5.7685667398178024</v>
      </c>
      <c r="J69" s="759">
        <f t="shared" si="6"/>
        <v>5.7685667398178024</v>
      </c>
      <c r="K69" s="759">
        <f t="shared" si="7"/>
        <v>5.7685667398178024</v>
      </c>
      <c r="L69" s="759">
        <f t="shared" si="8"/>
        <v>5.7685667398178024</v>
      </c>
      <c r="M69" s="759">
        <f t="shared" si="9"/>
        <v>5.7685667398178024</v>
      </c>
      <c r="P69" s="758"/>
    </row>
    <row r="70" spans="1:16" ht="15">
      <c r="A70" s="760" t="s">
        <v>1362</v>
      </c>
      <c r="B70" s="759">
        <v>2.3666737340000013</v>
      </c>
      <c r="C70" s="759">
        <v>2.0446998879999985</v>
      </c>
      <c r="D70" s="759">
        <v>2.2604555580000021</v>
      </c>
      <c r="E70" s="759">
        <v>2.2023674929999988</v>
      </c>
      <c r="F70" s="759">
        <v>2.1459390870000008</v>
      </c>
      <c r="H70" s="760" t="s">
        <v>1362</v>
      </c>
      <c r="I70" s="759">
        <f t="shared" si="5"/>
        <v>17.652309379785809</v>
      </c>
      <c r="J70" s="759">
        <f t="shared" si="6"/>
        <v>15.250803054625589</v>
      </c>
      <c r="K70" s="759">
        <f t="shared" si="7"/>
        <v>16.860059870454617</v>
      </c>
      <c r="L70" s="759">
        <f t="shared" si="8"/>
        <v>16.426798420039091</v>
      </c>
      <c r="M70" s="759">
        <f t="shared" si="9"/>
        <v>16.005915868206905</v>
      </c>
      <c r="P70" s="758"/>
    </row>
    <row r="71" spans="1:16" ht="15">
      <c r="A71" s="760" t="s">
        <v>1361</v>
      </c>
      <c r="B71" s="759">
        <v>2.3666737340000013</v>
      </c>
      <c r="C71" s="759">
        <v>2.0446998879999985</v>
      </c>
      <c r="D71" s="759">
        <v>2.2604555580000021</v>
      </c>
      <c r="E71" s="759">
        <v>2.2023674929999988</v>
      </c>
      <c r="F71" s="759">
        <v>2.1459390870000008</v>
      </c>
      <c r="H71" s="760" t="s">
        <v>1361</v>
      </c>
      <c r="I71" s="759">
        <f t="shared" si="5"/>
        <v>17.652309379785809</v>
      </c>
      <c r="J71" s="759">
        <f t="shared" si="6"/>
        <v>15.250803054625589</v>
      </c>
      <c r="K71" s="759">
        <f t="shared" si="7"/>
        <v>16.860059870454617</v>
      </c>
      <c r="L71" s="759">
        <f t="shared" si="8"/>
        <v>16.426798420039091</v>
      </c>
      <c r="M71" s="759">
        <f t="shared" si="9"/>
        <v>16.005915868206905</v>
      </c>
      <c r="P71" s="758"/>
    </row>
    <row r="72" spans="1:16" ht="15">
      <c r="A72" s="760" t="s">
        <v>1360</v>
      </c>
      <c r="B72" s="759">
        <v>2.1575567000000002</v>
      </c>
      <c r="C72" s="759">
        <v>5.9581758100000002</v>
      </c>
      <c r="D72" s="759">
        <v>5.8585962699999952</v>
      </c>
      <c r="E72" s="759">
        <v>5.5764542400000012</v>
      </c>
      <c r="F72" s="759">
        <v>5.0785565399999966</v>
      </c>
      <c r="H72" s="760" t="s">
        <v>1360</v>
      </c>
      <c r="I72" s="759">
        <f t="shared" si="5"/>
        <v>16.092568158290003</v>
      </c>
      <c r="J72" s="759">
        <f t="shared" si="6"/>
        <v>44.440245914047004</v>
      </c>
      <c r="K72" s="759">
        <f t="shared" si="7"/>
        <v>43.697511999048963</v>
      </c>
      <c r="L72" s="759">
        <f t="shared" si="8"/>
        <v>41.593099239888012</v>
      </c>
      <c r="M72" s="759">
        <f t="shared" si="9"/>
        <v>37.879429664897977</v>
      </c>
      <c r="P72" s="758"/>
    </row>
    <row r="73" spans="1:16" ht="15">
      <c r="A73" s="761" t="s">
        <v>1359</v>
      </c>
      <c r="B73" s="759">
        <v>5.8569366110000027</v>
      </c>
      <c r="C73" s="759">
        <v>6.2519354529999953</v>
      </c>
      <c r="D73" s="759">
        <v>6.8510723519999956</v>
      </c>
      <c r="E73" s="759">
        <v>7.4037387989999974</v>
      </c>
      <c r="F73" s="759">
        <v>7.9580649049999952</v>
      </c>
      <c r="H73" s="761" t="s">
        <v>1359</v>
      </c>
      <c r="I73" s="759">
        <f t="shared" si="5"/>
        <v>43.68513310046572</v>
      </c>
      <c r="J73" s="759">
        <f t="shared" si="6"/>
        <v>46.631310963291064</v>
      </c>
      <c r="K73" s="759">
        <f t="shared" si="7"/>
        <v>51.10009335186237</v>
      </c>
      <c r="L73" s="759">
        <f t="shared" si="8"/>
        <v>55.222266580101284</v>
      </c>
      <c r="M73" s="759">
        <f t="shared" si="9"/>
        <v>59.35681870692347</v>
      </c>
      <c r="P73" s="758"/>
    </row>
    <row r="74" spans="1:16" ht="15">
      <c r="A74" s="760" t="s">
        <v>1358</v>
      </c>
      <c r="B74" s="759">
        <v>5.8569366110000027</v>
      </c>
      <c r="C74" s="759">
        <v>6.2519354529999953</v>
      </c>
      <c r="D74" s="759">
        <v>6.8510723519999956</v>
      </c>
      <c r="E74" s="759">
        <v>7.4037387989999974</v>
      </c>
      <c r="F74" s="759">
        <v>7.9580649049999952</v>
      </c>
      <c r="H74" s="760" t="s">
        <v>1358</v>
      </c>
      <c r="I74" s="759">
        <f t="shared" si="5"/>
        <v>43.68513310046572</v>
      </c>
      <c r="J74" s="759">
        <f t="shared" si="6"/>
        <v>46.631310963291064</v>
      </c>
      <c r="K74" s="759">
        <f t="shared" si="7"/>
        <v>51.10009335186237</v>
      </c>
      <c r="L74" s="759">
        <f t="shared" si="8"/>
        <v>55.222266580101284</v>
      </c>
      <c r="M74" s="759">
        <f t="shared" si="9"/>
        <v>59.35681870692347</v>
      </c>
      <c r="P74" s="758"/>
    </row>
    <row r="75" spans="1:16" ht="15">
      <c r="A75" s="760" t="s">
        <v>1357</v>
      </c>
      <c r="B75" s="759">
        <v>6.8411143980000011</v>
      </c>
      <c r="C75" s="759">
        <v>7.3041592589999942</v>
      </c>
      <c r="D75" s="759">
        <v>8.0028756980000004</v>
      </c>
      <c r="E75" s="759">
        <v>8.6501427079999988</v>
      </c>
      <c r="F75" s="759">
        <v>9.2957500589999995</v>
      </c>
      <c r="H75" s="760" t="s">
        <v>1357</v>
      </c>
      <c r="I75" s="759">
        <f t="shared" si="5"/>
        <v>51.025819960362611</v>
      </c>
      <c r="J75" s="759">
        <f t="shared" si="6"/>
        <v>54.479532665103257</v>
      </c>
      <c r="K75" s="759">
        <f t="shared" si="7"/>
        <v>59.691048968672604</v>
      </c>
      <c r="L75" s="759">
        <f t="shared" si="8"/>
        <v>64.518819416159587</v>
      </c>
      <c r="M75" s="759">
        <f t="shared" si="9"/>
        <v>69.334210965063306</v>
      </c>
      <c r="P75" s="758"/>
    </row>
    <row r="76" spans="1:16" ht="15">
      <c r="A76" s="761" t="s">
        <v>1356</v>
      </c>
      <c r="B76" s="759">
        <v>6.8411143980000011</v>
      </c>
      <c r="C76" s="759">
        <v>7.3041592589999942</v>
      </c>
      <c r="D76" s="759">
        <v>8.0028756980000004</v>
      </c>
      <c r="E76" s="759">
        <v>8.6501427079999988</v>
      </c>
      <c r="F76" s="759">
        <v>9.2957500589999995</v>
      </c>
      <c r="H76" s="761" t="s">
        <v>1356</v>
      </c>
      <c r="I76" s="759">
        <f t="shared" si="5"/>
        <v>51.025819960362611</v>
      </c>
      <c r="J76" s="759">
        <f t="shared" si="6"/>
        <v>54.479532665103257</v>
      </c>
      <c r="K76" s="759">
        <f t="shared" si="7"/>
        <v>59.691048968672604</v>
      </c>
      <c r="L76" s="759">
        <f t="shared" si="8"/>
        <v>64.518819416159587</v>
      </c>
      <c r="M76" s="759">
        <f t="shared" si="9"/>
        <v>69.334210965063306</v>
      </c>
      <c r="P76" s="758"/>
    </row>
    <row r="77" spans="1:16" ht="15">
      <c r="A77" s="761" t="s">
        <v>1355</v>
      </c>
      <c r="B77" s="759">
        <v>9.2791534689999953</v>
      </c>
      <c r="C77" s="759">
        <v>9.6027869740000042</v>
      </c>
      <c r="D77" s="759">
        <v>10.014382405999998</v>
      </c>
      <c r="E77" s="759">
        <v>10.457511359000005</v>
      </c>
      <c r="F77" s="759">
        <v>10.915577242999991</v>
      </c>
      <c r="H77" s="761" t="s">
        <v>1355</v>
      </c>
      <c r="I77" s="759">
        <f t="shared" si="5"/>
        <v>69.210421979230262</v>
      </c>
      <c r="J77" s="759">
        <f t="shared" si="6"/>
        <v>71.624307202973839</v>
      </c>
      <c r="K77" s="759">
        <f t="shared" si="7"/>
        <v>74.694274051632178</v>
      </c>
      <c r="L77" s="759">
        <f t="shared" si="8"/>
        <v>77.999439973373342</v>
      </c>
      <c r="M77" s="759">
        <f t="shared" si="9"/>
        <v>81.41601598236403</v>
      </c>
      <c r="P77" s="758"/>
    </row>
    <row r="78" spans="1:16" ht="15">
      <c r="A78" s="760" t="s">
        <v>1354</v>
      </c>
      <c r="B78" s="759">
        <v>0.66386359999999944</v>
      </c>
      <c r="C78" s="759">
        <v>0.66386359999999944</v>
      </c>
      <c r="D78" s="759">
        <v>0.66386359999999944</v>
      </c>
      <c r="E78" s="759">
        <v>0.66386359999999944</v>
      </c>
      <c r="F78" s="759">
        <v>0.66386359999999944</v>
      </c>
      <c r="H78" s="760" t="s">
        <v>1354</v>
      </c>
      <c r="I78" s="759">
        <f t="shared" si="5"/>
        <v>4.9515594333199964</v>
      </c>
      <c r="J78" s="759">
        <f t="shared" si="6"/>
        <v>4.9515594333199964</v>
      </c>
      <c r="K78" s="759">
        <f t="shared" si="7"/>
        <v>4.9515594333199964</v>
      </c>
      <c r="L78" s="759">
        <f t="shared" si="8"/>
        <v>4.9515594333199964</v>
      </c>
      <c r="M78" s="759">
        <f t="shared" si="9"/>
        <v>4.9515594333199964</v>
      </c>
      <c r="P78" s="758"/>
    </row>
    <row r="79" spans="1:16" ht="15">
      <c r="A79" s="760" t="s">
        <v>1353</v>
      </c>
      <c r="B79" s="759">
        <v>9.2791534689999953</v>
      </c>
      <c r="C79" s="759">
        <v>9.6027869740000042</v>
      </c>
      <c r="D79" s="759">
        <v>10.014382405999998</v>
      </c>
      <c r="E79" s="759">
        <v>10.457511359000005</v>
      </c>
      <c r="F79" s="759">
        <v>10.915577242999991</v>
      </c>
      <c r="H79" s="760" t="s">
        <v>1353</v>
      </c>
      <c r="I79" s="759">
        <f t="shared" si="5"/>
        <v>69.210421979230262</v>
      </c>
      <c r="J79" s="759">
        <f t="shared" si="6"/>
        <v>71.624307202973839</v>
      </c>
      <c r="K79" s="759">
        <f t="shared" si="7"/>
        <v>74.694274051632178</v>
      </c>
      <c r="L79" s="759">
        <f t="shared" si="8"/>
        <v>77.999439973373342</v>
      </c>
      <c r="M79" s="759">
        <f t="shared" si="9"/>
        <v>81.41601598236403</v>
      </c>
      <c r="P79" s="758"/>
    </row>
  </sheetData>
  <pageMargins left="0.7" right="0.7" top="0.75" bottom="0.75" header="0.3" footer="0.3"/>
  <pageSetup paperSize="9" orientation="portrait"/>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sheetPr>
  <dimension ref="A1:AU174"/>
  <sheetViews>
    <sheetView topLeftCell="V1" zoomScale="70" zoomScaleNormal="70" workbookViewId="0">
      <selection activeCell="D27" sqref="D27"/>
    </sheetView>
  </sheetViews>
  <sheetFormatPr baseColWidth="10" defaultColWidth="9.1640625" defaultRowHeight="15"/>
  <cols>
    <col min="1" max="1" width="31.5" style="772" customWidth="1"/>
    <col min="2" max="2" width="16.5" style="772" customWidth="1"/>
    <col min="3" max="4" width="11.5" style="772" customWidth="1"/>
    <col min="5" max="6" width="10" style="772" customWidth="1"/>
    <col min="7" max="7" width="12.5" style="772" customWidth="1"/>
    <col min="8" max="11" width="16.5" style="772" customWidth="1"/>
    <col min="12" max="15" width="19.5" style="772" customWidth="1"/>
    <col min="16" max="16" width="16.5" style="772" customWidth="1"/>
    <col min="17" max="17" width="23.5" style="772" customWidth="1"/>
    <col min="18" max="29" width="16.5" style="772" customWidth="1"/>
    <col min="30" max="30" width="9.1640625" style="772" customWidth="1"/>
    <col min="31" max="43" width="9.1640625" style="772"/>
    <col min="44" max="44" width="20.5" style="772" customWidth="1"/>
    <col min="45" max="16384" width="9.1640625" style="772"/>
  </cols>
  <sheetData>
    <row r="1" spans="1:47">
      <c r="A1" s="772" t="s">
        <v>1577</v>
      </c>
    </row>
    <row r="2" spans="1:47">
      <c r="A2" s="772" t="s">
        <v>1576</v>
      </c>
      <c r="L2" s="606"/>
      <c r="M2" s="606"/>
      <c r="N2" s="606"/>
      <c r="O2" s="927"/>
      <c r="P2" s="609"/>
      <c r="Q2" s="626"/>
    </row>
    <row r="3" spans="1:47">
      <c r="A3" s="772" t="s">
        <v>1575</v>
      </c>
      <c r="L3" s="610" t="s">
        <v>1</v>
      </c>
      <c r="M3" s="610" t="s">
        <v>21</v>
      </c>
      <c r="N3" s="610" t="s">
        <v>81</v>
      </c>
      <c r="O3" s="610" t="s">
        <v>13</v>
      </c>
      <c r="P3" s="610" t="s">
        <v>205</v>
      </c>
      <c r="Q3" s="933" t="s">
        <v>63</v>
      </c>
      <c r="R3" s="933" t="s">
        <v>63</v>
      </c>
      <c r="T3" s="932" t="s">
        <v>1574</v>
      </c>
    </row>
    <row r="4" spans="1:47" ht="16" thickBot="1">
      <c r="A4" s="772" t="s">
        <v>1503</v>
      </c>
      <c r="L4" s="615" t="s">
        <v>22</v>
      </c>
      <c r="M4" s="931"/>
      <c r="N4" s="931"/>
      <c r="O4" s="931"/>
      <c r="P4" s="931" t="s">
        <v>207</v>
      </c>
      <c r="Q4" s="930" t="s">
        <v>1573</v>
      </c>
      <c r="R4" s="930" t="s">
        <v>1381</v>
      </c>
      <c r="U4" s="927"/>
      <c r="V4" s="926"/>
      <c r="W4" s="926"/>
      <c r="X4" s="606"/>
      <c r="Y4" s="928"/>
    </row>
    <row r="5" spans="1:47">
      <c r="A5" s="772" t="s">
        <v>1572</v>
      </c>
      <c r="L5" s="927" t="s">
        <v>1571</v>
      </c>
      <c r="M5" s="927" t="s">
        <v>1570</v>
      </c>
      <c r="N5" s="926"/>
      <c r="O5" s="926" t="s">
        <v>45</v>
      </c>
      <c r="P5" s="606" t="s">
        <v>1541</v>
      </c>
      <c r="Q5" s="929">
        <f>F30*$K$18/$M$18</f>
        <v>168.72138839840429</v>
      </c>
      <c r="R5" s="772">
        <f t="shared" ref="R5:R14" si="0">Q5/$U$12</f>
        <v>174.42313796601317</v>
      </c>
      <c r="T5" s="606" t="s">
        <v>1559</v>
      </c>
      <c r="U5" s="606"/>
      <c r="V5" s="628">
        <v>1.0058029890060425</v>
      </c>
      <c r="W5" s="606"/>
      <c r="X5" s="606" t="s">
        <v>1569</v>
      </c>
      <c r="Y5" s="606" t="s">
        <v>1557</v>
      </c>
    </row>
    <row r="6" spans="1:47">
      <c r="A6" s="772" t="s">
        <v>1503</v>
      </c>
      <c r="L6" s="927" t="s">
        <v>1568</v>
      </c>
      <c r="M6" s="927" t="s">
        <v>1567</v>
      </c>
      <c r="N6" s="926"/>
      <c r="O6" s="926" t="s">
        <v>41</v>
      </c>
      <c r="P6" s="606" t="s">
        <v>1541</v>
      </c>
      <c r="Q6" s="929">
        <f>C30*$K$18/$M$18</f>
        <v>54.454307922289438</v>
      </c>
      <c r="R6" s="772">
        <f t="shared" si="0"/>
        <v>56.294530016225757</v>
      </c>
      <c r="T6" s="606" t="s">
        <v>1559</v>
      </c>
      <c r="U6" s="606"/>
      <c r="V6" s="628">
        <v>1.0298540592193604</v>
      </c>
      <c r="W6" s="606"/>
      <c r="X6" s="606" t="s">
        <v>1541</v>
      </c>
      <c r="Y6" s="606" t="s">
        <v>1557</v>
      </c>
    </row>
    <row r="7" spans="1:47">
      <c r="A7" s="772" t="s">
        <v>1503</v>
      </c>
      <c r="L7" s="927" t="s">
        <v>1566</v>
      </c>
      <c r="M7" s="927" t="s">
        <v>329</v>
      </c>
      <c r="N7" s="926"/>
      <c r="O7" s="926" t="s">
        <v>42</v>
      </c>
      <c r="P7" s="606" t="s">
        <v>1541</v>
      </c>
      <c r="Q7" s="929">
        <f>N30*K18/M18</f>
        <v>0.20676944444444442</v>
      </c>
      <c r="R7" s="772">
        <f t="shared" si="0"/>
        <v>0.21375698527520132</v>
      </c>
      <c r="T7" s="606" t="s">
        <v>1559</v>
      </c>
      <c r="U7" s="606"/>
      <c r="V7" s="628">
        <v>1.0474179983139038</v>
      </c>
      <c r="W7" s="606"/>
      <c r="X7" s="606" t="s">
        <v>604</v>
      </c>
      <c r="Y7" s="606" t="s">
        <v>1557</v>
      </c>
    </row>
    <row r="8" spans="1:47">
      <c r="A8" s="772" t="s">
        <v>1565</v>
      </c>
      <c r="L8" s="927" t="s">
        <v>1564</v>
      </c>
      <c r="M8" s="927" t="s">
        <v>1563</v>
      </c>
      <c r="N8" s="926"/>
      <c r="O8" s="926" t="s">
        <v>73</v>
      </c>
      <c r="P8" s="606" t="s">
        <v>1541</v>
      </c>
      <c r="Q8" s="929">
        <f>(AVERAGE(R30:T30))*$K$18/$M$18</f>
        <v>56.654827777777761</v>
      </c>
      <c r="R8" s="772">
        <f t="shared" si="0"/>
        <v>58.569413965405147</v>
      </c>
      <c r="T8" s="606" t="s">
        <v>1559</v>
      </c>
      <c r="U8" s="606"/>
      <c r="V8" s="628">
        <v>1.053608744323085</v>
      </c>
      <c r="W8" s="606"/>
      <c r="X8" s="606" t="s">
        <v>206</v>
      </c>
      <c r="Y8" s="606" t="s">
        <v>1557</v>
      </c>
      <c r="AP8" s="927"/>
      <c r="AQ8" s="927"/>
      <c r="AR8" s="926"/>
      <c r="AS8" s="926"/>
      <c r="AT8" s="606"/>
      <c r="AU8" s="928"/>
    </row>
    <row r="9" spans="1:47">
      <c r="A9" s="772" t="s">
        <v>1562</v>
      </c>
      <c r="L9" s="927" t="s">
        <v>1561</v>
      </c>
      <c r="M9" s="927" t="s">
        <v>1560</v>
      </c>
      <c r="N9" s="926"/>
      <c r="O9" s="926" t="s">
        <v>44</v>
      </c>
      <c r="P9" s="606" t="s">
        <v>1541</v>
      </c>
      <c r="Q9" s="929">
        <f>G30*$K$18/$M$18</f>
        <v>141.03743805555558</v>
      </c>
      <c r="R9" s="772">
        <f t="shared" si="0"/>
        <v>145.80363965621484</v>
      </c>
      <c r="T9" s="606" t="s">
        <v>1559</v>
      </c>
      <c r="U9" s="606"/>
      <c r="V9" s="628">
        <v>1.0646568189203929</v>
      </c>
      <c r="W9" s="606"/>
      <c r="X9" s="606" t="s">
        <v>1558</v>
      </c>
      <c r="Y9" s="606" t="s">
        <v>1557</v>
      </c>
    </row>
    <row r="10" spans="1:47">
      <c r="A10" s="772" t="s">
        <v>1556</v>
      </c>
      <c r="L10" s="927" t="s">
        <v>1555</v>
      </c>
      <c r="M10" s="927" t="s">
        <v>317</v>
      </c>
      <c r="N10" s="926"/>
      <c r="O10" s="926" t="s">
        <v>192</v>
      </c>
      <c r="P10" s="606" t="s">
        <v>1541</v>
      </c>
      <c r="Q10" s="929">
        <f>W30*$K$18/$M$18</f>
        <v>196.03550852024199</v>
      </c>
      <c r="R10" s="772">
        <f t="shared" si="0"/>
        <v>202.66030805841274</v>
      </c>
      <c r="T10" s="927"/>
      <c r="U10" s="927"/>
      <c r="V10" s="926"/>
      <c r="W10" s="926"/>
      <c r="X10" s="606"/>
      <c r="Y10" s="928"/>
    </row>
    <row r="11" spans="1:47">
      <c r="A11" s="772" t="s">
        <v>1554</v>
      </c>
      <c r="L11" s="927" t="s">
        <v>1553</v>
      </c>
      <c r="M11" s="927" t="s">
        <v>1552</v>
      </c>
      <c r="N11" s="926"/>
      <c r="O11" s="926" t="s">
        <v>46</v>
      </c>
      <c r="P11" s="606" t="s">
        <v>1541</v>
      </c>
      <c r="Q11" s="929">
        <v>0</v>
      </c>
      <c r="R11" s="772">
        <f t="shared" si="0"/>
        <v>0</v>
      </c>
      <c r="T11" s="927"/>
      <c r="U11" s="927" t="s">
        <v>1551</v>
      </c>
      <c r="V11" s="926"/>
      <c r="W11" s="926"/>
      <c r="X11" s="606"/>
      <c r="Y11" s="928"/>
    </row>
    <row r="12" spans="1:47">
      <c r="A12" s="772" t="s">
        <v>1550</v>
      </c>
      <c r="L12" s="927" t="s">
        <v>1549</v>
      </c>
      <c r="M12" s="927" t="s">
        <v>1548</v>
      </c>
      <c r="N12" s="926"/>
      <c r="O12" s="926" t="s">
        <v>47</v>
      </c>
      <c r="P12" s="606" t="s">
        <v>1541</v>
      </c>
      <c r="Q12" s="929">
        <v>0</v>
      </c>
      <c r="R12" s="772">
        <f t="shared" si="0"/>
        <v>0</v>
      </c>
      <c r="T12" s="927"/>
      <c r="U12" s="927">
        <f>V6/V9</f>
        <v>0.96731081877038649</v>
      </c>
      <c r="V12" s="926"/>
      <c r="W12" s="926"/>
      <c r="X12" s="606"/>
      <c r="Y12" s="928"/>
    </row>
    <row r="13" spans="1:47">
      <c r="A13" s="772" t="s">
        <v>1547</v>
      </c>
      <c r="L13" s="927" t="s">
        <v>1546</v>
      </c>
      <c r="M13" s="927" t="s">
        <v>1545</v>
      </c>
      <c r="N13" s="926"/>
      <c r="O13" s="926" t="s">
        <v>72</v>
      </c>
      <c r="P13" s="606" t="s">
        <v>1541</v>
      </c>
      <c r="Q13" s="925">
        <f>U30*$K$18/$M$18</f>
        <v>98.215486111111105</v>
      </c>
      <c r="R13" s="772">
        <f t="shared" si="0"/>
        <v>101.53456800572063</v>
      </c>
    </row>
    <row r="14" spans="1:47">
      <c r="A14" s="772" t="s">
        <v>1544</v>
      </c>
      <c r="J14" s="772" t="s">
        <v>1398</v>
      </c>
      <c r="L14" s="927" t="s">
        <v>1543</v>
      </c>
      <c r="M14" s="927" t="s">
        <v>1542</v>
      </c>
      <c r="N14" s="926"/>
      <c r="O14" s="926" t="s">
        <v>40</v>
      </c>
      <c r="P14" s="606" t="s">
        <v>1541</v>
      </c>
      <c r="Q14" s="925">
        <f>D28*$K$18/$M$18</f>
        <v>24.192024999999994</v>
      </c>
      <c r="R14" s="772">
        <f t="shared" si="0"/>
        <v>25.009567277198549</v>
      </c>
      <c r="AD14" s="772" t="s">
        <v>1507</v>
      </c>
      <c r="AE14" s="772">
        <v>11</v>
      </c>
      <c r="AF14" s="772">
        <v>35</v>
      </c>
    </row>
    <row r="15" spans="1:47">
      <c r="A15" s="772" t="s">
        <v>1540</v>
      </c>
      <c r="AD15" s="772" t="s">
        <v>1507</v>
      </c>
      <c r="AE15" s="772" t="s">
        <v>1539</v>
      </c>
      <c r="AM15" s="772" t="s">
        <v>1506</v>
      </c>
    </row>
    <row r="16" spans="1:47">
      <c r="A16" s="772" t="s">
        <v>1538</v>
      </c>
      <c r="J16" s="772" t="s">
        <v>1397</v>
      </c>
      <c r="AD16" s="772" t="s">
        <v>1507</v>
      </c>
      <c r="AE16" s="772" t="s">
        <v>1537</v>
      </c>
      <c r="AF16" s="798" t="s">
        <v>1536</v>
      </c>
      <c r="AG16" s="772" t="s">
        <v>1535</v>
      </c>
      <c r="AH16" s="772" t="s">
        <v>1534</v>
      </c>
      <c r="AI16" s="772" t="s">
        <v>1533</v>
      </c>
      <c r="AJ16" s="772" t="s">
        <v>89</v>
      </c>
      <c r="AK16" s="772" t="s">
        <v>1532</v>
      </c>
      <c r="AM16" s="772" t="s">
        <v>1506</v>
      </c>
    </row>
    <row r="17" spans="1:39">
      <c r="A17" s="772" t="s">
        <v>1531</v>
      </c>
      <c r="J17" s="772" t="s">
        <v>1530</v>
      </c>
      <c r="K17" s="772" t="s">
        <v>1529</v>
      </c>
      <c r="R17" s="776"/>
      <c r="AF17" s="798"/>
    </row>
    <row r="18" spans="1:39">
      <c r="A18" s="772" t="s">
        <v>1503</v>
      </c>
      <c r="J18" s="772">
        <v>1</v>
      </c>
      <c r="K18" s="628">
        <v>7.4436999999999998</v>
      </c>
      <c r="M18" s="772">
        <v>3.6</v>
      </c>
      <c r="AD18" s="772" t="s">
        <v>1507</v>
      </c>
      <c r="AE18" s="799">
        <f>D26/3.6</f>
        <v>3.1732383409081604</v>
      </c>
      <c r="AF18" s="923">
        <v>8</v>
      </c>
      <c r="AG18" s="772">
        <f>AK28*AF18/1000</f>
        <v>0.68799999999999994</v>
      </c>
      <c r="AH18" s="799">
        <f>AE18+AG18</f>
        <v>3.8612383409081605</v>
      </c>
      <c r="AI18" s="799">
        <f>AH18*3.6</f>
        <v>13.900458027269378</v>
      </c>
      <c r="AJ18" s="772">
        <v>0.36</v>
      </c>
      <c r="AK18" s="799">
        <f>AI18/AJ18</f>
        <v>38.612383409081609</v>
      </c>
      <c r="AM18" s="772" t="s">
        <v>1506</v>
      </c>
    </row>
    <row r="19" spans="1:39">
      <c r="A19" s="772" t="s">
        <v>1528</v>
      </c>
      <c r="AD19" s="772" t="s">
        <v>1507</v>
      </c>
      <c r="AE19" s="924"/>
      <c r="AF19" s="923">
        <v>8</v>
      </c>
      <c r="AG19" s="772">
        <f>AH27*AF19/1000</f>
        <v>0.45519999999999999</v>
      </c>
      <c r="AH19" s="799">
        <f>AE19+AG19</f>
        <v>0.45519999999999999</v>
      </c>
      <c r="AI19" s="799">
        <f>AH19*3.6</f>
        <v>1.63872</v>
      </c>
      <c r="AJ19" s="772">
        <v>0.45</v>
      </c>
      <c r="AK19" s="799">
        <f>AI19/AJ19</f>
        <v>3.6415999999999999</v>
      </c>
      <c r="AM19" s="772" t="s">
        <v>1506</v>
      </c>
    </row>
    <row r="20" spans="1:39">
      <c r="A20" s="772" t="s">
        <v>1527</v>
      </c>
      <c r="Z20" s="802"/>
      <c r="AD20" s="772" t="s">
        <v>1507</v>
      </c>
      <c r="AM20" s="772" t="s">
        <v>1506</v>
      </c>
    </row>
    <row r="21" spans="1:39">
      <c r="A21" s="772" t="s">
        <v>1526</v>
      </c>
      <c r="B21" s="776"/>
      <c r="C21" s="776"/>
      <c r="E21" s="776"/>
      <c r="F21" s="776"/>
      <c r="G21" s="776"/>
      <c r="H21" s="776"/>
      <c r="I21" s="776"/>
      <c r="J21" s="776"/>
      <c r="K21" s="776"/>
      <c r="L21" s="776"/>
      <c r="M21" s="776"/>
      <c r="N21" s="776"/>
      <c r="O21" s="776"/>
      <c r="P21" s="776"/>
      <c r="Q21" s="776"/>
      <c r="R21" s="776"/>
      <c r="S21" s="776"/>
      <c r="T21" s="776"/>
      <c r="U21" s="776"/>
      <c r="V21" s="776"/>
      <c r="W21" s="776"/>
      <c r="X21" s="776"/>
      <c r="Y21" s="776"/>
      <c r="Z21" s="776"/>
      <c r="AA21" s="776"/>
      <c r="AB21" s="776"/>
      <c r="AC21" s="776"/>
      <c r="AD21" s="776"/>
      <c r="AE21" s="776"/>
    </row>
    <row r="22" spans="1:39">
      <c r="B22" s="772" t="s">
        <v>1363</v>
      </c>
      <c r="C22" s="772" t="s">
        <v>1502</v>
      </c>
      <c r="D22" s="772" t="s">
        <v>1373</v>
      </c>
      <c r="E22" s="772" t="s">
        <v>1368</v>
      </c>
      <c r="F22" s="772" t="s">
        <v>1371</v>
      </c>
      <c r="G22" s="776" t="s">
        <v>1501</v>
      </c>
      <c r="H22" s="772" t="s">
        <v>1500</v>
      </c>
      <c r="I22" s="772" t="s">
        <v>75</v>
      </c>
      <c r="J22" s="772" t="s">
        <v>1361</v>
      </c>
      <c r="K22" s="772" t="s">
        <v>1499</v>
      </c>
      <c r="L22" s="772" t="s">
        <v>1498</v>
      </c>
      <c r="M22" s="772" t="s">
        <v>1497</v>
      </c>
      <c r="N22" s="772" t="s">
        <v>1496</v>
      </c>
      <c r="O22" s="772" t="s">
        <v>1359</v>
      </c>
      <c r="P22" s="772" t="s">
        <v>1357</v>
      </c>
      <c r="Q22" s="772" t="s">
        <v>1495</v>
      </c>
      <c r="R22" s="772" t="s">
        <v>1494</v>
      </c>
      <c r="S22" s="772" t="s">
        <v>1493</v>
      </c>
      <c r="T22" s="772" t="s">
        <v>1492</v>
      </c>
      <c r="U22" s="772" t="s">
        <v>1491</v>
      </c>
      <c r="V22" s="772" t="s">
        <v>1374</v>
      </c>
      <c r="W22" s="772" t="s">
        <v>1378</v>
      </c>
      <c r="X22" s="772" t="s">
        <v>1490</v>
      </c>
      <c r="Y22" s="772" t="s">
        <v>1489</v>
      </c>
      <c r="Z22" s="772" t="s">
        <v>1360</v>
      </c>
      <c r="AB22" s="797" t="s">
        <v>1507</v>
      </c>
      <c r="AC22" s="797" t="s">
        <v>1525</v>
      </c>
      <c r="AE22" s="776"/>
      <c r="AF22" s="776" t="s">
        <v>1524</v>
      </c>
      <c r="AG22" s="776" t="s">
        <v>1523</v>
      </c>
      <c r="AH22" s="776" t="s">
        <v>1522</v>
      </c>
      <c r="AI22" s="776" t="s">
        <v>1521</v>
      </c>
      <c r="AJ22" s="776" t="s">
        <v>1520</v>
      </c>
      <c r="AK22" s="797" t="s">
        <v>1506</v>
      </c>
    </row>
    <row r="23" spans="1:39">
      <c r="A23" s="772" t="s">
        <v>1519</v>
      </c>
      <c r="B23" s="895">
        <v>3.3480000000000003</v>
      </c>
      <c r="C23" s="894">
        <v>36.130000000000003</v>
      </c>
      <c r="D23" s="893">
        <v>11.216200000000001</v>
      </c>
      <c r="E23" s="892">
        <v>3.6041661349488443</v>
      </c>
      <c r="F23" s="891">
        <v>72.81</v>
      </c>
      <c r="G23" s="891">
        <f>F23-4.6</f>
        <v>68.210000000000008</v>
      </c>
      <c r="H23" s="890">
        <v>42.805928621114028</v>
      </c>
      <c r="I23" s="882">
        <f>(C23)*3.6</f>
        <v>130.06800000000001</v>
      </c>
      <c r="J23" s="889">
        <v>12</v>
      </c>
      <c r="K23" s="888">
        <f>C23</f>
        <v>36.130000000000003</v>
      </c>
      <c r="L23" s="888">
        <f>D23</f>
        <v>11.216200000000001</v>
      </c>
      <c r="M23" s="887">
        <f>F23</f>
        <v>72.81</v>
      </c>
      <c r="N23" s="886">
        <v>0.1</v>
      </c>
      <c r="O23" s="885">
        <v>20.07</v>
      </c>
      <c r="P23" s="884">
        <v>20.425630542914035</v>
      </c>
      <c r="Q23" s="883">
        <v>9.7200000000000006</v>
      </c>
      <c r="R23" s="883">
        <v>21.48</v>
      </c>
      <c r="S23" s="883">
        <v>23.3</v>
      </c>
      <c r="T23" s="883">
        <v>31.4</v>
      </c>
      <c r="U23" s="883">
        <v>33.85</v>
      </c>
      <c r="V23" s="882">
        <v>58.98</v>
      </c>
      <c r="W23" s="881">
        <v>52.29</v>
      </c>
      <c r="X23" s="881">
        <v>0</v>
      </c>
      <c r="Y23" s="886">
        <v>0.36000000000000004</v>
      </c>
      <c r="Z23" s="841">
        <v>6.25</v>
      </c>
      <c r="AB23" s="797" t="s">
        <v>1507</v>
      </c>
      <c r="AC23" s="907">
        <v>16.04043418191721</v>
      </c>
      <c r="AE23" s="776" t="s">
        <v>1503</v>
      </c>
      <c r="AF23" s="776" t="s">
        <v>1518</v>
      </c>
      <c r="AG23" s="776"/>
      <c r="AH23" s="776" t="s">
        <v>380</v>
      </c>
      <c r="AI23" s="776" t="s">
        <v>380</v>
      </c>
      <c r="AJ23" s="776" t="s">
        <v>380</v>
      </c>
      <c r="AK23" s="797" t="s">
        <v>1506</v>
      </c>
    </row>
    <row r="24" spans="1:39">
      <c r="A24" s="772" t="s">
        <v>1517</v>
      </c>
      <c r="B24" s="922"/>
      <c r="C24" s="918"/>
      <c r="D24" s="917"/>
      <c r="E24" s="921"/>
      <c r="F24" s="916"/>
      <c r="G24" s="920"/>
      <c r="H24" s="916"/>
      <c r="I24" s="912"/>
      <c r="J24" s="919"/>
      <c r="K24" s="918"/>
      <c r="L24" s="917"/>
      <c r="M24" s="916"/>
      <c r="N24" s="798"/>
      <c r="O24" s="915"/>
      <c r="P24" s="914"/>
      <c r="Q24" s="913"/>
      <c r="R24" s="913"/>
      <c r="S24" s="913"/>
      <c r="T24" s="913"/>
      <c r="U24" s="913"/>
      <c r="V24" s="912"/>
      <c r="W24" s="911"/>
      <c r="X24" s="911"/>
      <c r="Y24" s="798"/>
      <c r="AB24" s="797"/>
      <c r="AC24" s="907"/>
      <c r="AE24" s="776"/>
      <c r="AF24" s="776"/>
      <c r="AG24" s="776"/>
      <c r="AH24" s="776"/>
      <c r="AI24" s="776"/>
      <c r="AJ24" s="776"/>
      <c r="AK24" s="797"/>
    </row>
    <row r="25" spans="1:39">
      <c r="A25" s="772" t="s">
        <v>1516</v>
      </c>
      <c r="B25" s="910"/>
      <c r="C25" s="909">
        <v>36.130000000000003</v>
      </c>
      <c r="D25" s="872">
        <v>11.216200000000001</v>
      </c>
      <c r="E25" s="877"/>
      <c r="F25" s="874">
        <v>72.81</v>
      </c>
      <c r="G25" s="876">
        <f>F25-4.6</f>
        <v>68.210000000000008</v>
      </c>
      <c r="H25" s="875"/>
      <c r="I25" s="869"/>
      <c r="J25" s="908"/>
      <c r="K25" s="875">
        <f>C25</f>
        <v>36.130000000000003</v>
      </c>
      <c r="L25" s="872">
        <f>D25</f>
        <v>11.216200000000001</v>
      </c>
      <c r="M25" s="874">
        <f>F25</f>
        <v>72.81</v>
      </c>
      <c r="N25" s="873"/>
      <c r="O25" s="872">
        <v>20.07</v>
      </c>
      <c r="P25" s="870">
        <v>34.555989228098468</v>
      </c>
      <c r="Q25" s="871">
        <v>9.7200000000000006</v>
      </c>
      <c r="R25" s="871">
        <v>21.48</v>
      </c>
      <c r="S25" s="871">
        <v>23.3</v>
      </c>
      <c r="T25" s="871"/>
      <c r="U25" s="871">
        <v>33.85</v>
      </c>
      <c r="V25" s="870">
        <v>58.98</v>
      </c>
      <c r="W25" s="869">
        <v>52.29</v>
      </c>
      <c r="X25" s="869"/>
      <c r="Y25" s="868"/>
      <c r="Z25" s="898"/>
      <c r="AB25" s="797"/>
      <c r="AC25" s="907"/>
      <c r="AE25" s="776"/>
      <c r="AF25" s="776"/>
      <c r="AG25" s="776"/>
      <c r="AH25" s="776"/>
      <c r="AI25" s="776"/>
      <c r="AJ25" s="776"/>
      <c r="AK25" s="797"/>
    </row>
    <row r="26" spans="1:39">
      <c r="A26" s="772" t="s">
        <v>1459</v>
      </c>
      <c r="B26" s="902"/>
      <c r="C26" s="905">
        <v>29.019600000000001</v>
      </c>
      <c r="D26" s="835">
        <v>11.423658027269378</v>
      </c>
      <c r="E26" s="845"/>
      <c r="F26" s="842"/>
      <c r="G26" s="844"/>
      <c r="H26" s="843"/>
      <c r="I26" s="839"/>
      <c r="J26" s="897"/>
      <c r="K26" s="843"/>
      <c r="L26" s="835"/>
      <c r="M26" s="842"/>
      <c r="N26" s="838"/>
      <c r="O26" s="835"/>
      <c r="P26" s="840">
        <v>12.032499999999999</v>
      </c>
      <c r="Q26" s="841"/>
      <c r="R26" s="841"/>
      <c r="S26" s="841"/>
      <c r="T26" s="841"/>
      <c r="U26" s="841"/>
      <c r="V26" s="840"/>
      <c r="W26" s="839"/>
      <c r="X26" s="839"/>
      <c r="Y26" s="864"/>
      <c r="Z26" s="898"/>
      <c r="AB26" s="797" t="s">
        <v>1507</v>
      </c>
      <c r="AC26" s="796">
        <v>16.179995521968046</v>
      </c>
      <c r="AE26" s="776" t="s">
        <v>1363</v>
      </c>
      <c r="AF26" s="776" t="s">
        <v>1363</v>
      </c>
      <c r="AG26" s="776">
        <v>1</v>
      </c>
      <c r="AH26" s="776">
        <v>0</v>
      </c>
      <c r="AI26" s="776">
        <v>0</v>
      </c>
      <c r="AJ26" s="776">
        <v>0</v>
      </c>
      <c r="AK26" s="797" t="s">
        <v>1506</v>
      </c>
    </row>
    <row r="27" spans="1:39">
      <c r="A27" s="772" t="s">
        <v>1515</v>
      </c>
      <c r="B27" s="902"/>
      <c r="C27" s="905">
        <f>C26</f>
        <v>29.019600000000001</v>
      </c>
      <c r="D27" s="835">
        <v>11.423658027269378</v>
      </c>
      <c r="E27" s="845"/>
      <c r="F27" s="842"/>
      <c r="G27" s="844"/>
      <c r="H27" s="843"/>
      <c r="I27" s="839"/>
      <c r="J27" s="897"/>
      <c r="K27" s="843"/>
      <c r="L27" s="835"/>
      <c r="M27" s="842"/>
      <c r="N27" s="838"/>
      <c r="O27" s="835"/>
      <c r="P27" s="840"/>
      <c r="Q27" s="841"/>
      <c r="R27" s="841"/>
      <c r="S27" s="841"/>
      <c r="T27" s="841"/>
      <c r="U27" s="841"/>
      <c r="V27" s="840"/>
      <c r="W27" s="839"/>
      <c r="X27" s="839"/>
      <c r="Y27" s="864"/>
      <c r="Z27" s="898"/>
      <c r="AB27" s="797" t="s">
        <v>1507</v>
      </c>
      <c r="AC27" s="796">
        <v>16.319556862018882</v>
      </c>
      <c r="AE27" s="776" t="s">
        <v>1502</v>
      </c>
      <c r="AF27" s="776" t="s">
        <v>1502</v>
      </c>
      <c r="AG27" s="776">
        <v>2</v>
      </c>
      <c r="AH27" s="776">
        <v>56.9</v>
      </c>
      <c r="AI27" s="776">
        <v>0</v>
      </c>
      <c r="AJ27" s="776">
        <v>1E-3</v>
      </c>
      <c r="AK27" s="797" t="s">
        <v>1506</v>
      </c>
    </row>
    <row r="28" spans="1:39">
      <c r="A28" s="772" t="s">
        <v>1514</v>
      </c>
      <c r="B28" s="902"/>
      <c r="C28" s="905">
        <v>37.49</v>
      </c>
      <c r="D28" s="835">
        <v>11.7</v>
      </c>
      <c r="E28" s="845"/>
      <c r="F28" s="842">
        <v>75.86</v>
      </c>
      <c r="G28" s="844">
        <v>68.210000000000008</v>
      </c>
      <c r="H28" s="843"/>
      <c r="I28" s="839"/>
      <c r="J28" s="897">
        <v>12</v>
      </c>
      <c r="K28" s="843">
        <f>C28</f>
        <v>37.49</v>
      </c>
      <c r="L28" s="835">
        <f>D28</f>
        <v>11.7</v>
      </c>
      <c r="M28" s="842">
        <f>F28</f>
        <v>75.86</v>
      </c>
      <c r="N28" s="838"/>
      <c r="O28" s="835"/>
      <c r="P28" s="840">
        <v>12.032499999999999</v>
      </c>
      <c r="Q28" s="841"/>
      <c r="R28" s="841"/>
      <c r="S28" s="841">
        <v>19.059999999999999</v>
      </c>
      <c r="T28" s="841"/>
      <c r="U28" s="841"/>
      <c r="V28" s="840"/>
      <c r="W28" s="839"/>
      <c r="X28" s="839"/>
      <c r="Y28" s="864"/>
      <c r="Z28" s="898"/>
      <c r="AB28" s="797" t="s">
        <v>1507</v>
      </c>
      <c r="AC28" s="796">
        <v>16.459118202069718</v>
      </c>
      <c r="AE28" s="776" t="s">
        <v>1373</v>
      </c>
      <c r="AF28" s="776" t="s">
        <v>1373</v>
      </c>
      <c r="AG28" s="776">
        <v>3</v>
      </c>
      <c r="AH28" s="776">
        <v>95</v>
      </c>
      <c r="AI28" s="776">
        <v>0.71399999999999997</v>
      </c>
      <c r="AJ28" s="776">
        <v>3.0000000000000001E-3</v>
      </c>
      <c r="AK28" s="772">
        <v>86</v>
      </c>
      <c r="AL28" s="797" t="s">
        <v>1506</v>
      </c>
    </row>
    <row r="29" spans="1:39">
      <c r="A29" s="772" t="s">
        <v>1456</v>
      </c>
      <c r="B29" s="902"/>
      <c r="C29" s="905">
        <v>29.26</v>
      </c>
      <c r="D29" s="835">
        <v>11.84069</v>
      </c>
      <c r="E29" s="845"/>
      <c r="F29" s="842">
        <v>62.962609999999998</v>
      </c>
      <c r="G29" s="844">
        <v>68.210000000000008</v>
      </c>
      <c r="H29" s="843"/>
      <c r="I29" s="839"/>
      <c r="J29" s="897"/>
      <c r="K29" s="843"/>
      <c r="L29" s="835"/>
      <c r="M29" s="842"/>
      <c r="N29" s="838"/>
      <c r="O29" s="835"/>
      <c r="P29" s="840">
        <v>11.664000000000001</v>
      </c>
      <c r="Q29" s="841"/>
      <c r="R29" s="841"/>
      <c r="S29" s="841"/>
      <c r="T29" s="841"/>
      <c r="U29" s="841"/>
      <c r="V29" s="840"/>
      <c r="W29" s="839"/>
      <c r="X29" s="839"/>
      <c r="Y29" s="864"/>
      <c r="Z29" s="898"/>
      <c r="AB29" s="797" t="s">
        <v>1507</v>
      </c>
      <c r="AC29" s="796">
        <v>16.542855006100218</v>
      </c>
      <c r="AE29" s="776" t="s">
        <v>1368</v>
      </c>
      <c r="AF29" s="776" t="s">
        <v>1368</v>
      </c>
      <c r="AG29" s="776">
        <v>4</v>
      </c>
      <c r="AH29" s="776">
        <v>101</v>
      </c>
      <c r="AI29" s="776">
        <v>1.4279999999999999</v>
      </c>
      <c r="AJ29" s="776">
        <v>3.0000000000000001E-3</v>
      </c>
      <c r="AK29" s="797" t="s">
        <v>1506</v>
      </c>
    </row>
    <row r="30" spans="1:39">
      <c r="A30" s="906" t="s">
        <v>1903</v>
      </c>
      <c r="B30" s="902"/>
      <c r="C30" s="905">
        <v>26.335761586340393</v>
      </c>
      <c r="D30" s="835"/>
      <c r="E30" s="845"/>
      <c r="F30" s="842">
        <v>81.598801433998602</v>
      </c>
      <c r="G30" s="844">
        <v>68.210000000000008</v>
      </c>
      <c r="H30" s="843">
        <v>42.805928621114028</v>
      </c>
      <c r="I30" s="839">
        <v>68.221948739900469</v>
      </c>
      <c r="J30" s="897"/>
      <c r="K30" s="843"/>
      <c r="L30" s="835"/>
      <c r="M30" s="842"/>
      <c r="N30" s="838">
        <v>0.1</v>
      </c>
      <c r="O30" s="835"/>
      <c r="P30" s="840">
        <v>27.727963200000001</v>
      </c>
      <c r="Q30" s="841"/>
      <c r="R30" s="841">
        <v>22.7</v>
      </c>
      <c r="S30" s="841">
        <v>28.1</v>
      </c>
      <c r="T30" s="841">
        <v>31.4</v>
      </c>
      <c r="U30" s="841">
        <v>47.5</v>
      </c>
      <c r="V30" s="840">
        <v>90.213494568997803</v>
      </c>
      <c r="W30" s="839">
        <f>(C30)*3.6</f>
        <v>94.808741710825416</v>
      </c>
      <c r="X30" s="839">
        <f>C30</f>
        <v>26.335761586340393</v>
      </c>
      <c r="Y30" s="864">
        <v>1</v>
      </c>
      <c r="Z30" s="898"/>
      <c r="AB30" s="797" t="s">
        <v>1507</v>
      </c>
      <c r="AC30" s="796">
        <v>16.626591810130723</v>
      </c>
      <c r="AE30" s="776" t="s">
        <v>1371</v>
      </c>
      <c r="AF30" s="776" t="s">
        <v>1371</v>
      </c>
      <c r="AG30" s="776">
        <v>5</v>
      </c>
      <c r="AH30" s="776">
        <v>78</v>
      </c>
      <c r="AI30" s="776">
        <v>0.44600000000000001</v>
      </c>
      <c r="AJ30" s="776">
        <v>2E-3</v>
      </c>
      <c r="AK30" s="797" t="s">
        <v>1506</v>
      </c>
    </row>
    <row r="31" spans="1:39">
      <c r="A31" s="906" t="s">
        <v>1513</v>
      </c>
      <c r="B31" s="902"/>
      <c r="C31" s="905">
        <v>26.335761586340393</v>
      </c>
      <c r="D31" s="835"/>
      <c r="E31" s="845"/>
      <c r="F31" s="842">
        <v>81.598801433998602</v>
      </c>
      <c r="G31" s="844">
        <v>68.210000000000008</v>
      </c>
      <c r="H31" s="843">
        <v>42.805928621114028</v>
      </c>
      <c r="I31" s="839">
        <v>68.221948739900469</v>
      </c>
      <c r="J31" s="897"/>
      <c r="K31" s="843"/>
      <c r="L31" s="835"/>
      <c r="M31" s="842"/>
      <c r="N31" s="838">
        <v>0.1</v>
      </c>
      <c r="O31" s="835"/>
      <c r="P31" s="840">
        <v>27.727963200000001</v>
      </c>
      <c r="Q31" s="841"/>
      <c r="R31" s="841">
        <v>22.7</v>
      </c>
      <c r="S31" s="841">
        <v>28.1</v>
      </c>
      <c r="T31" s="841">
        <v>31.4</v>
      </c>
      <c r="U31" s="841">
        <v>47.5</v>
      </c>
      <c r="V31" s="840">
        <v>90.213494568997803</v>
      </c>
      <c r="W31" s="839">
        <f>(C31)*3.6</f>
        <v>94.808741710825416</v>
      </c>
      <c r="X31" s="839">
        <f>C31</f>
        <v>26.335761586340393</v>
      </c>
      <c r="Y31" s="864">
        <v>1</v>
      </c>
      <c r="Z31" s="898"/>
      <c r="AB31" s="797" t="s">
        <v>1507</v>
      </c>
      <c r="AC31" s="796">
        <v>16.710328614161224</v>
      </c>
      <c r="AE31" s="776" t="s">
        <v>1369</v>
      </c>
      <c r="AF31" s="776" t="s">
        <v>1369</v>
      </c>
      <c r="AG31" s="776">
        <v>6</v>
      </c>
      <c r="AH31" s="776">
        <v>74</v>
      </c>
      <c r="AI31" s="776">
        <v>2.3E-2</v>
      </c>
      <c r="AJ31" s="776">
        <v>2E-3</v>
      </c>
      <c r="AK31" s="797" t="s">
        <v>1506</v>
      </c>
    </row>
    <row r="32" spans="1:39">
      <c r="A32" s="906" t="s">
        <v>1512</v>
      </c>
      <c r="B32" s="902"/>
      <c r="C32" s="905">
        <v>26.335761586340393</v>
      </c>
      <c r="D32" s="835"/>
      <c r="E32" s="845"/>
      <c r="F32" s="842">
        <v>81.598801433998602</v>
      </c>
      <c r="G32" s="844">
        <v>68.210000000000008</v>
      </c>
      <c r="H32" s="843">
        <v>42.805928621114028</v>
      </c>
      <c r="I32" s="839">
        <v>68.221948739900469</v>
      </c>
      <c r="J32" s="835"/>
      <c r="K32" s="843"/>
      <c r="L32" s="835"/>
      <c r="M32" s="842"/>
      <c r="N32" s="838">
        <v>0.1</v>
      </c>
      <c r="O32" s="835"/>
      <c r="P32" s="840">
        <v>27.727963200000001</v>
      </c>
      <c r="Q32" s="841"/>
      <c r="R32" s="841">
        <v>22.7</v>
      </c>
      <c r="S32" s="841">
        <v>28.1</v>
      </c>
      <c r="T32" s="841">
        <v>31.4</v>
      </c>
      <c r="U32" s="841">
        <v>47.5</v>
      </c>
      <c r="V32" s="840">
        <v>90.213494568997803</v>
      </c>
      <c r="W32" s="839">
        <f>(C32)*3.6</f>
        <v>94.808741710825416</v>
      </c>
      <c r="X32" s="839">
        <f>C32</f>
        <v>26.335761586340393</v>
      </c>
      <c r="Y32" s="864">
        <v>1</v>
      </c>
      <c r="Z32" s="898"/>
      <c r="AB32" s="797" t="s">
        <v>1507</v>
      </c>
      <c r="AC32" s="796">
        <v>16.794065418191728</v>
      </c>
      <c r="AE32" s="776" t="s">
        <v>1362</v>
      </c>
      <c r="AF32" s="776" t="s">
        <v>1362</v>
      </c>
      <c r="AG32" s="776">
        <v>7</v>
      </c>
      <c r="AH32" s="776">
        <v>80</v>
      </c>
      <c r="AI32" s="776">
        <v>1.337</v>
      </c>
      <c r="AJ32" s="776">
        <v>2E-3</v>
      </c>
      <c r="AK32" s="797" t="s">
        <v>1506</v>
      </c>
    </row>
    <row r="33" spans="1:42">
      <c r="A33" s="906" t="s">
        <v>1511</v>
      </c>
      <c r="B33" s="902"/>
      <c r="C33" s="905">
        <v>26.335761586340393</v>
      </c>
      <c r="D33" s="835"/>
      <c r="E33" s="845"/>
      <c r="F33" s="842">
        <v>81.598801433998602</v>
      </c>
      <c r="G33" s="844">
        <v>68.210000000000008</v>
      </c>
      <c r="H33" s="843">
        <v>42.805928621114028</v>
      </c>
      <c r="I33" s="839">
        <v>68.221948739900469</v>
      </c>
      <c r="J33" s="835"/>
      <c r="K33" s="843"/>
      <c r="L33" s="835"/>
      <c r="M33" s="842"/>
      <c r="N33" s="838">
        <v>0.1</v>
      </c>
      <c r="O33" s="835"/>
      <c r="P33" s="840">
        <v>27.727963200000001</v>
      </c>
      <c r="Q33" s="841"/>
      <c r="R33" s="841">
        <v>22.7</v>
      </c>
      <c r="S33" s="841">
        <v>28.1</v>
      </c>
      <c r="T33" s="841">
        <v>31.4</v>
      </c>
      <c r="U33" s="841">
        <v>47.5</v>
      </c>
      <c r="V33" s="840">
        <v>90.213494568997803</v>
      </c>
      <c r="W33" s="839">
        <f>(C33)*3.6</f>
        <v>94.808741710825416</v>
      </c>
      <c r="X33" s="839">
        <f>C33</f>
        <v>26.335761586340393</v>
      </c>
      <c r="Y33" s="864">
        <v>1</v>
      </c>
      <c r="Z33" s="898"/>
      <c r="AB33" s="797" t="s">
        <v>1507</v>
      </c>
      <c r="AC33" s="796">
        <v>16.877802222222229</v>
      </c>
      <c r="AE33" s="776" t="s">
        <v>1360</v>
      </c>
      <c r="AF33" s="776" t="s">
        <v>1360</v>
      </c>
      <c r="AG33" s="776">
        <v>8</v>
      </c>
      <c r="AH33" s="776">
        <v>106</v>
      </c>
      <c r="AI33" s="776">
        <v>1.4279999999999999</v>
      </c>
      <c r="AJ33" s="776">
        <v>3.0000000000000001E-3</v>
      </c>
      <c r="AK33" s="797" t="s">
        <v>1506</v>
      </c>
    </row>
    <row r="34" spans="1:42">
      <c r="A34" s="906" t="s">
        <v>1510</v>
      </c>
      <c r="B34" s="902"/>
      <c r="C34" s="905">
        <v>26.335761586340393</v>
      </c>
      <c r="D34" s="835"/>
      <c r="E34" s="845"/>
      <c r="F34" s="842">
        <v>81.598801433998602</v>
      </c>
      <c r="G34" s="844">
        <v>68.210000000000008</v>
      </c>
      <c r="H34" s="843">
        <v>42.805928621114028</v>
      </c>
      <c r="I34" s="839">
        <v>68.221948739900469</v>
      </c>
      <c r="J34" s="835"/>
      <c r="K34" s="843"/>
      <c r="L34" s="835"/>
      <c r="M34" s="842"/>
      <c r="N34" s="838">
        <v>0.1</v>
      </c>
      <c r="O34" s="835"/>
      <c r="P34" s="840">
        <v>27.727963200000001</v>
      </c>
      <c r="Q34" s="841"/>
      <c r="R34" s="841">
        <v>22.7</v>
      </c>
      <c r="S34" s="841">
        <v>28.1</v>
      </c>
      <c r="T34" s="841">
        <v>31.4</v>
      </c>
      <c r="U34" s="841">
        <v>47.5</v>
      </c>
      <c r="V34" s="840">
        <v>90.213494568997803</v>
      </c>
      <c r="W34" s="839">
        <f>(C34)*3.6</f>
        <v>94.808741710825416</v>
      </c>
      <c r="X34" s="839">
        <f>C34</f>
        <v>26.335761586340393</v>
      </c>
      <c r="Y34" s="864">
        <v>1</v>
      </c>
      <c r="Z34" s="898"/>
      <c r="AB34" s="797" t="s">
        <v>1507</v>
      </c>
      <c r="AC34" s="796">
        <v>17.140758666666674</v>
      </c>
      <c r="AE34" s="904" t="s">
        <v>1361</v>
      </c>
      <c r="AF34" s="904" t="s">
        <v>1361</v>
      </c>
      <c r="AG34" s="904">
        <v>9</v>
      </c>
      <c r="AH34" s="904">
        <v>107</v>
      </c>
      <c r="AI34" s="904">
        <v>0.24</v>
      </c>
      <c r="AJ34" s="904">
        <v>3.0000000000000001E-3</v>
      </c>
      <c r="AK34" s="797" t="s">
        <v>1506</v>
      </c>
    </row>
    <row r="35" spans="1:42">
      <c r="A35" s="903" t="s">
        <v>1449</v>
      </c>
      <c r="B35" s="902"/>
      <c r="C35" s="843"/>
      <c r="D35" s="835"/>
      <c r="E35" s="845"/>
      <c r="F35" s="842"/>
      <c r="G35" s="844"/>
      <c r="H35" s="842"/>
      <c r="I35" s="840"/>
      <c r="J35" s="835">
        <v>15</v>
      </c>
      <c r="K35" s="843"/>
      <c r="L35" s="835"/>
      <c r="M35" s="842"/>
      <c r="N35" s="838"/>
      <c r="O35" s="835"/>
      <c r="P35" s="840">
        <v>12.032499999999999</v>
      </c>
      <c r="Q35" s="841">
        <v>15.05</v>
      </c>
      <c r="R35" s="841">
        <v>21.48</v>
      </c>
      <c r="S35" s="841">
        <v>23.09</v>
      </c>
      <c r="T35" s="841"/>
      <c r="U35" s="841">
        <v>33.200000000000003</v>
      </c>
      <c r="V35" s="840"/>
      <c r="W35" s="839"/>
      <c r="X35" s="839"/>
      <c r="Y35" s="864"/>
      <c r="Z35" s="898"/>
      <c r="AB35" s="797" t="s">
        <v>1507</v>
      </c>
      <c r="AC35" s="796">
        <v>19.535948888888896</v>
      </c>
      <c r="AE35" s="776" t="s">
        <v>1509</v>
      </c>
      <c r="AF35" s="776" t="s">
        <v>1509</v>
      </c>
      <c r="AG35" s="776"/>
      <c r="AH35" s="776"/>
      <c r="AI35" s="776"/>
      <c r="AJ35" s="776"/>
      <c r="AK35" s="797" t="s">
        <v>1506</v>
      </c>
    </row>
    <row r="36" spans="1:42">
      <c r="A36" s="903" t="s">
        <v>1444</v>
      </c>
      <c r="B36" s="902"/>
      <c r="C36" s="843"/>
      <c r="D36" s="835"/>
      <c r="E36" s="845"/>
      <c r="F36" s="842"/>
      <c r="G36" s="844"/>
      <c r="H36" s="842"/>
      <c r="I36" s="840"/>
      <c r="J36" s="835">
        <v>15</v>
      </c>
      <c r="K36" s="843"/>
      <c r="L36" s="835"/>
      <c r="M36" s="842"/>
      <c r="N36" s="838"/>
      <c r="O36" s="835"/>
      <c r="P36" s="840">
        <v>12.032499999999999</v>
      </c>
      <c r="Q36" s="841">
        <v>15.05</v>
      </c>
      <c r="R36" s="841">
        <v>24.48</v>
      </c>
      <c r="S36" s="841">
        <v>23.09</v>
      </c>
      <c r="T36" s="841"/>
      <c r="U36" s="841">
        <v>33.200000000000003</v>
      </c>
      <c r="V36" s="840"/>
      <c r="W36" s="839"/>
      <c r="X36" s="839"/>
      <c r="Y36" s="864"/>
      <c r="Z36" s="898"/>
      <c r="AB36" s="797" t="s">
        <v>1507</v>
      </c>
      <c r="AC36" s="796">
        <v>19.693151111111117</v>
      </c>
      <c r="AE36" s="776" t="s">
        <v>1508</v>
      </c>
      <c r="AF36" s="776" t="s">
        <v>1508</v>
      </c>
      <c r="AG36" s="776">
        <v>18</v>
      </c>
      <c r="AH36" s="776"/>
      <c r="AI36" s="776"/>
      <c r="AJ36" s="776"/>
      <c r="AK36" s="797" t="s">
        <v>1506</v>
      </c>
    </row>
    <row r="37" spans="1:42">
      <c r="A37" s="903" t="s">
        <v>1439</v>
      </c>
      <c r="B37" s="902"/>
      <c r="C37" s="843"/>
      <c r="D37" s="835"/>
      <c r="E37" s="845"/>
      <c r="F37" s="842"/>
      <c r="G37" s="844"/>
      <c r="H37" s="842"/>
      <c r="I37" s="840"/>
      <c r="J37" s="835">
        <v>15</v>
      </c>
      <c r="K37" s="843"/>
      <c r="L37" s="835"/>
      <c r="M37" s="842"/>
      <c r="N37" s="838"/>
      <c r="O37" s="835"/>
      <c r="P37" s="840">
        <v>12.032499999999999</v>
      </c>
      <c r="Q37" s="841">
        <v>13.21</v>
      </c>
      <c r="R37" s="841">
        <v>22.63</v>
      </c>
      <c r="S37" s="841">
        <v>24.93</v>
      </c>
      <c r="T37" s="841"/>
      <c r="U37" s="841">
        <v>33.32</v>
      </c>
      <c r="V37" s="840"/>
      <c r="W37" s="839"/>
      <c r="X37" s="839"/>
      <c r="Y37" s="864"/>
      <c r="Z37" s="898"/>
      <c r="AB37" s="797" t="s">
        <v>1507</v>
      </c>
      <c r="AC37" s="796">
        <v>19.850353333333342</v>
      </c>
      <c r="AK37" s="797" t="s">
        <v>1506</v>
      </c>
    </row>
    <row r="38" spans="1:42">
      <c r="A38" s="901" t="s">
        <v>1434</v>
      </c>
      <c r="B38" s="900"/>
      <c r="C38" s="858"/>
      <c r="D38" s="855"/>
      <c r="E38" s="860"/>
      <c r="F38" s="857"/>
      <c r="G38" s="859"/>
      <c r="H38" s="857"/>
      <c r="I38" s="853"/>
      <c r="J38" s="855">
        <v>15</v>
      </c>
      <c r="K38" s="858"/>
      <c r="L38" s="855"/>
      <c r="M38" s="857"/>
      <c r="N38" s="856"/>
      <c r="O38" s="855"/>
      <c r="P38" s="840">
        <v>12.032499999999999</v>
      </c>
      <c r="Q38" s="854">
        <v>10.11</v>
      </c>
      <c r="R38" s="854">
        <v>19.88</v>
      </c>
      <c r="S38" s="854">
        <v>24.13</v>
      </c>
      <c r="T38" s="854"/>
      <c r="U38" s="854">
        <v>37.909999999999997</v>
      </c>
      <c r="V38" s="853"/>
      <c r="W38" s="899"/>
      <c r="X38" s="852"/>
      <c r="Y38" s="851"/>
      <c r="Z38" s="898"/>
      <c r="AB38" s="797"/>
      <c r="AC38" s="796"/>
      <c r="AE38" s="776"/>
      <c r="AF38" s="776"/>
      <c r="AG38" s="776"/>
      <c r="AH38" s="776"/>
      <c r="AI38" s="776"/>
      <c r="AJ38" s="776"/>
      <c r="AK38" s="797"/>
    </row>
    <row r="39" spans="1:42">
      <c r="A39" s="772" t="s">
        <v>1505</v>
      </c>
      <c r="B39" s="830"/>
      <c r="C39" s="843"/>
      <c r="D39" s="835"/>
      <c r="E39" s="845"/>
      <c r="F39" s="842"/>
      <c r="G39" s="844"/>
      <c r="H39" s="842"/>
      <c r="I39" s="840"/>
      <c r="J39" s="897">
        <v>12</v>
      </c>
      <c r="K39" s="843"/>
      <c r="L39" s="835"/>
      <c r="M39" s="842"/>
      <c r="N39" s="838"/>
      <c r="O39" s="835"/>
      <c r="P39" s="840">
        <v>12.032499999999999</v>
      </c>
      <c r="Q39" s="841"/>
      <c r="R39" s="841"/>
      <c r="S39" s="841">
        <v>19.059999999999999</v>
      </c>
      <c r="T39" s="841"/>
      <c r="U39" s="841"/>
      <c r="V39" s="840"/>
      <c r="X39" s="839"/>
      <c r="Y39" s="864"/>
      <c r="Z39" s="841">
        <v>6.25</v>
      </c>
      <c r="AB39" s="797"/>
      <c r="AC39" s="796"/>
      <c r="AE39" s="776"/>
      <c r="AF39" s="776"/>
      <c r="AG39" s="776"/>
      <c r="AH39" s="776"/>
      <c r="AI39" s="776"/>
      <c r="AJ39" s="776"/>
      <c r="AK39" s="797"/>
    </row>
    <row r="40" spans="1:42">
      <c r="A40" s="772" t="s">
        <v>1504</v>
      </c>
      <c r="B40" s="830"/>
      <c r="C40" s="843"/>
      <c r="D40" s="835"/>
      <c r="E40" s="845"/>
      <c r="F40" s="842"/>
      <c r="G40" s="844"/>
      <c r="H40" s="842"/>
      <c r="I40" s="840"/>
      <c r="J40" s="835"/>
      <c r="K40" s="843"/>
      <c r="L40" s="835"/>
      <c r="M40" s="842"/>
      <c r="N40" s="838"/>
      <c r="O40" s="835"/>
      <c r="P40" s="835"/>
      <c r="Q40" s="841"/>
      <c r="R40" s="841"/>
      <c r="S40" s="841"/>
      <c r="T40" s="841"/>
      <c r="U40" s="841"/>
      <c r="V40" s="840"/>
      <c r="X40" s="839"/>
      <c r="Y40" s="864"/>
      <c r="AB40" s="797"/>
      <c r="AC40" s="796"/>
      <c r="AE40" s="776"/>
      <c r="AF40" s="776"/>
      <c r="AG40" s="776"/>
      <c r="AH40" s="776"/>
      <c r="AI40" s="776"/>
      <c r="AJ40" s="776"/>
      <c r="AK40" s="797"/>
    </row>
    <row r="41" spans="1:42">
      <c r="A41" s="772" t="s">
        <v>1503</v>
      </c>
      <c r="B41" s="772" t="s">
        <v>1363</v>
      </c>
      <c r="C41" s="772" t="s">
        <v>1502</v>
      </c>
      <c r="D41" s="772" t="s">
        <v>1373</v>
      </c>
      <c r="E41" s="772" t="s">
        <v>1368</v>
      </c>
      <c r="F41" s="772" t="s">
        <v>1371</v>
      </c>
      <c r="G41" s="776" t="s">
        <v>1501</v>
      </c>
      <c r="H41" s="772" t="s">
        <v>1500</v>
      </c>
      <c r="I41" s="772" t="s">
        <v>75</v>
      </c>
      <c r="J41" s="772" t="s">
        <v>1361</v>
      </c>
      <c r="K41" s="772" t="s">
        <v>1499</v>
      </c>
      <c r="L41" s="772" t="s">
        <v>1498</v>
      </c>
      <c r="M41" s="772" t="s">
        <v>1497</v>
      </c>
      <c r="N41" s="772" t="s">
        <v>1496</v>
      </c>
      <c r="O41" s="772" t="s">
        <v>1359</v>
      </c>
      <c r="P41" s="772" t="s">
        <v>1357</v>
      </c>
      <c r="Q41" s="772" t="s">
        <v>1495</v>
      </c>
      <c r="R41" s="772" t="s">
        <v>1494</v>
      </c>
      <c r="S41" s="772" t="s">
        <v>1493</v>
      </c>
      <c r="T41" s="772" t="s">
        <v>1492</v>
      </c>
      <c r="U41" s="772" t="s">
        <v>1491</v>
      </c>
      <c r="V41" s="772" t="s">
        <v>1374</v>
      </c>
      <c r="W41" s="772" t="s">
        <v>1378</v>
      </c>
      <c r="X41" s="772" t="s">
        <v>1490</v>
      </c>
      <c r="Y41" s="772" t="s">
        <v>1489</v>
      </c>
      <c r="Z41" s="772" t="s">
        <v>1360</v>
      </c>
      <c r="AB41" s="797"/>
      <c r="AC41" s="796"/>
      <c r="AE41" s="776"/>
      <c r="AF41" s="776"/>
      <c r="AG41" s="776"/>
      <c r="AH41" s="776"/>
      <c r="AI41" s="776"/>
      <c r="AJ41" s="776"/>
      <c r="AK41" s="797"/>
    </row>
    <row r="42" spans="1:42">
      <c r="A42" s="896" t="s">
        <v>1488</v>
      </c>
      <c r="B42" s="895">
        <f>B23</f>
        <v>3.3480000000000003</v>
      </c>
      <c r="C42" s="894">
        <f>AVERAGE(C89:C90,C86)</f>
        <v>27.286942302532264</v>
      </c>
      <c r="D42" s="893">
        <f>AVERAGE(D89:D90,D86)</f>
        <v>9.2947309658697694</v>
      </c>
      <c r="E42" s="892">
        <f>E23</f>
        <v>3.6041661349488443</v>
      </c>
      <c r="F42" s="891">
        <v>59.022315531666607</v>
      </c>
      <c r="G42" s="891">
        <v>45.361633570256558</v>
      </c>
      <c r="H42" s="890">
        <f>(C42/C23)*H23</f>
        <v>32.3288930110892</v>
      </c>
      <c r="I42" s="882">
        <f>(M42/M23)*I23</f>
        <v>105.4376395628734</v>
      </c>
      <c r="J42" s="889">
        <v>13.8</v>
      </c>
      <c r="K42" s="888">
        <f>C42</f>
        <v>27.286942302532264</v>
      </c>
      <c r="L42" s="888">
        <f>D42</f>
        <v>9.2947309658697694</v>
      </c>
      <c r="M42" s="887">
        <f>F42</f>
        <v>59.022315531666607</v>
      </c>
      <c r="N42" s="886">
        <f>N23</f>
        <v>0.1</v>
      </c>
      <c r="O42" s="885">
        <v>20.16</v>
      </c>
      <c r="P42" s="884">
        <f>(Q42/Q23)*P23</f>
        <v>19.566526769006064</v>
      </c>
      <c r="Q42" s="883">
        <f>(R42/R23)*Q23</f>
        <v>9.3111759656652371</v>
      </c>
      <c r="R42" s="883">
        <f>(S42/S23)*R23</f>
        <v>20.576549356223175</v>
      </c>
      <c r="S42" s="883">
        <v>22.32</v>
      </c>
      <c r="T42" s="883">
        <f>(S42/S23)*T23</f>
        <v>30.079313304721026</v>
      </c>
      <c r="U42" s="883">
        <v>30.240000000000002</v>
      </c>
      <c r="V42" s="882">
        <f>(U42/U23)*V23</f>
        <v>52.68996159527326</v>
      </c>
      <c r="W42" s="881">
        <f>(V42/V23)*W23</f>
        <v>46.713429837518461</v>
      </c>
      <c r="X42" s="881">
        <f>(I42/I23)*X23</f>
        <v>0</v>
      </c>
      <c r="Y42" s="880">
        <f>(W42/W23)*Y23</f>
        <v>0.32160709010339739</v>
      </c>
      <c r="Z42" s="849">
        <v>3.2593320000000001</v>
      </c>
      <c r="AB42" s="797"/>
      <c r="AC42" s="796"/>
      <c r="AE42" s="776"/>
      <c r="AF42" s="776"/>
      <c r="AG42" s="776"/>
      <c r="AH42" s="776"/>
      <c r="AI42" s="776"/>
      <c r="AJ42" s="776"/>
      <c r="AK42" s="797"/>
    </row>
    <row r="43" spans="1:42">
      <c r="A43" s="879" t="s">
        <v>1487</v>
      </c>
      <c r="B43" s="878">
        <f t="shared" ref="B43:B57" si="1">B42*(1+H66)</f>
        <v>3.3480000000000003</v>
      </c>
      <c r="C43" s="872">
        <f t="shared" ref="C43:C57" si="2">C42*(1+I66)</f>
        <v>27.286942302532264</v>
      </c>
      <c r="D43" s="877">
        <f t="shared" ref="D43:D57" si="3">D42*(1+J66)</f>
        <v>9.2947309658697694</v>
      </c>
      <c r="E43" s="874">
        <f t="shared" ref="E43:E57" si="4">E42*(1+K66)</f>
        <v>3.6041661349488443</v>
      </c>
      <c r="F43" s="876">
        <f t="shared" ref="F43:F57" si="5">F42*(1+L66)</f>
        <v>59.022315531666607</v>
      </c>
      <c r="G43" s="875">
        <f t="shared" ref="G43:G57" si="6">G42*(1+M66)</f>
        <v>45.361633570256558</v>
      </c>
      <c r="H43" s="869">
        <f t="shared" ref="H43:H57" si="7">H42*(1+N66)</f>
        <v>32.3288930110892</v>
      </c>
      <c r="I43" s="872">
        <f t="shared" ref="I43:I57" si="8">I42*(1+O66)</f>
        <v>105.4376395628734</v>
      </c>
      <c r="J43" s="875">
        <f t="shared" ref="J43:J57" si="9">J42*(1+P66)</f>
        <v>13.8</v>
      </c>
      <c r="K43" s="872">
        <f t="shared" ref="K43:K57" si="10">K42*(1+Q66)</f>
        <v>27.286942302532264</v>
      </c>
      <c r="L43" s="874">
        <f t="shared" ref="L43:L57" si="11">L42*(1+R66)</f>
        <v>9.2947309658697694</v>
      </c>
      <c r="M43" s="873">
        <f t="shared" ref="M43:M57" si="12">M42*(1+S66)</f>
        <v>59.022315531666607</v>
      </c>
      <c r="N43" s="872">
        <f t="shared" ref="N43:N57" si="13">N42*(1+T66)</f>
        <v>0.1</v>
      </c>
      <c r="O43" s="870">
        <f t="shared" ref="O43:O57" si="14">O42*(1+U66)</f>
        <v>20.16</v>
      </c>
      <c r="P43" s="871">
        <f t="shared" ref="P43:P57" si="15">P42*(1+V66)</f>
        <v>19.566526769006064</v>
      </c>
      <c r="Q43" s="871">
        <f t="shared" ref="Q43:Q57" si="16">Q42*(1+W66)</f>
        <v>9.3111759656652371</v>
      </c>
      <c r="R43" s="871">
        <f t="shared" ref="R43:R57" si="17">R42*(1+X66)</f>
        <v>20.576549356223175</v>
      </c>
      <c r="S43" s="871">
        <f t="shared" ref="S43:S57" si="18">S42*(1+Y66)</f>
        <v>22.32</v>
      </c>
      <c r="T43" s="871">
        <f t="shared" ref="T43:T57" si="19">T42*(1+Z66)</f>
        <v>30.079313304721026</v>
      </c>
      <c r="U43" s="870">
        <f t="shared" ref="U43:U57" si="20">U42*(1+AB66)</f>
        <v>30.240000000000002</v>
      </c>
      <c r="V43" s="869">
        <f t="shared" ref="V43:V57" si="21">V42*(1+AC66)</f>
        <v>52.68996159527326</v>
      </c>
      <c r="W43" s="869">
        <f t="shared" ref="W43:W57" si="22">W42*(1+AD66)</f>
        <v>46.713429837518461</v>
      </c>
      <c r="X43" s="868">
        <f t="shared" ref="X43:X57" si="23">X42*(1+AE66)</f>
        <v>0</v>
      </c>
      <c r="Y43" s="867">
        <f t="shared" ref="Y43:Y57" si="24">Y42</f>
        <v>0.32160709010339739</v>
      </c>
      <c r="Z43" s="849">
        <v>5.4213555600000003</v>
      </c>
      <c r="AA43" s="838"/>
      <c r="AB43" s="797"/>
      <c r="AC43" s="797"/>
      <c r="AD43" s="796"/>
      <c r="AF43" s="776"/>
      <c r="AG43" s="776"/>
      <c r="AH43" s="776"/>
      <c r="AI43" s="776"/>
      <c r="AJ43" s="776"/>
      <c r="AK43" s="776"/>
      <c r="AL43" s="797"/>
    </row>
    <row r="44" spans="1:42">
      <c r="A44" s="866" t="s">
        <v>1486</v>
      </c>
      <c r="B44" s="865">
        <f t="shared" si="1"/>
        <v>3.3480000000000003</v>
      </c>
      <c r="C44" s="835">
        <f t="shared" si="2"/>
        <v>27.286942302532264</v>
      </c>
      <c r="D44" s="845">
        <f t="shared" si="3"/>
        <v>9.2947309658697694</v>
      </c>
      <c r="E44" s="842">
        <f t="shared" si="4"/>
        <v>3.6041661349488443</v>
      </c>
      <c r="F44" s="844">
        <f t="shared" si="5"/>
        <v>59.022315531666607</v>
      </c>
      <c r="G44" s="843">
        <f t="shared" si="6"/>
        <v>45.361633570256558</v>
      </c>
      <c r="H44" s="839">
        <f t="shared" si="7"/>
        <v>32.3288930110892</v>
      </c>
      <c r="I44" s="835">
        <f t="shared" si="8"/>
        <v>105.4376395628734</v>
      </c>
      <c r="J44" s="843">
        <f t="shared" si="9"/>
        <v>13.8</v>
      </c>
      <c r="K44" s="835">
        <f t="shared" si="10"/>
        <v>27.286942302532264</v>
      </c>
      <c r="L44" s="842">
        <f t="shared" si="11"/>
        <v>9.2947309658697694</v>
      </c>
      <c r="M44" s="838">
        <f t="shared" si="12"/>
        <v>59.022315531666607</v>
      </c>
      <c r="N44" s="835">
        <f t="shared" si="13"/>
        <v>0.1</v>
      </c>
      <c r="O44" s="840">
        <f t="shared" si="14"/>
        <v>20.16</v>
      </c>
      <c r="P44" s="841">
        <f t="shared" si="15"/>
        <v>19.566526769006064</v>
      </c>
      <c r="Q44" s="841">
        <f t="shared" si="16"/>
        <v>9.3111759656652371</v>
      </c>
      <c r="R44" s="841">
        <f t="shared" si="17"/>
        <v>20.576549356223175</v>
      </c>
      <c r="S44" s="841">
        <f t="shared" si="18"/>
        <v>22.32</v>
      </c>
      <c r="T44" s="841">
        <f t="shared" si="19"/>
        <v>30.079313304721026</v>
      </c>
      <c r="U44" s="840">
        <f t="shared" si="20"/>
        <v>30.240000000000002</v>
      </c>
      <c r="V44" s="839">
        <f t="shared" si="21"/>
        <v>52.68996159527326</v>
      </c>
      <c r="W44" s="839">
        <f t="shared" si="22"/>
        <v>46.713429837518461</v>
      </c>
      <c r="X44" s="864">
        <f t="shared" si="23"/>
        <v>0</v>
      </c>
      <c r="Y44" s="863">
        <f t="shared" si="24"/>
        <v>0.32160709010339739</v>
      </c>
      <c r="Z44" s="849">
        <v>5.5299999600000005</v>
      </c>
      <c r="AA44" s="835"/>
      <c r="AB44" s="797"/>
      <c r="AC44" s="835"/>
      <c r="AD44" s="835"/>
      <c r="AE44" s="838"/>
      <c r="AG44" s="797"/>
      <c r="AH44" s="796"/>
      <c r="AJ44" s="776"/>
      <c r="AK44" s="776"/>
      <c r="AL44" s="776"/>
      <c r="AM44" s="776"/>
      <c r="AN44" s="776"/>
    </row>
    <row r="45" spans="1:42">
      <c r="A45" s="866" t="s">
        <v>1485</v>
      </c>
      <c r="B45" s="865">
        <f t="shared" si="1"/>
        <v>3.3480000000000003</v>
      </c>
      <c r="C45" s="835">
        <f t="shared" si="2"/>
        <v>27.286942302532264</v>
      </c>
      <c r="D45" s="845">
        <f t="shared" si="3"/>
        <v>9.2947309658697694</v>
      </c>
      <c r="E45" s="842">
        <f t="shared" si="4"/>
        <v>3.6041661349488443</v>
      </c>
      <c r="F45" s="844">
        <f t="shared" si="5"/>
        <v>59.022315531666607</v>
      </c>
      <c r="G45" s="843">
        <f t="shared" si="6"/>
        <v>45.361633570256558</v>
      </c>
      <c r="H45" s="839">
        <f t="shared" si="7"/>
        <v>32.3288930110892</v>
      </c>
      <c r="I45" s="835">
        <f t="shared" si="8"/>
        <v>105.4376395628734</v>
      </c>
      <c r="J45" s="843">
        <f t="shared" si="9"/>
        <v>13.8</v>
      </c>
      <c r="K45" s="835">
        <f t="shared" si="10"/>
        <v>27.286942302532264</v>
      </c>
      <c r="L45" s="842">
        <f t="shared" si="11"/>
        <v>9.2947309658697694</v>
      </c>
      <c r="M45" s="838">
        <f t="shared" si="12"/>
        <v>59.022315531666607</v>
      </c>
      <c r="N45" s="835">
        <f t="shared" si="13"/>
        <v>0.1</v>
      </c>
      <c r="O45" s="840">
        <f t="shared" si="14"/>
        <v>20.16</v>
      </c>
      <c r="P45" s="841">
        <f t="shared" si="15"/>
        <v>19.566526769006064</v>
      </c>
      <c r="Q45" s="841">
        <f t="shared" si="16"/>
        <v>9.3111759656652371</v>
      </c>
      <c r="R45" s="841">
        <f t="shared" si="17"/>
        <v>20.576549356223175</v>
      </c>
      <c r="S45" s="841">
        <f t="shared" si="18"/>
        <v>22.32</v>
      </c>
      <c r="T45" s="841">
        <f t="shared" si="19"/>
        <v>30.079313304721026</v>
      </c>
      <c r="U45" s="840">
        <f t="shared" si="20"/>
        <v>30.240000000000002</v>
      </c>
      <c r="V45" s="839">
        <f t="shared" si="21"/>
        <v>52.68996159527326</v>
      </c>
      <c r="W45" s="839">
        <f t="shared" si="22"/>
        <v>46.713429837518461</v>
      </c>
      <c r="X45" s="864">
        <f t="shared" si="23"/>
        <v>0</v>
      </c>
      <c r="Y45" s="863">
        <f t="shared" si="24"/>
        <v>0.32160709010339739</v>
      </c>
      <c r="Z45" s="849">
        <v>5.6386443599999998</v>
      </c>
      <c r="AA45" s="835"/>
      <c r="AB45" s="797"/>
      <c r="AC45" s="835"/>
      <c r="AD45" s="835"/>
      <c r="AE45" s="838"/>
      <c r="AG45" s="797"/>
      <c r="AH45" s="796"/>
      <c r="AJ45" s="776"/>
      <c r="AK45" s="776"/>
      <c r="AL45" s="776"/>
      <c r="AM45" s="776"/>
      <c r="AN45" s="776"/>
      <c r="AO45" s="776"/>
      <c r="AP45" s="797"/>
    </row>
    <row r="46" spans="1:42">
      <c r="A46" s="866" t="s">
        <v>1484</v>
      </c>
      <c r="B46" s="865">
        <f t="shared" si="1"/>
        <v>3.3480000000000003</v>
      </c>
      <c r="C46" s="835">
        <f t="shared" si="2"/>
        <v>27.286942302532264</v>
      </c>
      <c r="D46" s="845">
        <f t="shared" si="3"/>
        <v>9.2947309658697694</v>
      </c>
      <c r="E46" s="842">
        <f t="shared" si="4"/>
        <v>3.6041661349488443</v>
      </c>
      <c r="F46" s="844">
        <f t="shared" si="5"/>
        <v>59.022315531666607</v>
      </c>
      <c r="G46" s="843">
        <f t="shared" si="6"/>
        <v>45.361633570256558</v>
      </c>
      <c r="H46" s="839">
        <f t="shared" si="7"/>
        <v>32.3288930110892</v>
      </c>
      <c r="I46" s="835">
        <f t="shared" si="8"/>
        <v>105.4376395628734</v>
      </c>
      <c r="J46" s="843">
        <f t="shared" si="9"/>
        <v>13.8</v>
      </c>
      <c r="K46" s="835">
        <f t="shared" si="10"/>
        <v>27.286942302532264</v>
      </c>
      <c r="L46" s="842">
        <f t="shared" si="11"/>
        <v>9.2947309658697694</v>
      </c>
      <c r="M46" s="838">
        <f t="shared" si="12"/>
        <v>59.022315531666607</v>
      </c>
      <c r="N46" s="835">
        <f t="shared" si="13"/>
        <v>0.1</v>
      </c>
      <c r="O46" s="840">
        <f t="shared" si="14"/>
        <v>20.16</v>
      </c>
      <c r="P46" s="841">
        <f t="shared" si="15"/>
        <v>19.566526769006064</v>
      </c>
      <c r="Q46" s="841">
        <f t="shared" si="16"/>
        <v>9.3111759656652371</v>
      </c>
      <c r="R46" s="841">
        <f t="shared" si="17"/>
        <v>20.576549356223175</v>
      </c>
      <c r="S46" s="841">
        <f t="shared" si="18"/>
        <v>22.32</v>
      </c>
      <c r="T46" s="841">
        <f t="shared" si="19"/>
        <v>30.079313304721026</v>
      </c>
      <c r="U46" s="840">
        <f t="shared" si="20"/>
        <v>30.240000000000002</v>
      </c>
      <c r="V46" s="839">
        <f t="shared" si="21"/>
        <v>52.68996159527326</v>
      </c>
      <c r="W46" s="839">
        <f t="shared" si="22"/>
        <v>46.713429837518461</v>
      </c>
      <c r="X46" s="864">
        <f t="shared" si="23"/>
        <v>0</v>
      </c>
      <c r="Y46" s="863">
        <f t="shared" si="24"/>
        <v>0.32160709010339739</v>
      </c>
      <c r="Z46" s="849">
        <v>5.7527209799999994</v>
      </c>
      <c r="AA46" s="835"/>
      <c r="AB46" s="797"/>
      <c r="AC46" s="835"/>
      <c r="AD46" s="835"/>
      <c r="AE46" s="838"/>
      <c r="AG46" s="797"/>
      <c r="AH46" s="796"/>
      <c r="AJ46" s="776"/>
      <c r="AK46" s="776"/>
      <c r="AL46" s="776"/>
      <c r="AM46" s="776"/>
      <c r="AN46" s="776"/>
      <c r="AO46" s="776"/>
      <c r="AP46" s="797"/>
    </row>
    <row r="47" spans="1:42">
      <c r="A47" s="866" t="s">
        <v>1483</v>
      </c>
      <c r="B47" s="865">
        <f t="shared" si="1"/>
        <v>3.3480000000000003</v>
      </c>
      <c r="C47" s="835">
        <f t="shared" si="2"/>
        <v>27.286942302532264</v>
      </c>
      <c r="D47" s="845">
        <f t="shared" si="3"/>
        <v>9.2947309658697694</v>
      </c>
      <c r="E47" s="842">
        <f t="shared" si="4"/>
        <v>3.6041661349488443</v>
      </c>
      <c r="F47" s="844">
        <f t="shared" si="5"/>
        <v>59.022315531666607</v>
      </c>
      <c r="G47" s="843">
        <f t="shared" si="6"/>
        <v>45.361633570256558</v>
      </c>
      <c r="H47" s="839">
        <f t="shared" si="7"/>
        <v>32.3288930110892</v>
      </c>
      <c r="I47" s="835">
        <f t="shared" si="8"/>
        <v>105.4376395628734</v>
      </c>
      <c r="J47" s="843">
        <f t="shared" si="9"/>
        <v>13.8</v>
      </c>
      <c r="K47" s="835">
        <f t="shared" si="10"/>
        <v>27.286942302532264</v>
      </c>
      <c r="L47" s="842">
        <f t="shared" si="11"/>
        <v>9.2947309658697694</v>
      </c>
      <c r="M47" s="838">
        <f t="shared" si="12"/>
        <v>59.022315531666607</v>
      </c>
      <c r="N47" s="835">
        <f t="shared" si="13"/>
        <v>0.1</v>
      </c>
      <c r="O47" s="840">
        <f t="shared" si="14"/>
        <v>20.16</v>
      </c>
      <c r="P47" s="841">
        <f t="shared" si="15"/>
        <v>19.566526769006064</v>
      </c>
      <c r="Q47" s="841">
        <f t="shared" si="16"/>
        <v>9.3111759656652371</v>
      </c>
      <c r="R47" s="841">
        <f t="shared" si="17"/>
        <v>20.576549356223175</v>
      </c>
      <c r="S47" s="841">
        <f t="shared" si="18"/>
        <v>22.32</v>
      </c>
      <c r="T47" s="841">
        <f t="shared" si="19"/>
        <v>30.079313304721026</v>
      </c>
      <c r="U47" s="840">
        <f t="shared" si="20"/>
        <v>30.240000000000002</v>
      </c>
      <c r="V47" s="839">
        <f t="shared" si="21"/>
        <v>52.68996159527326</v>
      </c>
      <c r="W47" s="839">
        <f t="shared" si="22"/>
        <v>46.713429837518461</v>
      </c>
      <c r="X47" s="864">
        <f t="shared" si="23"/>
        <v>0</v>
      </c>
      <c r="Y47" s="863">
        <f t="shared" si="24"/>
        <v>0.32160709010339739</v>
      </c>
      <c r="Z47" s="849">
        <v>5.8667975999999999</v>
      </c>
      <c r="AA47" s="835"/>
      <c r="AB47" s="797"/>
      <c r="AC47" s="835"/>
      <c r="AD47" s="835"/>
      <c r="AE47" s="838"/>
      <c r="AG47" s="797"/>
      <c r="AH47" s="796"/>
      <c r="AJ47" s="776"/>
      <c r="AK47" s="776"/>
      <c r="AL47" s="776"/>
      <c r="AM47" s="776"/>
      <c r="AN47" s="776"/>
      <c r="AO47" s="776"/>
      <c r="AP47" s="797"/>
    </row>
    <row r="48" spans="1:42">
      <c r="A48" s="866" t="s">
        <v>1482</v>
      </c>
      <c r="B48" s="865">
        <f t="shared" si="1"/>
        <v>3.3480000000000003</v>
      </c>
      <c r="C48" s="835">
        <f t="shared" si="2"/>
        <v>27.286942302532264</v>
      </c>
      <c r="D48" s="845">
        <f t="shared" si="3"/>
        <v>9.2947309658697694</v>
      </c>
      <c r="E48" s="842">
        <f t="shared" si="4"/>
        <v>3.6041661349488443</v>
      </c>
      <c r="F48" s="844">
        <f t="shared" si="5"/>
        <v>59.022315531666607</v>
      </c>
      <c r="G48" s="843">
        <f t="shared" si="6"/>
        <v>45.361633570256558</v>
      </c>
      <c r="H48" s="839">
        <f t="shared" si="7"/>
        <v>32.3288930110892</v>
      </c>
      <c r="I48" s="835">
        <f t="shared" si="8"/>
        <v>105.4376395628734</v>
      </c>
      <c r="J48" s="843">
        <f t="shared" si="9"/>
        <v>13.8</v>
      </c>
      <c r="K48" s="835">
        <f t="shared" si="10"/>
        <v>27.286942302532264</v>
      </c>
      <c r="L48" s="842">
        <f t="shared" si="11"/>
        <v>9.2947309658697694</v>
      </c>
      <c r="M48" s="838">
        <f t="shared" si="12"/>
        <v>59.022315531666607</v>
      </c>
      <c r="N48" s="835">
        <f t="shared" si="13"/>
        <v>0.1</v>
      </c>
      <c r="O48" s="840">
        <f t="shared" si="14"/>
        <v>20.16</v>
      </c>
      <c r="P48" s="841">
        <f t="shared" si="15"/>
        <v>19.566526769006064</v>
      </c>
      <c r="Q48" s="841">
        <f t="shared" si="16"/>
        <v>9.3111759656652371</v>
      </c>
      <c r="R48" s="841">
        <f t="shared" si="17"/>
        <v>20.576549356223175</v>
      </c>
      <c r="S48" s="841">
        <f t="shared" si="18"/>
        <v>22.32</v>
      </c>
      <c r="T48" s="841">
        <f t="shared" si="19"/>
        <v>30.079313304721026</v>
      </c>
      <c r="U48" s="840">
        <f t="shared" si="20"/>
        <v>30.240000000000002</v>
      </c>
      <c r="V48" s="839">
        <f t="shared" si="21"/>
        <v>52.68996159527326</v>
      </c>
      <c r="W48" s="839">
        <f t="shared" si="22"/>
        <v>46.713429837518461</v>
      </c>
      <c r="X48" s="864">
        <f t="shared" si="23"/>
        <v>0</v>
      </c>
      <c r="Y48" s="863">
        <f t="shared" si="24"/>
        <v>0.32160709010339739</v>
      </c>
      <c r="Z48" s="849">
        <v>5.9863064400000008</v>
      </c>
      <c r="AA48" s="835"/>
      <c r="AB48" s="797"/>
      <c r="AC48" s="835"/>
      <c r="AD48" s="835"/>
      <c r="AE48" s="838"/>
      <c r="AG48" s="797"/>
      <c r="AH48" s="796"/>
      <c r="AJ48" s="776"/>
      <c r="AK48" s="776"/>
      <c r="AL48" s="776"/>
      <c r="AM48" s="776"/>
      <c r="AN48" s="776"/>
      <c r="AO48" s="776"/>
      <c r="AP48" s="797"/>
    </row>
    <row r="49" spans="1:47">
      <c r="A49" s="866" t="s">
        <v>1481</v>
      </c>
      <c r="B49" s="865">
        <f t="shared" si="1"/>
        <v>3.3480000000000003</v>
      </c>
      <c r="C49" s="835">
        <f t="shared" si="2"/>
        <v>27.286942302532264</v>
      </c>
      <c r="D49" s="845">
        <f t="shared" si="3"/>
        <v>9.2947309658697694</v>
      </c>
      <c r="E49" s="842">
        <f t="shared" si="4"/>
        <v>3.6041661349488443</v>
      </c>
      <c r="F49" s="844">
        <f t="shared" si="5"/>
        <v>59.022315531666607</v>
      </c>
      <c r="G49" s="843">
        <f t="shared" si="6"/>
        <v>45.361633570256558</v>
      </c>
      <c r="H49" s="839">
        <f t="shared" si="7"/>
        <v>32.3288930110892</v>
      </c>
      <c r="I49" s="835">
        <f t="shared" si="8"/>
        <v>105.4376395628734</v>
      </c>
      <c r="J49" s="843">
        <f t="shared" si="9"/>
        <v>13.8</v>
      </c>
      <c r="K49" s="835">
        <f t="shared" si="10"/>
        <v>27.286942302532264</v>
      </c>
      <c r="L49" s="842">
        <f t="shared" si="11"/>
        <v>9.2947309658697694</v>
      </c>
      <c r="M49" s="838">
        <f t="shared" si="12"/>
        <v>59.022315531666607</v>
      </c>
      <c r="N49" s="835">
        <f t="shared" si="13"/>
        <v>0.1</v>
      </c>
      <c r="O49" s="840">
        <f t="shared" si="14"/>
        <v>20.16</v>
      </c>
      <c r="P49" s="841">
        <f t="shared" si="15"/>
        <v>19.566526769006064</v>
      </c>
      <c r="Q49" s="841">
        <f t="shared" si="16"/>
        <v>9.3111759656652371</v>
      </c>
      <c r="R49" s="841">
        <f t="shared" si="17"/>
        <v>20.576549356223175</v>
      </c>
      <c r="S49" s="841">
        <f t="shared" si="18"/>
        <v>22.32</v>
      </c>
      <c r="T49" s="841">
        <f t="shared" si="19"/>
        <v>30.079313304721026</v>
      </c>
      <c r="U49" s="840">
        <f t="shared" si="20"/>
        <v>30.240000000000002</v>
      </c>
      <c r="V49" s="839">
        <f t="shared" si="21"/>
        <v>52.68996159527326</v>
      </c>
      <c r="W49" s="839">
        <f t="shared" si="22"/>
        <v>46.713429837518461</v>
      </c>
      <c r="X49" s="864">
        <f t="shared" si="23"/>
        <v>0</v>
      </c>
      <c r="Y49" s="863">
        <f t="shared" si="24"/>
        <v>0.32160709010339739</v>
      </c>
      <c r="Z49" s="849">
        <v>6.1058152800000007</v>
      </c>
      <c r="AA49" s="835"/>
      <c r="AB49" s="797"/>
      <c r="AC49" s="835"/>
      <c r="AD49" s="835"/>
      <c r="AE49" s="838"/>
      <c r="AG49" s="797"/>
      <c r="AH49" s="796"/>
      <c r="AJ49" s="776"/>
      <c r="AK49" s="776"/>
      <c r="AL49" s="776"/>
      <c r="AM49" s="776"/>
      <c r="AN49" s="776"/>
      <c r="AO49" s="776"/>
      <c r="AP49" s="797"/>
    </row>
    <row r="50" spans="1:47">
      <c r="A50" s="866" t="s">
        <v>1480</v>
      </c>
      <c r="B50" s="865">
        <f t="shared" si="1"/>
        <v>3.3480000000000003</v>
      </c>
      <c r="C50" s="835">
        <f t="shared" si="2"/>
        <v>27.286942302532264</v>
      </c>
      <c r="D50" s="845">
        <f t="shared" si="3"/>
        <v>9.2947309658697694</v>
      </c>
      <c r="E50" s="842">
        <f t="shared" si="4"/>
        <v>3.6041661349488443</v>
      </c>
      <c r="F50" s="844">
        <f t="shared" si="5"/>
        <v>59.022315531666607</v>
      </c>
      <c r="G50" s="843">
        <f t="shared" si="6"/>
        <v>45.361633570256558</v>
      </c>
      <c r="H50" s="839">
        <f t="shared" si="7"/>
        <v>32.3288930110892</v>
      </c>
      <c r="I50" s="835">
        <f t="shared" si="8"/>
        <v>105.4376395628734</v>
      </c>
      <c r="J50" s="843">
        <f t="shared" si="9"/>
        <v>13.8</v>
      </c>
      <c r="K50" s="835">
        <f t="shared" si="10"/>
        <v>27.286942302532264</v>
      </c>
      <c r="L50" s="842">
        <f t="shared" si="11"/>
        <v>9.2947309658697694</v>
      </c>
      <c r="M50" s="838">
        <f t="shared" si="12"/>
        <v>59.022315531666607</v>
      </c>
      <c r="N50" s="835">
        <f t="shared" si="13"/>
        <v>0.1</v>
      </c>
      <c r="O50" s="840">
        <f t="shared" si="14"/>
        <v>20.16</v>
      </c>
      <c r="P50" s="841">
        <f t="shared" si="15"/>
        <v>19.566526769006064</v>
      </c>
      <c r="Q50" s="841">
        <f t="shared" si="16"/>
        <v>9.3111759656652371</v>
      </c>
      <c r="R50" s="841">
        <f t="shared" si="17"/>
        <v>20.576549356223175</v>
      </c>
      <c r="S50" s="841">
        <f t="shared" si="18"/>
        <v>22.32</v>
      </c>
      <c r="T50" s="841">
        <f t="shared" si="19"/>
        <v>30.079313304721026</v>
      </c>
      <c r="U50" s="840">
        <f t="shared" si="20"/>
        <v>30.240000000000002</v>
      </c>
      <c r="V50" s="839">
        <f t="shared" si="21"/>
        <v>52.68996159527326</v>
      </c>
      <c r="W50" s="839">
        <f t="shared" si="22"/>
        <v>46.713429837518461</v>
      </c>
      <c r="X50" s="864">
        <f t="shared" si="23"/>
        <v>0</v>
      </c>
      <c r="Y50" s="863">
        <f t="shared" si="24"/>
        <v>0.32160709010339739</v>
      </c>
      <c r="Z50" s="849">
        <v>6.2253241199999998</v>
      </c>
      <c r="AA50" s="835"/>
      <c r="AB50" s="797"/>
      <c r="AC50" s="835"/>
      <c r="AD50" s="835"/>
      <c r="AE50" s="838"/>
      <c r="AG50" s="797"/>
      <c r="AH50" s="796"/>
      <c r="AJ50" s="776"/>
      <c r="AK50" s="776"/>
      <c r="AL50" s="776"/>
      <c r="AM50" s="776"/>
      <c r="AN50" s="776"/>
      <c r="AO50" s="776"/>
      <c r="AP50" s="797"/>
    </row>
    <row r="51" spans="1:47">
      <c r="A51" s="866" t="s">
        <v>1479</v>
      </c>
      <c r="B51" s="865">
        <f t="shared" si="1"/>
        <v>3.3480000000000003</v>
      </c>
      <c r="C51" s="835">
        <f t="shared" si="2"/>
        <v>27.286942302532264</v>
      </c>
      <c r="D51" s="845">
        <f t="shared" si="3"/>
        <v>9.2947309658697694</v>
      </c>
      <c r="E51" s="842">
        <f t="shared" si="4"/>
        <v>3.6041661349488443</v>
      </c>
      <c r="F51" s="844">
        <f t="shared" si="5"/>
        <v>59.022315531666607</v>
      </c>
      <c r="G51" s="843">
        <f t="shared" si="6"/>
        <v>45.361633570256558</v>
      </c>
      <c r="H51" s="839">
        <f t="shared" si="7"/>
        <v>32.3288930110892</v>
      </c>
      <c r="I51" s="835">
        <f t="shared" si="8"/>
        <v>105.4376395628734</v>
      </c>
      <c r="J51" s="843">
        <f t="shared" si="9"/>
        <v>13.8</v>
      </c>
      <c r="K51" s="835">
        <f t="shared" si="10"/>
        <v>27.286942302532264</v>
      </c>
      <c r="L51" s="842">
        <f t="shared" si="11"/>
        <v>9.2947309658697694</v>
      </c>
      <c r="M51" s="838">
        <f t="shared" si="12"/>
        <v>59.022315531666607</v>
      </c>
      <c r="N51" s="835">
        <f t="shared" si="13"/>
        <v>0.1</v>
      </c>
      <c r="O51" s="840">
        <f t="shared" si="14"/>
        <v>20.16</v>
      </c>
      <c r="P51" s="841">
        <f t="shared" si="15"/>
        <v>19.566526769006064</v>
      </c>
      <c r="Q51" s="841">
        <f t="shared" si="16"/>
        <v>9.3111759656652371</v>
      </c>
      <c r="R51" s="841">
        <f t="shared" si="17"/>
        <v>20.576549356223175</v>
      </c>
      <c r="S51" s="841">
        <f t="shared" si="18"/>
        <v>22.32</v>
      </c>
      <c r="T51" s="841">
        <f t="shared" si="19"/>
        <v>30.079313304721026</v>
      </c>
      <c r="U51" s="840">
        <f t="shared" si="20"/>
        <v>30.240000000000002</v>
      </c>
      <c r="V51" s="839">
        <f t="shared" si="21"/>
        <v>52.68996159527326</v>
      </c>
      <c r="W51" s="839">
        <f t="shared" si="22"/>
        <v>46.713429837518461</v>
      </c>
      <c r="X51" s="864">
        <f t="shared" si="23"/>
        <v>0</v>
      </c>
      <c r="Y51" s="863">
        <f t="shared" si="24"/>
        <v>0.32160709010339739</v>
      </c>
      <c r="Z51" s="849">
        <v>6.3502651800000001</v>
      </c>
      <c r="AA51" s="835"/>
      <c r="AB51" s="797"/>
      <c r="AC51" s="835"/>
      <c r="AD51" s="835"/>
      <c r="AE51" s="838"/>
      <c r="AG51" s="797"/>
      <c r="AH51" s="796"/>
      <c r="AJ51" s="776"/>
      <c r="AK51" s="776"/>
      <c r="AL51" s="776"/>
      <c r="AM51" s="776"/>
      <c r="AN51" s="776"/>
      <c r="AO51" s="776"/>
      <c r="AP51" s="797"/>
    </row>
    <row r="52" spans="1:47">
      <c r="A52" s="866" t="s">
        <v>1478</v>
      </c>
      <c r="B52" s="865">
        <f t="shared" si="1"/>
        <v>3.3480000000000003</v>
      </c>
      <c r="C52" s="835">
        <f t="shared" si="2"/>
        <v>27.286942302532264</v>
      </c>
      <c r="D52" s="845">
        <f t="shared" si="3"/>
        <v>9.2947309658697694</v>
      </c>
      <c r="E52" s="842">
        <f t="shared" si="4"/>
        <v>3.6041661349488443</v>
      </c>
      <c r="F52" s="844">
        <f t="shared" si="5"/>
        <v>59.022315531666607</v>
      </c>
      <c r="G52" s="843">
        <f t="shared" si="6"/>
        <v>45.361633570256558</v>
      </c>
      <c r="H52" s="839">
        <f t="shared" si="7"/>
        <v>32.3288930110892</v>
      </c>
      <c r="I52" s="835">
        <f t="shared" si="8"/>
        <v>105.4376395628734</v>
      </c>
      <c r="J52" s="843">
        <f t="shared" si="9"/>
        <v>13.8</v>
      </c>
      <c r="K52" s="835">
        <f t="shared" si="10"/>
        <v>27.286942302532264</v>
      </c>
      <c r="L52" s="842">
        <f t="shared" si="11"/>
        <v>9.2947309658697694</v>
      </c>
      <c r="M52" s="838">
        <f t="shared" si="12"/>
        <v>59.022315531666607</v>
      </c>
      <c r="N52" s="835">
        <f t="shared" si="13"/>
        <v>0.1</v>
      </c>
      <c r="O52" s="840">
        <f t="shared" si="14"/>
        <v>20.16</v>
      </c>
      <c r="P52" s="841">
        <f t="shared" si="15"/>
        <v>19.566526769006064</v>
      </c>
      <c r="Q52" s="841">
        <f t="shared" si="16"/>
        <v>9.3111759656652371</v>
      </c>
      <c r="R52" s="841">
        <f t="shared" si="17"/>
        <v>20.576549356223175</v>
      </c>
      <c r="S52" s="841">
        <f t="shared" si="18"/>
        <v>22.32</v>
      </c>
      <c r="T52" s="841">
        <f t="shared" si="19"/>
        <v>30.079313304721026</v>
      </c>
      <c r="U52" s="840">
        <f t="shared" si="20"/>
        <v>30.240000000000002</v>
      </c>
      <c r="V52" s="839">
        <f t="shared" si="21"/>
        <v>52.68996159527326</v>
      </c>
      <c r="W52" s="839">
        <f t="shared" si="22"/>
        <v>46.713429837518461</v>
      </c>
      <c r="X52" s="864">
        <f t="shared" si="23"/>
        <v>0</v>
      </c>
      <c r="Y52" s="863">
        <f t="shared" si="24"/>
        <v>0.32160709010339739</v>
      </c>
      <c r="Z52" s="849">
        <v>6.4806384599999998</v>
      </c>
      <c r="AA52" s="835"/>
      <c r="AB52" s="797"/>
      <c r="AC52" s="835"/>
      <c r="AD52" s="835"/>
      <c r="AE52" s="838"/>
      <c r="AG52" s="797"/>
      <c r="AH52" s="796"/>
      <c r="AJ52" s="776"/>
      <c r="AK52" s="776"/>
      <c r="AL52" s="776"/>
      <c r="AM52" s="776"/>
      <c r="AN52" s="776"/>
      <c r="AO52" s="776"/>
      <c r="AP52" s="797"/>
    </row>
    <row r="53" spans="1:47">
      <c r="A53" s="866" t="s">
        <v>1477</v>
      </c>
      <c r="B53" s="865">
        <f t="shared" si="1"/>
        <v>3.3480000000000003</v>
      </c>
      <c r="C53" s="835">
        <f t="shared" si="2"/>
        <v>27.286942302532264</v>
      </c>
      <c r="D53" s="845">
        <f t="shared" si="3"/>
        <v>9.2947309658697694</v>
      </c>
      <c r="E53" s="842">
        <f t="shared" si="4"/>
        <v>3.6041661349488443</v>
      </c>
      <c r="F53" s="844">
        <f t="shared" si="5"/>
        <v>59.022315531666607</v>
      </c>
      <c r="G53" s="843">
        <f t="shared" si="6"/>
        <v>45.361633570256558</v>
      </c>
      <c r="H53" s="839">
        <f t="shared" si="7"/>
        <v>32.3288930110892</v>
      </c>
      <c r="I53" s="835">
        <f t="shared" si="8"/>
        <v>105.4376395628734</v>
      </c>
      <c r="J53" s="843">
        <f t="shared" si="9"/>
        <v>13.8</v>
      </c>
      <c r="K53" s="835">
        <f t="shared" si="10"/>
        <v>27.286942302532264</v>
      </c>
      <c r="L53" s="842">
        <f t="shared" si="11"/>
        <v>9.2947309658697694</v>
      </c>
      <c r="M53" s="838">
        <f t="shared" si="12"/>
        <v>59.022315531666607</v>
      </c>
      <c r="N53" s="835">
        <f t="shared" si="13"/>
        <v>0.1</v>
      </c>
      <c r="O53" s="840">
        <f t="shared" si="14"/>
        <v>20.16</v>
      </c>
      <c r="P53" s="841">
        <f t="shared" si="15"/>
        <v>19.566526769006064</v>
      </c>
      <c r="Q53" s="841">
        <f t="shared" si="16"/>
        <v>9.3111759656652371</v>
      </c>
      <c r="R53" s="841">
        <f t="shared" si="17"/>
        <v>20.576549356223175</v>
      </c>
      <c r="S53" s="841">
        <f t="shared" si="18"/>
        <v>22.32</v>
      </c>
      <c r="T53" s="841">
        <f t="shared" si="19"/>
        <v>30.079313304721026</v>
      </c>
      <c r="U53" s="840">
        <f t="shared" si="20"/>
        <v>30.240000000000002</v>
      </c>
      <c r="V53" s="839">
        <f t="shared" si="21"/>
        <v>52.68996159527326</v>
      </c>
      <c r="W53" s="839">
        <f t="shared" si="22"/>
        <v>46.713429837518461</v>
      </c>
      <c r="X53" s="864">
        <f t="shared" si="23"/>
        <v>0</v>
      </c>
      <c r="Y53" s="863">
        <f t="shared" si="24"/>
        <v>0.32160709010339739</v>
      </c>
      <c r="Z53" s="849">
        <v>6.60557952</v>
      </c>
      <c r="AA53" s="835"/>
      <c r="AB53" s="797"/>
      <c r="AC53" s="835"/>
      <c r="AD53" s="835"/>
      <c r="AE53" s="838"/>
      <c r="AG53" s="797"/>
      <c r="AH53" s="796"/>
      <c r="AJ53" s="776"/>
      <c r="AK53" s="776"/>
      <c r="AL53" s="776"/>
      <c r="AM53" s="776"/>
      <c r="AN53" s="776"/>
      <c r="AO53" s="776"/>
      <c r="AP53" s="797"/>
    </row>
    <row r="54" spans="1:47">
      <c r="A54" s="866" t="s">
        <v>1476</v>
      </c>
      <c r="B54" s="865">
        <f t="shared" si="1"/>
        <v>3.3480000000000003</v>
      </c>
      <c r="C54" s="835">
        <f t="shared" si="2"/>
        <v>27.286942302532264</v>
      </c>
      <c r="D54" s="845">
        <f t="shared" si="3"/>
        <v>9.2947309658697694</v>
      </c>
      <c r="E54" s="842">
        <f t="shared" si="4"/>
        <v>3.6041661349488443</v>
      </c>
      <c r="F54" s="844">
        <f t="shared" si="5"/>
        <v>59.022315531666607</v>
      </c>
      <c r="G54" s="843">
        <f t="shared" si="6"/>
        <v>45.361633570256558</v>
      </c>
      <c r="H54" s="839">
        <f t="shared" si="7"/>
        <v>32.3288930110892</v>
      </c>
      <c r="I54" s="835">
        <f t="shared" si="8"/>
        <v>105.4376395628734</v>
      </c>
      <c r="J54" s="843">
        <f t="shared" si="9"/>
        <v>13.8</v>
      </c>
      <c r="K54" s="835">
        <f t="shared" si="10"/>
        <v>27.286942302532264</v>
      </c>
      <c r="L54" s="842">
        <f t="shared" si="11"/>
        <v>9.2947309658697694</v>
      </c>
      <c r="M54" s="838">
        <f t="shared" si="12"/>
        <v>59.022315531666607</v>
      </c>
      <c r="N54" s="835">
        <f t="shared" si="13"/>
        <v>0.1</v>
      </c>
      <c r="O54" s="840">
        <f t="shared" si="14"/>
        <v>20.16</v>
      </c>
      <c r="P54" s="841">
        <f t="shared" si="15"/>
        <v>19.566526769006064</v>
      </c>
      <c r="Q54" s="841">
        <f t="shared" si="16"/>
        <v>9.3111759656652371</v>
      </c>
      <c r="R54" s="841">
        <f t="shared" si="17"/>
        <v>20.576549356223175</v>
      </c>
      <c r="S54" s="841">
        <f t="shared" si="18"/>
        <v>22.32</v>
      </c>
      <c r="T54" s="841">
        <f t="shared" si="19"/>
        <v>30.079313304721026</v>
      </c>
      <c r="U54" s="840">
        <f t="shared" si="20"/>
        <v>30.240000000000002</v>
      </c>
      <c r="V54" s="839">
        <f t="shared" si="21"/>
        <v>52.68996159527326</v>
      </c>
      <c r="W54" s="839">
        <f t="shared" si="22"/>
        <v>46.713429837518461</v>
      </c>
      <c r="X54" s="864">
        <f t="shared" si="23"/>
        <v>0</v>
      </c>
      <c r="Y54" s="863">
        <f t="shared" si="24"/>
        <v>0.32160709010339739</v>
      </c>
      <c r="Z54" s="849">
        <v>6.7413850200000009</v>
      </c>
      <c r="AA54" s="835"/>
      <c r="AB54" s="797"/>
      <c r="AC54" s="835"/>
      <c r="AD54" s="835"/>
      <c r="AE54" s="838"/>
      <c r="AG54" s="797"/>
      <c r="AH54" s="796"/>
      <c r="AJ54" s="776"/>
      <c r="AK54" s="776"/>
      <c r="AL54" s="776"/>
      <c r="AM54" s="776"/>
      <c r="AN54" s="776"/>
      <c r="AO54" s="776"/>
      <c r="AP54" s="797"/>
    </row>
    <row r="55" spans="1:47">
      <c r="A55" s="866" t="s">
        <v>1475</v>
      </c>
      <c r="B55" s="865">
        <f t="shared" si="1"/>
        <v>3.3480000000000003</v>
      </c>
      <c r="C55" s="835">
        <f t="shared" si="2"/>
        <v>27.286942302532264</v>
      </c>
      <c r="D55" s="845">
        <f t="shared" si="3"/>
        <v>9.2947309658697694</v>
      </c>
      <c r="E55" s="842">
        <f t="shared" si="4"/>
        <v>3.6041661349488443</v>
      </c>
      <c r="F55" s="844">
        <f t="shared" si="5"/>
        <v>59.022315531666607</v>
      </c>
      <c r="G55" s="843">
        <f t="shared" si="6"/>
        <v>45.361633570256558</v>
      </c>
      <c r="H55" s="839">
        <f t="shared" si="7"/>
        <v>32.3288930110892</v>
      </c>
      <c r="I55" s="835">
        <f t="shared" si="8"/>
        <v>105.4376395628734</v>
      </c>
      <c r="J55" s="843">
        <f t="shared" si="9"/>
        <v>13.8</v>
      </c>
      <c r="K55" s="835">
        <f t="shared" si="10"/>
        <v>27.286942302532264</v>
      </c>
      <c r="L55" s="842">
        <f t="shared" si="11"/>
        <v>9.2947309658697694</v>
      </c>
      <c r="M55" s="838">
        <f t="shared" si="12"/>
        <v>59.022315531666607</v>
      </c>
      <c r="N55" s="835">
        <f t="shared" si="13"/>
        <v>0.1</v>
      </c>
      <c r="O55" s="840">
        <f t="shared" si="14"/>
        <v>20.16</v>
      </c>
      <c r="P55" s="841">
        <f t="shared" si="15"/>
        <v>19.566526769006064</v>
      </c>
      <c r="Q55" s="841">
        <f t="shared" si="16"/>
        <v>9.3111759656652371</v>
      </c>
      <c r="R55" s="841">
        <f t="shared" si="17"/>
        <v>20.576549356223175</v>
      </c>
      <c r="S55" s="841">
        <f t="shared" si="18"/>
        <v>22.32</v>
      </c>
      <c r="T55" s="841">
        <f t="shared" si="19"/>
        <v>30.079313304721026</v>
      </c>
      <c r="U55" s="840">
        <f t="shared" si="20"/>
        <v>30.240000000000002</v>
      </c>
      <c r="V55" s="839">
        <f t="shared" si="21"/>
        <v>52.68996159527326</v>
      </c>
      <c r="W55" s="839">
        <f t="shared" si="22"/>
        <v>46.713429837518461</v>
      </c>
      <c r="X55" s="864">
        <f t="shared" si="23"/>
        <v>0</v>
      </c>
      <c r="Y55" s="863">
        <f t="shared" si="24"/>
        <v>0.32160709010339739</v>
      </c>
      <c r="Z55" s="849">
        <v>6.8771905200000001</v>
      </c>
      <c r="AA55" s="835"/>
      <c r="AB55" s="797"/>
      <c r="AC55" s="835"/>
      <c r="AD55" s="835"/>
      <c r="AE55" s="838"/>
      <c r="AG55" s="797"/>
      <c r="AH55" s="796"/>
      <c r="AJ55" s="776"/>
      <c r="AK55" s="776"/>
      <c r="AL55" s="776"/>
      <c r="AM55" s="776"/>
      <c r="AN55" s="776"/>
      <c r="AO55" s="776"/>
      <c r="AP55" s="797"/>
    </row>
    <row r="56" spans="1:47">
      <c r="A56" s="866" t="s">
        <v>1474</v>
      </c>
      <c r="B56" s="865">
        <f t="shared" si="1"/>
        <v>3.3480000000000003</v>
      </c>
      <c r="C56" s="835">
        <f t="shared" si="2"/>
        <v>27.286942302532264</v>
      </c>
      <c r="D56" s="845">
        <f t="shared" si="3"/>
        <v>9.2947309658697694</v>
      </c>
      <c r="E56" s="842">
        <f t="shared" si="4"/>
        <v>3.6041661349488443</v>
      </c>
      <c r="F56" s="844">
        <f t="shared" si="5"/>
        <v>59.022315531666607</v>
      </c>
      <c r="G56" s="843">
        <f t="shared" si="6"/>
        <v>45.361633570256558</v>
      </c>
      <c r="H56" s="839">
        <f t="shared" si="7"/>
        <v>32.3288930110892</v>
      </c>
      <c r="I56" s="835">
        <f t="shared" si="8"/>
        <v>105.4376395628734</v>
      </c>
      <c r="J56" s="843">
        <f t="shared" si="9"/>
        <v>13.8</v>
      </c>
      <c r="K56" s="835">
        <f t="shared" si="10"/>
        <v>27.286942302532264</v>
      </c>
      <c r="L56" s="842">
        <f t="shared" si="11"/>
        <v>9.2947309658697694</v>
      </c>
      <c r="M56" s="838">
        <f t="shared" si="12"/>
        <v>59.022315531666607</v>
      </c>
      <c r="N56" s="835">
        <f t="shared" si="13"/>
        <v>0.1</v>
      </c>
      <c r="O56" s="840">
        <f t="shared" si="14"/>
        <v>20.16</v>
      </c>
      <c r="P56" s="841">
        <f t="shared" si="15"/>
        <v>19.566526769006064</v>
      </c>
      <c r="Q56" s="841">
        <f t="shared" si="16"/>
        <v>9.3111759656652371</v>
      </c>
      <c r="R56" s="841">
        <f t="shared" si="17"/>
        <v>20.576549356223175</v>
      </c>
      <c r="S56" s="841">
        <f t="shared" si="18"/>
        <v>22.32</v>
      </c>
      <c r="T56" s="841">
        <f t="shared" si="19"/>
        <v>30.079313304721026</v>
      </c>
      <c r="U56" s="840">
        <f t="shared" si="20"/>
        <v>30.240000000000002</v>
      </c>
      <c r="V56" s="839">
        <f t="shared" si="21"/>
        <v>52.68996159527326</v>
      </c>
      <c r="W56" s="839">
        <f t="shared" si="22"/>
        <v>46.713429837518461</v>
      </c>
      <c r="X56" s="864">
        <f t="shared" si="23"/>
        <v>0</v>
      </c>
      <c r="Y56" s="863">
        <f t="shared" si="24"/>
        <v>0.32160709010339739</v>
      </c>
      <c r="Z56" s="849">
        <v>7.0129960200000001</v>
      </c>
      <c r="AA56" s="835"/>
      <c r="AB56" s="797"/>
      <c r="AC56" s="835"/>
      <c r="AD56" s="835"/>
      <c r="AE56" s="838"/>
      <c r="AG56" s="797"/>
      <c r="AH56" s="796"/>
      <c r="AJ56" s="776"/>
      <c r="AK56" s="776"/>
      <c r="AL56" s="776"/>
      <c r="AM56" s="776"/>
      <c r="AN56" s="776"/>
      <c r="AO56" s="776"/>
    </row>
    <row r="57" spans="1:47">
      <c r="A57" s="862" t="s">
        <v>1473</v>
      </c>
      <c r="B57" s="861">
        <f t="shared" si="1"/>
        <v>3.3480000000000003</v>
      </c>
      <c r="C57" s="855">
        <f t="shared" si="2"/>
        <v>27.286942302532264</v>
      </c>
      <c r="D57" s="860">
        <f t="shared" si="3"/>
        <v>9.2947309658697694</v>
      </c>
      <c r="E57" s="857">
        <f t="shared" si="4"/>
        <v>3.6041661349488443</v>
      </c>
      <c r="F57" s="859">
        <f t="shared" si="5"/>
        <v>59.022315531666607</v>
      </c>
      <c r="G57" s="858">
        <f t="shared" si="6"/>
        <v>45.361633570256558</v>
      </c>
      <c r="H57" s="852">
        <f t="shared" si="7"/>
        <v>32.3288930110892</v>
      </c>
      <c r="I57" s="855">
        <f t="shared" si="8"/>
        <v>105.4376395628734</v>
      </c>
      <c r="J57" s="858">
        <f t="shared" si="9"/>
        <v>13.8</v>
      </c>
      <c r="K57" s="855">
        <f t="shared" si="10"/>
        <v>27.286942302532264</v>
      </c>
      <c r="L57" s="857">
        <f t="shared" si="11"/>
        <v>9.2947309658697694</v>
      </c>
      <c r="M57" s="856">
        <f t="shared" si="12"/>
        <v>59.022315531666607</v>
      </c>
      <c r="N57" s="855">
        <f t="shared" si="13"/>
        <v>0.1</v>
      </c>
      <c r="O57" s="853">
        <f t="shared" si="14"/>
        <v>20.16</v>
      </c>
      <c r="P57" s="854">
        <f t="shared" si="15"/>
        <v>19.566526769006064</v>
      </c>
      <c r="Q57" s="854">
        <f t="shared" si="16"/>
        <v>9.3111759656652371</v>
      </c>
      <c r="R57" s="854">
        <f t="shared" si="17"/>
        <v>20.576549356223175</v>
      </c>
      <c r="S57" s="854">
        <f t="shared" si="18"/>
        <v>22.32</v>
      </c>
      <c r="T57" s="854">
        <f t="shared" si="19"/>
        <v>30.079313304721026</v>
      </c>
      <c r="U57" s="853">
        <f t="shared" si="20"/>
        <v>30.240000000000002</v>
      </c>
      <c r="V57" s="852">
        <f t="shared" si="21"/>
        <v>52.68996159527326</v>
      </c>
      <c r="W57" s="852">
        <f t="shared" si="22"/>
        <v>46.713429837518461</v>
      </c>
      <c r="X57" s="851">
        <f t="shared" si="23"/>
        <v>0</v>
      </c>
      <c r="Y57" s="850">
        <f t="shared" si="24"/>
        <v>0.32160709010339739</v>
      </c>
      <c r="Z57" s="849">
        <v>7.1542337400000005</v>
      </c>
      <c r="AA57" s="835"/>
      <c r="AB57" s="797"/>
      <c r="AC57" s="835"/>
      <c r="AD57" s="835"/>
      <c r="AE57" s="838"/>
      <c r="AG57" s="797"/>
      <c r="AH57" s="796"/>
      <c r="AJ57" s="776"/>
      <c r="AK57" s="776"/>
      <c r="AL57" s="776"/>
      <c r="AM57" s="776"/>
      <c r="AN57" s="776"/>
      <c r="AO57" s="776"/>
    </row>
    <row r="58" spans="1:47">
      <c r="B58" s="830"/>
      <c r="C58" s="843"/>
      <c r="D58" s="835"/>
      <c r="E58" s="845"/>
      <c r="F58" s="848"/>
      <c r="G58" s="844"/>
      <c r="H58" s="835"/>
      <c r="I58" s="835"/>
      <c r="J58" s="847"/>
      <c r="K58" s="847"/>
      <c r="L58" s="846"/>
      <c r="M58" s="835"/>
      <c r="N58" s="838"/>
      <c r="O58" s="779"/>
      <c r="P58" s="835"/>
      <c r="Q58" s="835"/>
      <c r="R58" s="835"/>
      <c r="S58" s="835"/>
      <c r="T58" s="835"/>
      <c r="U58" s="835"/>
      <c r="V58" s="835"/>
      <c r="W58" s="835"/>
      <c r="X58" s="835"/>
      <c r="Y58" s="835"/>
      <c r="Z58" s="835"/>
      <c r="AA58" s="835"/>
      <c r="AB58" s="835"/>
      <c r="AC58" s="835"/>
      <c r="AD58" s="835"/>
      <c r="AE58" s="838"/>
      <c r="AG58" s="797"/>
      <c r="AH58" s="796"/>
      <c r="AJ58" s="776"/>
      <c r="AK58" s="776"/>
      <c r="AL58" s="776"/>
      <c r="AM58" s="776"/>
      <c r="AN58" s="776"/>
      <c r="AO58" s="776"/>
      <c r="AP58" s="776"/>
    </row>
    <row r="59" spans="1:47">
      <c r="B59" s="830"/>
      <c r="C59" s="843"/>
      <c r="D59" s="835"/>
      <c r="E59" s="845"/>
      <c r="F59" s="842"/>
      <c r="G59" s="844"/>
      <c r="H59" s="835"/>
      <c r="I59" s="835"/>
      <c r="J59" s="843"/>
      <c r="K59" s="835"/>
      <c r="L59" s="842"/>
      <c r="M59" s="838"/>
      <c r="N59" s="835"/>
      <c r="O59" s="835"/>
      <c r="P59" s="841"/>
      <c r="Q59" s="841"/>
      <c r="R59" s="841"/>
      <c r="S59" s="841"/>
      <c r="T59" s="841"/>
      <c r="U59" s="840"/>
      <c r="V59" s="840"/>
      <c r="W59" s="839"/>
      <c r="X59" s="839"/>
      <c r="Y59" s="835"/>
      <c r="Z59" s="835"/>
      <c r="AA59" s="835"/>
      <c r="AB59" s="835"/>
      <c r="AC59" s="835"/>
      <c r="AD59" s="838"/>
      <c r="AF59" s="797"/>
      <c r="AG59" s="796"/>
      <c r="AI59" s="776"/>
      <c r="AJ59" s="776"/>
      <c r="AK59" s="776"/>
      <c r="AL59" s="776"/>
      <c r="AM59" s="776"/>
      <c r="AN59" s="776"/>
      <c r="AO59" s="797"/>
      <c r="AP59" s="776"/>
    </row>
    <row r="60" spans="1:47">
      <c r="A60" s="772" t="s">
        <v>1472</v>
      </c>
      <c r="C60" s="776"/>
      <c r="D60" s="776"/>
      <c r="H60" s="776"/>
      <c r="I60" s="776"/>
      <c r="P60" s="776"/>
      <c r="S60" s="776"/>
      <c r="T60" s="776"/>
      <c r="U60" s="776"/>
      <c r="V60" s="776"/>
      <c r="W60" s="776"/>
      <c r="X60" s="776"/>
      <c r="Y60" s="776"/>
      <c r="Z60" s="776"/>
      <c r="AA60" s="776"/>
      <c r="AB60" s="835"/>
      <c r="AG60" s="776"/>
      <c r="AP60" s="776"/>
    </row>
    <row r="61" spans="1:47" ht="14.25" customHeight="1">
      <c r="A61" s="772" t="s">
        <v>1471</v>
      </c>
      <c r="H61" s="837"/>
      <c r="I61" s="837"/>
      <c r="J61" s="837"/>
      <c r="K61" s="837"/>
      <c r="L61" s="837"/>
      <c r="M61" s="837"/>
      <c r="N61" s="837"/>
      <c r="O61" s="837"/>
      <c r="P61" s="837"/>
      <c r="Q61" s="798"/>
      <c r="R61" s="798"/>
      <c r="S61" s="798"/>
      <c r="T61" s="798"/>
      <c r="U61" s="837"/>
      <c r="V61" s="837"/>
      <c r="W61" s="837"/>
      <c r="X61" s="837"/>
      <c r="Y61" s="837"/>
      <c r="Z61" s="837"/>
      <c r="AA61" s="837"/>
      <c r="AB61" s="835"/>
      <c r="AC61" s="837"/>
      <c r="AD61" s="837"/>
      <c r="AE61" s="798"/>
      <c r="AF61" s="798"/>
      <c r="AG61" s="798"/>
      <c r="AH61" s="798"/>
      <c r="AL61" s="798"/>
      <c r="AM61" s="798"/>
      <c r="AO61" s="776"/>
      <c r="AP61" s="776"/>
      <c r="AU61" s="797"/>
    </row>
    <row r="62" spans="1:47">
      <c r="A62" s="772" t="s">
        <v>1470</v>
      </c>
      <c r="Q62" s="776"/>
      <c r="R62" s="776"/>
      <c r="S62" s="776"/>
      <c r="W62" s="776"/>
      <c r="X62" s="776"/>
      <c r="Y62" s="836"/>
      <c r="Z62" s="835"/>
      <c r="AA62" s="835"/>
      <c r="AB62" s="835"/>
      <c r="AC62" s="835"/>
      <c r="AD62" s="835"/>
      <c r="AE62" s="776"/>
      <c r="AH62" s="776"/>
      <c r="AL62" s="776"/>
      <c r="AM62" s="776"/>
      <c r="AO62" s="776"/>
      <c r="AP62" s="776"/>
      <c r="AU62" s="797"/>
    </row>
    <row r="63" spans="1:47">
      <c r="G63" s="829"/>
      <c r="H63" s="828"/>
      <c r="I63" s="827"/>
      <c r="J63" s="826"/>
      <c r="K63" s="825"/>
      <c r="L63" s="815"/>
      <c r="M63" s="815"/>
      <c r="N63" s="815"/>
      <c r="O63" s="815"/>
      <c r="P63" s="824"/>
      <c r="Q63" s="810"/>
      <c r="R63" s="810"/>
      <c r="S63" s="810"/>
      <c r="U63" s="834"/>
      <c r="V63" s="823"/>
      <c r="W63" s="833"/>
      <c r="X63" s="833"/>
      <c r="Y63" s="833"/>
      <c r="Z63" s="813"/>
      <c r="AA63" s="813"/>
      <c r="AB63" s="835"/>
      <c r="AC63" s="813"/>
      <c r="AD63" s="813"/>
      <c r="AE63" s="810"/>
      <c r="AF63" s="823"/>
      <c r="AG63" s="823"/>
      <c r="AH63" s="776"/>
      <c r="AL63" s="810"/>
      <c r="AM63" s="810"/>
      <c r="AO63" s="776"/>
      <c r="AP63" s="776"/>
      <c r="AU63" s="797"/>
    </row>
    <row r="64" spans="1:47">
      <c r="A64" s="772" t="s">
        <v>1469</v>
      </c>
      <c r="G64" s="829"/>
      <c r="H64" s="828"/>
      <c r="I64" s="827"/>
      <c r="J64" s="826"/>
      <c r="K64" s="825"/>
      <c r="L64" s="815"/>
      <c r="M64" s="815"/>
      <c r="N64" s="815"/>
      <c r="O64" s="834"/>
      <c r="P64" s="824"/>
      <c r="Q64" s="810"/>
      <c r="R64" s="810"/>
      <c r="S64" s="810"/>
      <c r="U64" s="834"/>
      <c r="V64" s="823"/>
      <c r="W64" s="833"/>
      <c r="X64" s="833"/>
      <c r="Y64" s="833"/>
      <c r="Z64" s="813"/>
      <c r="AA64" s="813"/>
      <c r="AB64" s="813"/>
      <c r="AC64" s="813"/>
      <c r="AD64" s="813"/>
      <c r="AE64" s="810"/>
      <c r="AF64" s="823"/>
      <c r="AG64" s="823"/>
      <c r="AH64" s="776"/>
      <c r="AL64" s="810"/>
      <c r="AM64" s="810"/>
      <c r="AO64" s="776"/>
      <c r="AP64" s="776"/>
      <c r="AU64" s="797"/>
    </row>
    <row r="65" spans="1:47">
      <c r="A65" s="772" t="s">
        <v>1468</v>
      </c>
      <c r="G65" s="829"/>
      <c r="H65" s="828"/>
      <c r="I65" s="827"/>
      <c r="J65" s="827"/>
      <c r="K65" s="827"/>
      <c r="L65" s="827"/>
      <c r="M65" s="827"/>
      <c r="N65" s="815"/>
      <c r="O65" s="827"/>
      <c r="P65" s="827"/>
      <c r="Q65" s="810"/>
      <c r="R65" s="810"/>
      <c r="S65" s="810"/>
      <c r="U65" s="827"/>
      <c r="V65" s="827"/>
      <c r="W65" s="827"/>
      <c r="X65" s="827"/>
      <c r="Y65" s="827"/>
      <c r="Z65" s="827"/>
      <c r="AA65" s="827"/>
      <c r="AB65" s="827"/>
      <c r="AC65" s="827"/>
      <c r="AD65" s="827"/>
      <c r="AE65" s="810"/>
      <c r="AF65" s="823"/>
      <c r="AG65" s="823"/>
      <c r="AH65" s="776"/>
      <c r="AL65" s="810"/>
      <c r="AM65" s="810"/>
      <c r="AO65" s="776"/>
      <c r="AP65" s="776"/>
      <c r="AU65" s="797"/>
    </row>
    <row r="66" spans="1:47">
      <c r="A66" s="772" t="s">
        <v>1467</v>
      </c>
      <c r="G66" s="829"/>
      <c r="H66" s="828"/>
      <c r="I66" s="827"/>
      <c r="J66" s="826"/>
      <c r="K66" s="825"/>
      <c r="L66" s="815"/>
      <c r="M66" s="815"/>
      <c r="N66" s="815"/>
      <c r="O66" s="815"/>
      <c r="P66" s="824"/>
      <c r="Q66" s="810"/>
      <c r="R66" s="810"/>
      <c r="S66" s="810"/>
      <c r="U66" s="815"/>
      <c r="V66" s="823"/>
      <c r="W66" s="810"/>
      <c r="X66" s="810"/>
      <c r="Y66" s="810"/>
      <c r="Z66" s="810"/>
      <c r="AA66" s="810"/>
      <c r="AB66" s="813"/>
      <c r="AC66" s="813"/>
      <c r="AD66" s="813"/>
      <c r="AE66" s="810"/>
      <c r="AF66" s="823"/>
      <c r="AG66" s="823"/>
      <c r="AH66" s="776"/>
      <c r="AL66" s="810"/>
      <c r="AM66" s="810"/>
      <c r="AO66" s="776"/>
      <c r="AP66" s="776"/>
      <c r="AU66" s="797"/>
    </row>
    <row r="67" spans="1:47">
      <c r="A67" s="772" t="s">
        <v>1466</v>
      </c>
      <c r="G67" s="829"/>
      <c r="H67" s="828"/>
      <c r="I67" s="827"/>
      <c r="J67" s="826"/>
      <c r="K67" s="825"/>
      <c r="L67" s="815"/>
      <c r="M67" s="815"/>
      <c r="N67" s="815"/>
      <c r="O67" s="815"/>
      <c r="P67" s="824"/>
      <c r="Q67" s="810"/>
      <c r="R67" s="810"/>
      <c r="S67" s="810"/>
      <c r="U67" s="815"/>
      <c r="V67" s="823"/>
      <c r="W67" s="810"/>
      <c r="X67" s="810"/>
      <c r="Y67" s="810"/>
      <c r="Z67" s="810"/>
      <c r="AA67" s="810"/>
      <c r="AB67" s="813"/>
      <c r="AC67" s="813"/>
      <c r="AD67" s="813"/>
      <c r="AE67" s="810"/>
      <c r="AF67" s="823"/>
      <c r="AG67" s="823"/>
      <c r="AH67" s="776"/>
      <c r="AL67" s="810"/>
      <c r="AM67" s="810"/>
      <c r="AO67" s="776"/>
      <c r="AP67" s="776"/>
      <c r="AU67" s="797"/>
    </row>
    <row r="68" spans="1:47">
      <c r="A68" s="772" t="s">
        <v>1465</v>
      </c>
      <c r="G68" s="829"/>
      <c r="H68" s="828"/>
      <c r="I68" s="827"/>
      <c r="J68" s="826"/>
      <c r="K68" s="825"/>
      <c r="L68" s="815"/>
      <c r="M68" s="815"/>
      <c r="N68" s="815"/>
      <c r="O68" s="815"/>
      <c r="P68" s="824"/>
      <c r="Q68" s="810"/>
      <c r="R68" s="810"/>
      <c r="S68" s="810"/>
      <c r="U68" s="815"/>
      <c r="V68" s="823"/>
      <c r="W68" s="810"/>
      <c r="X68" s="810"/>
      <c r="Y68" s="810"/>
      <c r="Z68" s="810"/>
      <c r="AA68" s="810"/>
      <c r="AB68" s="813"/>
      <c r="AC68" s="813"/>
      <c r="AD68" s="813"/>
      <c r="AE68" s="810"/>
      <c r="AF68" s="823"/>
      <c r="AG68" s="823"/>
      <c r="AH68" s="776"/>
      <c r="AL68" s="810"/>
      <c r="AM68" s="810"/>
      <c r="AO68" s="776"/>
      <c r="AP68" s="776"/>
      <c r="AU68" s="797"/>
    </row>
    <row r="69" spans="1:47">
      <c r="A69" s="832" t="s">
        <v>1464</v>
      </c>
      <c r="B69" s="831"/>
      <c r="C69" s="820"/>
      <c r="D69" s="820"/>
      <c r="E69" s="821"/>
      <c r="F69" s="821"/>
      <c r="G69" s="829"/>
      <c r="H69" s="828"/>
      <c r="I69" s="827"/>
      <c r="J69" s="826"/>
      <c r="K69" s="825"/>
      <c r="L69" s="815"/>
      <c r="M69" s="815"/>
      <c r="N69" s="815"/>
      <c r="O69" s="815"/>
      <c r="P69" s="824"/>
      <c r="Q69" s="810"/>
      <c r="R69" s="810"/>
      <c r="S69" s="810"/>
      <c r="U69" s="815"/>
      <c r="V69" s="823"/>
      <c r="W69" s="810"/>
      <c r="X69" s="810"/>
      <c r="Y69" s="810"/>
      <c r="Z69" s="810"/>
      <c r="AA69" s="810"/>
      <c r="AB69" s="813"/>
      <c r="AC69" s="813"/>
      <c r="AD69" s="813"/>
      <c r="AE69" s="810"/>
      <c r="AF69" s="823"/>
      <c r="AG69" s="823"/>
      <c r="AH69" s="776"/>
      <c r="AL69" s="810"/>
      <c r="AM69" s="810"/>
      <c r="AO69" s="776"/>
      <c r="AP69" s="776"/>
      <c r="AU69" s="797"/>
    </row>
    <row r="70" spans="1:47">
      <c r="A70" s="830"/>
      <c r="B70" s="822"/>
      <c r="C70" s="820"/>
      <c r="D70" s="820"/>
      <c r="E70" s="821"/>
      <c r="F70" s="821"/>
      <c r="G70" s="829"/>
      <c r="H70" s="828"/>
      <c r="I70" s="827"/>
      <c r="J70" s="826"/>
      <c r="K70" s="825"/>
      <c r="L70" s="815"/>
      <c r="M70" s="815"/>
      <c r="N70" s="815"/>
      <c r="O70" s="815"/>
      <c r="P70" s="824"/>
      <c r="Q70" s="810"/>
      <c r="R70" s="810"/>
      <c r="S70" s="810"/>
      <c r="U70" s="815"/>
      <c r="V70" s="823"/>
      <c r="W70" s="810"/>
      <c r="X70" s="810"/>
      <c r="Y70" s="810"/>
      <c r="Z70" s="810"/>
      <c r="AA70" s="810"/>
      <c r="AB70" s="813"/>
      <c r="AC70" s="813"/>
      <c r="AD70" s="813"/>
      <c r="AE70" s="810"/>
      <c r="AF70" s="823"/>
      <c r="AG70" s="823"/>
      <c r="AH70" s="811"/>
      <c r="AL70" s="810"/>
      <c r="AM70" s="810"/>
      <c r="AO70" s="776"/>
      <c r="AP70" s="776"/>
      <c r="AU70" s="797"/>
    </row>
    <row r="71" spans="1:47">
      <c r="B71" s="822"/>
      <c r="C71" s="820"/>
      <c r="D71" s="820"/>
      <c r="E71" s="821"/>
      <c r="F71" s="821"/>
      <c r="G71" s="829"/>
      <c r="H71" s="828"/>
      <c r="I71" s="827"/>
      <c r="J71" s="826"/>
      <c r="K71" s="825"/>
      <c r="L71" s="815"/>
      <c r="M71" s="815"/>
      <c r="N71" s="815"/>
      <c r="O71" s="815"/>
      <c r="P71" s="824"/>
      <c r="Q71" s="810"/>
      <c r="R71" s="810"/>
      <c r="S71" s="810"/>
      <c r="U71" s="815"/>
      <c r="V71" s="823"/>
      <c r="W71" s="810"/>
      <c r="X71" s="810"/>
      <c r="Y71" s="810"/>
      <c r="Z71" s="810"/>
      <c r="AA71" s="810"/>
      <c r="AB71" s="813"/>
      <c r="AC71" s="813"/>
      <c r="AD71" s="813"/>
      <c r="AE71" s="810"/>
      <c r="AF71" s="823"/>
      <c r="AG71" s="823"/>
      <c r="AH71" s="811"/>
      <c r="AL71" s="810"/>
      <c r="AM71" s="810"/>
      <c r="AO71" s="776"/>
      <c r="AP71" s="776"/>
      <c r="AU71" s="797"/>
    </row>
    <row r="72" spans="1:47">
      <c r="B72" s="822"/>
      <c r="C72" s="820"/>
      <c r="D72" s="820"/>
      <c r="E72" s="821"/>
      <c r="F72" s="821"/>
      <c r="G72" s="829"/>
      <c r="H72" s="828"/>
      <c r="I72" s="827"/>
      <c r="J72" s="826"/>
      <c r="K72" s="825"/>
      <c r="L72" s="815"/>
      <c r="M72" s="815"/>
      <c r="N72" s="815"/>
      <c r="O72" s="815"/>
      <c r="P72" s="824"/>
      <c r="Q72" s="810"/>
      <c r="R72" s="810"/>
      <c r="S72" s="810"/>
      <c r="U72" s="815"/>
      <c r="V72" s="823"/>
      <c r="W72" s="810"/>
      <c r="X72" s="810"/>
      <c r="Y72" s="810"/>
      <c r="Z72" s="810"/>
      <c r="AA72" s="810"/>
      <c r="AB72" s="813"/>
      <c r="AC72" s="813"/>
      <c r="AD72" s="813"/>
      <c r="AE72" s="810"/>
      <c r="AF72" s="823"/>
      <c r="AG72" s="823"/>
      <c r="AH72" s="811"/>
      <c r="AL72" s="810"/>
      <c r="AM72" s="810"/>
      <c r="AO72" s="776"/>
      <c r="AP72" s="776"/>
      <c r="AU72" s="797"/>
    </row>
    <row r="73" spans="1:47">
      <c r="B73" s="822"/>
      <c r="C73" s="820"/>
      <c r="D73" s="820"/>
      <c r="E73" s="821"/>
      <c r="F73" s="821"/>
      <c r="G73" s="829"/>
      <c r="H73" s="828"/>
      <c r="I73" s="827"/>
      <c r="J73" s="826"/>
      <c r="K73" s="825"/>
      <c r="L73" s="815"/>
      <c r="M73" s="815"/>
      <c r="N73" s="815"/>
      <c r="O73" s="815"/>
      <c r="P73" s="824"/>
      <c r="Q73" s="810"/>
      <c r="R73" s="810"/>
      <c r="S73" s="810"/>
      <c r="U73" s="815"/>
      <c r="V73" s="823"/>
      <c r="W73" s="810"/>
      <c r="X73" s="810"/>
      <c r="Y73" s="810"/>
      <c r="Z73" s="810"/>
      <c r="AA73" s="810"/>
      <c r="AB73" s="813"/>
      <c r="AC73" s="813"/>
      <c r="AD73" s="813"/>
      <c r="AE73" s="810"/>
      <c r="AF73" s="823"/>
      <c r="AG73" s="823"/>
      <c r="AH73" s="811"/>
      <c r="AL73" s="810"/>
      <c r="AM73" s="810"/>
      <c r="AO73" s="776"/>
      <c r="AP73" s="776"/>
      <c r="AU73" s="797"/>
    </row>
    <row r="74" spans="1:47">
      <c r="B74" s="822"/>
      <c r="C74" s="820"/>
      <c r="D74" s="820"/>
      <c r="E74" s="821"/>
      <c r="F74" s="821"/>
      <c r="G74" s="829"/>
      <c r="H74" s="828"/>
      <c r="I74" s="827"/>
      <c r="J74" s="826"/>
      <c r="K74" s="825"/>
      <c r="L74" s="815"/>
      <c r="M74" s="815"/>
      <c r="N74" s="815"/>
      <c r="O74" s="815"/>
      <c r="P74" s="824"/>
      <c r="Q74" s="810"/>
      <c r="R74" s="810"/>
      <c r="S74" s="810"/>
      <c r="U74" s="815"/>
      <c r="V74" s="823"/>
      <c r="W74" s="810"/>
      <c r="X74" s="810"/>
      <c r="Y74" s="810"/>
      <c r="Z74" s="810"/>
      <c r="AA74" s="810"/>
      <c r="AB74" s="813"/>
      <c r="AC74" s="813"/>
      <c r="AD74" s="813"/>
      <c r="AE74" s="810"/>
      <c r="AF74" s="823"/>
      <c r="AG74" s="823"/>
      <c r="AH74" s="811"/>
      <c r="AL74" s="810"/>
      <c r="AM74" s="810"/>
      <c r="AO74" s="776"/>
      <c r="AP74" s="776"/>
      <c r="AU74" s="797"/>
    </row>
    <row r="75" spans="1:47">
      <c r="B75" s="822"/>
      <c r="C75" s="820"/>
      <c r="D75" s="820"/>
      <c r="E75" s="821"/>
      <c r="F75" s="821"/>
      <c r="G75" s="829"/>
      <c r="H75" s="828"/>
      <c r="I75" s="827"/>
      <c r="J75" s="826"/>
      <c r="K75" s="825"/>
      <c r="L75" s="815"/>
      <c r="M75" s="815"/>
      <c r="N75" s="815"/>
      <c r="O75" s="815"/>
      <c r="P75" s="824"/>
      <c r="Q75" s="810"/>
      <c r="R75" s="810"/>
      <c r="S75" s="810"/>
      <c r="U75" s="815"/>
      <c r="V75" s="823"/>
      <c r="W75" s="810"/>
      <c r="X75" s="810"/>
      <c r="Y75" s="810"/>
      <c r="Z75" s="810"/>
      <c r="AA75" s="810"/>
      <c r="AB75" s="813"/>
      <c r="AC75" s="813"/>
      <c r="AD75" s="813"/>
      <c r="AE75" s="810"/>
      <c r="AF75" s="823"/>
      <c r="AG75" s="823"/>
      <c r="AH75" s="811"/>
      <c r="AL75" s="810"/>
      <c r="AM75" s="810"/>
      <c r="AO75" s="776"/>
      <c r="AP75" s="776"/>
      <c r="AU75" s="797"/>
    </row>
    <row r="76" spans="1:47">
      <c r="B76" s="822"/>
      <c r="C76" s="820"/>
      <c r="D76" s="820"/>
      <c r="E76" s="821"/>
      <c r="F76" s="821"/>
      <c r="G76" s="829"/>
      <c r="H76" s="828"/>
      <c r="I76" s="827"/>
      <c r="J76" s="826"/>
      <c r="K76" s="825"/>
      <c r="L76" s="815"/>
      <c r="M76" s="815"/>
      <c r="N76" s="815"/>
      <c r="O76" s="815"/>
      <c r="P76" s="824"/>
      <c r="Q76" s="810"/>
      <c r="R76" s="810"/>
      <c r="S76" s="810"/>
      <c r="U76" s="815"/>
      <c r="V76" s="823"/>
      <c r="W76" s="810"/>
      <c r="X76" s="810"/>
      <c r="Y76" s="810"/>
      <c r="Z76" s="810"/>
      <c r="AA76" s="810"/>
      <c r="AB76" s="813"/>
      <c r="AC76" s="813"/>
      <c r="AD76" s="813"/>
      <c r="AE76" s="810"/>
      <c r="AF76" s="823"/>
      <c r="AG76" s="823"/>
      <c r="AH76" s="811"/>
      <c r="AL76" s="810"/>
      <c r="AM76" s="810"/>
      <c r="AO76" s="776"/>
      <c r="AP76" s="776"/>
      <c r="AU76" s="797"/>
    </row>
    <row r="77" spans="1:47">
      <c r="B77" s="822"/>
      <c r="C77" s="820"/>
      <c r="D77" s="820"/>
      <c r="E77" s="821"/>
      <c r="F77" s="821"/>
      <c r="G77" s="829"/>
      <c r="H77" s="828"/>
      <c r="I77" s="827"/>
      <c r="J77" s="826"/>
      <c r="K77" s="825"/>
      <c r="L77" s="815"/>
      <c r="M77" s="815"/>
      <c r="N77" s="815"/>
      <c r="O77" s="815"/>
      <c r="P77" s="824"/>
      <c r="Q77" s="810"/>
      <c r="R77" s="810"/>
      <c r="S77" s="810"/>
      <c r="U77" s="815"/>
      <c r="V77" s="823"/>
      <c r="W77" s="810"/>
      <c r="X77" s="810"/>
      <c r="Y77" s="810"/>
      <c r="Z77" s="810"/>
      <c r="AA77" s="810"/>
      <c r="AB77" s="813"/>
      <c r="AC77" s="813"/>
      <c r="AD77" s="813"/>
      <c r="AE77" s="810"/>
      <c r="AF77" s="823"/>
      <c r="AG77" s="823"/>
      <c r="AH77" s="811"/>
      <c r="AL77" s="810"/>
      <c r="AM77" s="810"/>
      <c r="AO77" s="776"/>
      <c r="AP77" s="776"/>
      <c r="AS77" s="797"/>
    </row>
    <row r="78" spans="1:47">
      <c r="B78" s="822"/>
      <c r="C78" s="820"/>
      <c r="D78" s="820"/>
      <c r="E78" s="821"/>
      <c r="F78" s="821"/>
      <c r="G78" s="829"/>
      <c r="H78" s="828"/>
      <c r="I78" s="827"/>
      <c r="J78" s="826"/>
      <c r="K78" s="825"/>
      <c r="L78" s="815"/>
      <c r="M78" s="815"/>
      <c r="N78" s="815"/>
      <c r="O78" s="815"/>
      <c r="P78" s="824"/>
      <c r="Q78" s="810"/>
      <c r="R78" s="810"/>
      <c r="S78" s="810"/>
      <c r="U78" s="815"/>
      <c r="V78" s="823"/>
      <c r="W78" s="810"/>
      <c r="X78" s="810"/>
      <c r="Y78" s="810"/>
      <c r="Z78" s="810"/>
      <c r="AA78" s="810"/>
      <c r="AB78" s="813"/>
      <c r="AC78" s="813"/>
      <c r="AD78" s="813"/>
      <c r="AE78" s="810"/>
      <c r="AF78" s="823"/>
      <c r="AG78" s="823"/>
      <c r="AH78" s="811"/>
      <c r="AL78" s="810"/>
      <c r="AM78" s="810"/>
      <c r="AO78" s="776"/>
      <c r="AP78" s="776"/>
      <c r="AR78" s="797"/>
    </row>
    <row r="79" spans="1:47">
      <c r="A79" s="830" t="s">
        <v>1463</v>
      </c>
      <c r="B79" s="822"/>
      <c r="C79" s="820"/>
      <c r="D79" s="820"/>
      <c r="E79" s="821"/>
      <c r="F79" s="821"/>
      <c r="G79" s="829"/>
      <c r="H79" s="828"/>
      <c r="I79" s="827"/>
      <c r="J79" s="826"/>
      <c r="K79" s="825"/>
      <c r="L79" s="815"/>
      <c r="M79" s="815"/>
      <c r="N79" s="815"/>
      <c r="O79" s="815"/>
      <c r="P79" s="824"/>
      <c r="Q79" s="810"/>
      <c r="R79" s="810"/>
      <c r="S79" s="810"/>
      <c r="U79" s="815"/>
      <c r="V79" s="823"/>
      <c r="W79" s="810"/>
      <c r="X79" s="810"/>
      <c r="Y79" s="810"/>
      <c r="Z79" s="810"/>
      <c r="AA79" s="810"/>
      <c r="AB79" s="813"/>
      <c r="AC79" s="813"/>
      <c r="AD79" s="813"/>
      <c r="AE79" s="810"/>
      <c r="AF79" s="823"/>
      <c r="AG79" s="823"/>
      <c r="AH79" s="811"/>
      <c r="AL79" s="810"/>
      <c r="AM79" s="810"/>
      <c r="AO79" s="776"/>
      <c r="AP79" s="776"/>
      <c r="AS79" s="797"/>
    </row>
    <row r="80" spans="1:47">
      <c r="A80" s="830" t="s">
        <v>1462</v>
      </c>
      <c r="B80" s="822"/>
      <c r="C80" s="820"/>
      <c r="D80" s="820"/>
      <c r="E80" s="821"/>
      <c r="F80" s="820"/>
      <c r="G80" s="829"/>
      <c r="H80" s="828"/>
      <c r="I80" s="827"/>
      <c r="J80" s="826"/>
      <c r="K80" s="825"/>
      <c r="L80" s="815"/>
      <c r="M80" s="815"/>
      <c r="N80" s="815"/>
      <c r="O80" s="815"/>
      <c r="P80" s="824"/>
      <c r="Q80" s="810"/>
      <c r="R80" s="810"/>
      <c r="S80" s="810"/>
      <c r="U80" s="815"/>
      <c r="V80" s="823"/>
      <c r="W80" s="810"/>
      <c r="X80" s="810"/>
      <c r="Y80" s="810"/>
      <c r="Z80" s="810"/>
      <c r="AA80" s="810"/>
      <c r="AB80" s="813"/>
      <c r="AC80" s="813"/>
      <c r="AD80" s="813"/>
      <c r="AE80" s="810"/>
      <c r="AF80" s="823"/>
      <c r="AG80" s="823"/>
      <c r="AH80" s="811"/>
      <c r="AL80" s="810"/>
      <c r="AM80" s="810"/>
      <c r="AO80" s="776"/>
      <c r="AP80" s="776"/>
      <c r="AU80" s="797"/>
    </row>
    <row r="81" spans="1:47">
      <c r="B81" s="822"/>
      <c r="C81" s="820"/>
      <c r="D81" s="821"/>
      <c r="E81" s="820"/>
      <c r="F81" s="819"/>
      <c r="G81" s="817"/>
      <c r="H81" s="816"/>
      <c r="I81" s="814"/>
      <c r="J81" s="814"/>
      <c r="K81" s="814"/>
      <c r="L81" s="814"/>
      <c r="M81" s="814"/>
      <c r="N81" s="815"/>
      <c r="O81" s="814"/>
      <c r="P81" s="814"/>
      <c r="Q81" s="810"/>
      <c r="R81" s="810"/>
      <c r="S81" s="810"/>
      <c r="U81" s="814"/>
      <c r="V81" s="812"/>
      <c r="W81" s="810"/>
      <c r="X81" s="810"/>
      <c r="Y81" s="810"/>
      <c r="Z81" s="810"/>
      <c r="AA81" s="810"/>
      <c r="AB81" s="811"/>
      <c r="AC81" s="813"/>
      <c r="AD81" s="811"/>
      <c r="AE81" s="810"/>
      <c r="AF81" s="812"/>
      <c r="AG81" s="812"/>
      <c r="AH81" s="811"/>
      <c r="AL81" s="810"/>
      <c r="AM81" s="810"/>
      <c r="AO81" s="776"/>
      <c r="AP81" s="776"/>
      <c r="AU81" s="797"/>
    </row>
    <row r="82" spans="1:47">
      <c r="A82" s="772" t="s">
        <v>1461</v>
      </c>
      <c r="C82" s="772">
        <v>20.613600000000002</v>
      </c>
      <c r="D82" s="818">
        <v>10.481513327601032</v>
      </c>
      <c r="G82" s="817"/>
      <c r="H82" s="816"/>
      <c r="I82" s="814"/>
      <c r="J82" s="814"/>
      <c r="K82" s="814"/>
      <c r="L82" s="814"/>
      <c r="M82" s="814"/>
      <c r="N82" s="815"/>
      <c r="O82" s="814"/>
      <c r="P82" s="814"/>
      <c r="Q82" s="810"/>
      <c r="R82" s="810"/>
      <c r="S82" s="810"/>
      <c r="U82" s="814"/>
      <c r="V82" s="812"/>
      <c r="W82" s="810"/>
      <c r="X82" s="810"/>
      <c r="Y82" s="810"/>
      <c r="Z82" s="810"/>
      <c r="AA82" s="810"/>
      <c r="AB82" s="776"/>
      <c r="AC82" s="813"/>
      <c r="AD82" s="776"/>
      <c r="AE82" s="810"/>
      <c r="AF82" s="812"/>
      <c r="AG82" s="812"/>
      <c r="AH82" s="811"/>
      <c r="AL82" s="810"/>
      <c r="AM82" s="810"/>
      <c r="AO82" s="776"/>
      <c r="AP82" s="776"/>
      <c r="AU82" s="797"/>
    </row>
    <row r="83" spans="1:47">
      <c r="A83" s="772" t="s">
        <v>1460</v>
      </c>
      <c r="C83" s="772">
        <v>25.678799999999999</v>
      </c>
      <c r="D83" s="818">
        <v>13.13966343201081</v>
      </c>
      <c r="G83" s="817"/>
      <c r="H83" s="816"/>
      <c r="I83" s="814"/>
      <c r="J83" s="814"/>
      <c r="K83" s="814"/>
      <c r="L83" s="814"/>
      <c r="M83" s="814"/>
      <c r="N83" s="815"/>
      <c r="O83" s="814"/>
      <c r="P83" s="814"/>
      <c r="Q83" s="810"/>
      <c r="R83" s="810"/>
      <c r="S83" s="810"/>
      <c r="U83" s="814"/>
      <c r="V83" s="812"/>
      <c r="W83" s="810"/>
      <c r="X83" s="810"/>
      <c r="Y83" s="810"/>
      <c r="Z83" s="810"/>
      <c r="AA83" s="810"/>
      <c r="AB83" s="776"/>
      <c r="AC83" s="813"/>
      <c r="AD83" s="776"/>
      <c r="AE83" s="810"/>
      <c r="AF83" s="812"/>
      <c r="AG83" s="812"/>
      <c r="AH83" s="811"/>
      <c r="AL83" s="810"/>
      <c r="AM83" s="810"/>
      <c r="AO83" s="776"/>
      <c r="AQ83" s="797"/>
    </row>
    <row r="84" spans="1:47">
      <c r="A84" s="772" t="s">
        <v>1459</v>
      </c>
      <c r="C84" s="772">
        <v>29.019600000000001</v>
      </c>
      <c r="D84" s="809">
        <v>11.426114727920403</v>
      </c>
      <c r="G84" s="817"/>
      <c r="H84" s="816"/>
      <c r="I84" s="814"/>
      <c r="J84" s="814"/>
      <c r="K84" s="814"/>
      <c r="L84" s="814"/>
      <c r="M84" s="814"/>
      <c r="N84" s="815"/>
      <c r="O84" s="814"/>
      <c r="P84" s="814"/>
      <c r="Q84" s="810"/>
      <c r="R84" s="810"/>
      <c r="S84" s="810"/>
      <c r="U84" s="814"/>
      <c r="V84" s="812"/>
      <c r="W84" s="810"/>
      <c r="X84" s="810"/>
      <c r="Y84" s="810"/>
      <c r="Z84" s="810"/>
      <c r="AA84" s="810"/>
      <c r="AB84" s="776"/>
      <c r="AC84" s="813"/>
      <c r="AD84" s="776"/>
      <c r="AE84" s="810"/>
      <c r="AF84" s="812"/>
      <c r="AG84" s="812"/>
      <c r="AH84" s="811"/>
      <c r="AL84" s="810"/>
      <c r="AM84" s="810"/>
      <c r="AO84" s="776"/>
      <c r="AQ84" s="797"/>
    </row>
    <row r="85" spans="1:47">
      <c r="A85" s="772" t="s">
        <v>1458</v>
      </c>
      <c r="C85" s="772">
        <v>27.561599999999999</v>
      </c>
      <c r="D85" s="809">
        <v>9.7187077754575615</v>
      </c>
      <c r="G85" s="817"/>
      <c r="H85" s="816"/>
      <c r="I85" s="814"/>
      <c r="J85" s="814"/>
      <c r="K85" s="814"/>
      <c r="L85" s="814"/>
      <c r="M85" s="814"/>
      <c r="N85" s="815"/>
      <c r="O85" s="814"/>
      <c r="P85" s="814"/>
      <c r="Q85" s="810"/>
      <c r="R85" s="810"/>
      <c r="S85" s="810"/>
      <c r="U85" s="814"/>
      <c r="V85" s="812"/>
      <c r="W85" s="810"/>
      <c r="X85" s="810"/>
      <c r="Y85" s="810"/>
      <c r="Z85" s="810"/>
      <c r="AA85" s="810"/>
      <c r="AB85" s="776"/>
      <c r="AC85" s="813"/>
      <c r="AD85" s="776"/>
      <c r="AE85" s="810"/>
      <c r="AF85" s="812"/>
      <c r="AG85" s="812"/>
      <c r="AH85" s="811"/>
      <c r="AL85" s="810"/>
      <c r="AM85" s="810"/>
      <c r="AO85" s="776"/>
      <c r="AQ85" s="797"/>
    </row>
    <row r="86" spans="1:47">
      <c r="A86" s="772" t="s">
        <v>1457</v>
      </c>
      <c r="C86" s="772">
        <v>23.536799999999999</v>
      </c>
      <c r="D86" s="809">
        <v>8.9595872742906284</v>
      </c>
      <c r="AG86" s="776"/>
      <c r="AH86" s="797"/>
      <c r="AI86" s="796"/>
      <c r="AQ86" s="797"/>
    </row>
    <row r="87" spans="1:47">
      <c r="A87" s="772" t="s">
        <v>1456</v>
      </c>
      <c r="C87" s="808">
        <v>29.261957318155993</v>
      </c>
      <c r="D87" s="808">
        <v>11.840692298770533</v>
      </c>
      <c r="F87" s="808">
        <v>62.962614751634241</v>
      </c>
      <c r="AG87" s="776"/>
      <c r="AH87" s="797"/>
      <c r="AI87" s="796"/>
      <c r="AQ87" s="797"/>
    </row>
    <row r="88" spans="1:47">
      <c r="A88" s="772" t="s">
        <v>1455</v>
      </c>
      <c r="C88" s="808">
        <v>30.082208837465096</v>
      </c>
      <c r="D88" s="808">
        <v>10.43599330680938</v>
      </c>
      <c r="F88" s="808">
        <v>56.234705301717113</v>
      </c>
      <c r="AG88" s="776"/>
      <c r="AH88" s="797"/>
      <c r="AI88" s="796"/>
      <c r="AQ88" s="797"/>
    </row>
    <row r="89" spans="1:47">
      <c r="A89" s="772" t="s">
        <v>1454</v>
      </c>
      <c r="C89" s="808">
        <v>25.047193574263442</v>
      </c>
      <c r="D89" s="808">
        <v>9.7668571396385815</v>
      </c>
      <c r="F89" s="808">
        <v>51.559553653859901</v>
      </c>
      <c r="AG89" s="776"/>
      <c r="AH89" s="797"/>
      <c r="AI89" s="796"/>
      <c r="AQ89" s="797"/>
    </row>
    <row r="90" spans="1:47">
      <c r="A90" s="772" t="s">
        <v>1453</v>
      </c>
      <c r="C90" s="807">
        <v>33.276833333333343</v>
      </c>
      <c r="D90" s="802">
        <v>9.1577484836801037</v>
      </c>
      <c r="F90" s="807">
        <v>85.567333333333352</v>
      </c>
      <c r="V90" s="776"/>
      <c r="W90" s="776"/>
      <c r="X90" s="776"/>
      <c r="Y90" s="776"/>
      <c r="Z90" s="776"/>
      <c r="AA90" s="776"/>
      <c r="AB90" s="776"/>
      <c r="AG90" s="776"/>
      <c r="AH90" s="797"/>
      <c r="AI90" s="796"/>
      <c r="AQ90" s="797"/>
    </row>
    <row r="91" spans="1:47">
      <c r="A91" s="776" t="s">
        <v>1452</v>
      </c>
      <c r="C91" s="776">
        <v>29.22</v>
      </c>
      <c r="D91" s="776">
        <f>8.08+0.167528</f>
        <v>8.2475280000000009</v>
      </c>
      <c r="F91" s="776">
        <v>68.959999999999994</v>
      </c>
      <c r="V91" s="776"/>
      <c r="W91" s="776"/>
      <c r="X91" s="776"/>
      <c r="Y91" s="776"/>
      <c r="Z91" s="776"/>
      <c r="AA91" s="776"/>
      <c r="AB91" s="776"/>
      <c r="AG91" s="776"/>
      <c r="AH91" s="797"/>
      <c r="AI91" s="796"/>
      <c r="AQ91" s="797"/>
    </row>
    <row r="92" spans="1:47">
      <c r="A92" s="772" t="s">
        <v>1451</v>
      </c>
      <c r="V92" s="776"/>
      <c r="W92" s="776"/>
      <c r="X92" s="776"/>
      <c r="Y92" s="776"/>
      <c r="Z92" s="776"/>
      <c r="AA92" s="776"/>
      <c r="AB92" s="776"/>
      <c r="AG92" s="776"/>
      <c r="AH92" s="797"/>
      <c r="AI92" s="796"/>
      <c r="AQ92" s="797"/>
    </row>
    <row r="93" spans="1:47">
      <c r="A93" s="772" t="s">
        <v>1450</v>
      </c>
      <c r="V93" s="776"/>
      <c r="W93" s="776"/>
      <c r="X93" s="776"/>
      <c r="Y93" s="776"/>
      <c r="Z93" s="776"/>
      <c r="AA93" s="776"/>
      <c r="AB93" s="776"/>
      <c r="AG93" s="776"/>
      <c r="AH93" s="797"/>
      <c r="AI93" s="796"/>
      <c r="AQ93" s="797"/>
    </row>
    <row r="94" spans="1:47">
      <c r="A94" s="772" t="s">
        <v>1449</v>
      </c>
      <c r="J94" s="806"/>
      <c r="V94" s="776"/>
      <c r="W94" s="776"/>
      <c r="X94" s="776"/>
      <c r="Y94" s="776"/>
      <c r="Z94" s="776"/>
      <c r="AA94" s="776"/>
      <c r="AB94" s="776"/>
      <c r="AG94" s="776"/>
      <c r="AH94" s="797"/>
      <c r="AI94" s="796"/>
      <c r="AQ94" s="797"/>
    </row>
    <row r="95" spans="1:47">
      <c r="A95" s="772" t="s">
        <v>1448</v>
      </c>
      <c r="J95" s="806"/>
      <c r="V95" s="776"/>
      <c r="W95" s="776"/>
      <c r="X95" s="776"/>
      <c r="Y95" s="776"/>
      <c r="Z95" s="776"/>
      <c r="AA95" s="776"/>
      <c r="AB95" s="776"/>
      <c r="AG95" s="776"/>
      <c r="AH95" s="797"/>
      <c r="AI95" s="796"/>
      <c r="AQ95" s="797"/>
    </row>
    <row r="96" spans="1:47">
      <c r="A96" s="772" t="s">
        <v>1447</v>
      </c>
      <c r="J96" s="806"/>
      <c r="V96" s="776"/>
      <c r="W96" s="776"/>
      <c r="X96" s="776"/>
      <c r="Y96" s="776"/>
      <c r="Z96" s="776"/>
      <c r="AA96" s="776"/>
      <c r="AB96" s="776"/>
      <c r="AG96" s="776"/>
      <c r="AH96" s="797"/>
      <c r="AI96" s="796"/>
      <c r="AQ96" s="797"/>
    </row>
    <row r="97" spans="1:43">
      <c r="A97" s="772" t="s">
        <v>1446</v>
      </c>
      <c r="J97" s="806"/>
      <c r="V97" s="776"/>
      <c r="W97" s="776"/>
      <c r="X97" s="776"/>
      <c r="Y97" s="776"/>
      <c r="Z97" s="776"/>
      <c r="AA97" s="776"/>
      <c r="AB97" s="776"/>
      <c r="AG97" s="776"/>
      <c r="AH97" s="797"/>
      <c r="AI97" s="796"/>
      <c r="AQ97" s="797"/>
    </row>
    <row r="98" spans="1:43">
      <c r="A98" s="772" t="s">
        <v>1445</v>
      </c>
      <c r="J98" s="806"/>
      <c r="V98" s="776"/>
      <c r="W98" s="776"/>
      <c r="X98" s="776"/>
      <c r="Y98" s="776"/>
      <c r="Z98" s="776"/>
      <c r="AA98" s="776"/>
      <c r="AB98" s="776"/>
      <c r="AG98" s="776"/>
      <c r="AH98" s="797"/>
      <c r="AI98" s="796"/>
      <c r="AQ98" s="797"/>
    </row>
    <row r="99" spans="1:43">
      <c r="A99" s="772" t="s">
        <v>1444</v>
      </c>
      <c r="J99" s="806"/>
      <c r="V99" s="776"/>
      <c r="W99" s="776"/>
      <c r="X99" s="776"/>
      <c r="Y99" s="776"/>
      <c r="Z99" s="776"/>
      <c r="AA99" s="776"/>
      <c r="AB99" s="776"/>
      <c r="AG99" s="776"/>
      <c r="AH99" s="797"/>
      <c r="AI99" s="796"/>
      <c r="AQ99" s="797"/>
    </row>
    <row r="100" spans="1:43">
      <c r="A100" s="772" t="s">
        <v>1443</v>
      </c>
      <c r="J100" s="806"/>
      <c r="V100" s="776"/>
      <c r="W100" s="776"/>
      <c r="X100" s="776"/>
      <c r="Y100" s="776"/>
      <c r="Z100" s="776"/>
      <c r="AA100" s="776"/>
      <c r="AB100" s="776"/>
      <c r="AG100" s="776"/>
      <c r="AH100" s="797"/>
      <c r="AI100" s="796"/>
      <c r="AQ100" s="797"/>
    </row>
    <row r="101" spans="1:43">
      <c r="A101" s="772" t="s">
        <v>1442</v>
      </c>
      <c r="J101" s="806"/>
      <c r="V101" s="776"/>
      <c r="W101" s="776"/>
      <c r="X101" s="776"/>
      <c r="Y101" s="776"/>
      <c r="Z101" s="776"/>
      <c r="AA101" s="776"/>
      <c r="AB101" s="776"/>
      <c r="AG101" s="776"/>
      <c r="AH101" s="797"/>
      <c r="AI101" s="796"/>
      <c r="AQ101" s="797"/>
    </row>
    <row r="102" spans="1:43">
      <c r="A102" s="772" t="s">
        <v>1441</v>
      </c>
      <c r="J102" s="806"/>
      <c r="V102" s="776"/>
      <c r="W102" s="776"/>
      <c r="X102" s="776"/>
      <c r="Y102" s="776"/>
      <c r="Z102" s="776"/>
      <c r="AA102" s="776"/>
      <c r="AB102" s="776"/>
      <c r="AG102" s="776"/>
      <c r="AH102" s="797"/>
      <c r="AI102" s="796"/>
      <c r="AQ102" s="797"/>
    </row>
    <row r="103" spans="1:43">
      <c r="A103" s="772" t="s">
        <v>1440</v>
      </c>
      <c r="J103" s="806"/>
      <c r="V103" s="776"/>
      <c r="W103" s="776"/>
      <c r="X103" s="776"/>
      <c r="Y103" s="776"/>
      <c r="Z103" s="776"/>
      <c r="AA103" s="776"/>
      <c r="AB103" s="776"/>
      <c r="AG103" s="776"/>
      <c r="AH103" s="797"/>
      <c r="AI103" s="796"/>
      <c r="AQ103" s="797"/>
    </row>
    <row r="104" spans="1:43">
      <c r="A104" s="772" t="s">
        <v>1439</v>
      </c>
      <c r="V104" s="776"/>
      <c r="W104" s="776"/>
      <c r="X104" s="776"/>
      <c r="Y104" s="776"/>
      <c r="Z104" s="776"/>
      <c r="AA104" s="776"/>
      <c r="AB104" s="776"/>
      <c r="AG104" s="776"/>
      <c r="AH104" s="797"/>
      <c r="AI104" s="796"/>
      <c r="AQ104" s="797"/>
    </row>
    <row r="105" spans="1:43">
      <c r="A105" s="772" t="s">
        <v>1438</v>
      </c>
      <c r="V105" s="776"/>
      <c r="W105" s="776"/>
      <c r="X105" s="776"/>
      <c r="Y105" s="776"/>
      <c r="Z105" s="776"/>
      <c r="AA105" s="776"/>
      <c r="AB105" s="776"/>
      <c r="AG105" s="776"/>
      <c r="AH105" s="797"/>
      <c r="AI105" s="796"/>
      <c r="AQ105" s="797"/>
    </row>
    <row r="106" spans="1:43">
      <c r="A106" s="772" t="s">
        <v>1437</v>
      </c>
      <c r="V106" s="776"/>
      <c r="W106" s="776"/>
      <c r="X106" s="776"/>
      <c r="Y106" s="776"/>
      <c r="Z106" s="776"/>
      <c r="AA106" s="776"/>
      <c r="AB106" s="776"/>
      <c r="AG106" s="776"/>
      <c r="AH106" s="797"/>
      <c r="AI106" s="796"/>
      <c r="AQ106" s="797"/>
    </row>
    <row r="107" spans="1:43">
      <c r="A107" s="772" t="s">
        <v>1436</v>
      </c>
      <c r="V107" s="776"/>
      <c r="W107" s="776"/>
      <c r="X107" s="776"/>
      <c r="Y107" s="776"/>
      <c r="Z107" s="776"/>
      <c r="AA107" s="776"/>
      <c r="AB107" s="776"/>
      <c r="AG107" s="776"/>
      <c r="AH107" s="797"/>
      <c r="AI107" s="796"/>
      <c r="AQ107" s="797"/>
    </row>
    <row r="108" spans="1:43">
      <c r="A108" s="772" t="s">
        <v>1435</v>
      </c>
      <c r="V108" s="776"/>
      <c r="W108" s="776"/>
      <c r="X108" s="776"/>
      <c r="Y108" s="776"/>
      <c r="Z108" s="776"/>
      <c r="AA108" s="776"/>
      <c r="AB108" s="776"/>
      <c r="AG108" s="776"/>
      <c r="AH108" s="797"/>
      <c r="AI108" s="796"/>
      <c r="AQ108" s="797"/>
    </row>
    <row r="109" spans="1:43">
      <c r="A109" s="772" t="s">
        <v>1434</v>
      </c>
      <c r="V109" s="776"/>
      <c r="W109" s="776"/>
      <c r="X109" s="776"/>
      <c r="Y109" s="776"/>
      <c r="Z109" s="776"/>
      <c r="AA109" s="776"/>
      <c r="AB109" s="776"/>
      <c r="AG109" s="776"/>
      <c r="AH109" s="797"/>
      <c r="AI109" s="796"/>
      <c r="AQ109" s="797"/>
    </row>
    <row r="110" spans="1:43">
      <c r="A110" s="772" t="s">
        <v>1433</v>
      </c>
      <c r="V110" s="776"/>
      <c r="W110" s="776"/>
      <c r="X110" s="776"/>
      <c r="Y110" s="776"/>
      <c r="Z110" s="776"/>
      <c r="AA110" s="776"/>
      <c r="AB110" s="776"/>
      <c r="AG110" s="776"/>
      <c r="AH110" s="797"/>
      <c r="AI110" s="796"/>
      <c r="AQ110" s="797"/>
    </row>
    <row r="111" spans="1:43">
      <c r="A111" s="772" t="s">
        <v>1432</v>
      </c>
      <c r="V111" s="776"/>
      <c r="W111" s="776"/>
      <c r="X111" s="776"/>
      <c r="Y111" s="776"/>
      <c r="Z111" s="776"/>
      <c r="AA111" s="776"/>
      <c r="AB111" s="776"/>
      <c r="AG111" s="776"/>
      <c r="AH111" s="797"/>
      <c r="AI111" s="796"/>
      <c r="AQ111" s="797"/>
    </row>
    <row r="112" spans="1:43">
      <c r="B112" s="1381" t="s">
        <v>1431</v>
      </c>
      <c r="C112" s="1381"/>
      <c r="D112" s="1381"/>
      <c r="E112" s="1381"/>
      <c r="F112" s="1381" t="s">
        <v>1430</v>
      </c>
      <c r="G112" s="1381"/>
      <c r="H112" s="1381"/>
      <c r="I112" s="1381" t="s">
        <v>1429</v>
      </c>
      <c r="J112" s="1381"/>
      <c r="K112" s="1381"/>
      <c r="V112" s="776"/>
      <c r="W112" s="776"/>
      <c r="X112" s="776"/>
      <c r="Y112" s="776"/>
      <c r="Z112" s="776"/>
      <c r="AA112" s="776"/>
      <c r="AB112" s="776"/>
      <c r="AG112" s="776"/>
      <c r="AH112" s="797"/>
      <c r="AI112" s="796"/>
      <c r="AQ112" s="797"/>
    </row>
    <row r="113" spans="1:43">
      <c r="B113" s="772" t="s">
        <v>1428</v>
      </c>
      <c r="C113" s="772">
        <v>2020</v>
      </c>
      <c r="D113" s="772">
        <v>2030</v>
      </c>
      <c r="E113" s="772" t="s">
        <v>1427</v>
      </c>
      <c r="F113" s="772">
        <v>2020</v>
      </c>
      <c r="G113" s="772">
        <v>2030</v>
      </c>
      <c r="H113" s="772" t="s">
        <v>1427</v>
      </c>
      <c r="I113" s="772">
        <v>2020</v>
      </c>
      <c r="J113" s="772">
        <v>2030</v>
      </c>
      <c r="K113" s="772" t="s">
        <v>1427</v>
      </c>
      <c r="V113" s="776"/>
      <c r="W113" s="776"/>
      <c r="X113" s="776"/>
      <c r="Y113" s="776"/>
      <c r="Z113" s="776"/>
      <c r="AA113" s="776"/>
      <c r="AB113" s="776"/>
      <c r="AG113" s="776"/>
      <c r="AH113" s="797"/>
      <c r="AI113" s="796"/>
      <c r="AQ113" s="797"/>
    </row>
    <row r="114" spans="1:43">
      <c r="A114" s="805" t="s">
        <v>1422</v>
      </c>
      <c r="W114" s="776"/>
      <c r="X114" s="776"/>
      <c r="Y114" s="776"/>
      <c r="Z114" s="776"/>
      <c r="AA114" s="776"/>
      <c r="AB114" s="776"/>
      <c r="AG114" s="776"/>
      <c r="AH114" s="797"/>
      <c r="AI114" s="796"/>
      <c r="AQ114" s="797"/>
    </row>
    <row r="115" spans="1:43">
      <c r="A115" s="804" t="s">
        <v>1425</v>
      </c>
      <c r="B115" s="772">
        <v>106</v>
      </c>
      <c r="C115" s="772">
        <v>112</v>
      </c>
      <c r="D115" s="772">
        <v>123</v>
      </c>
      <c r="E115" s="772">
        <v>132</v>
      </c>
      <c r="F115" s="772">
        <v>116</v>
      </c>
      <c r="G115" s="772">
        <v>139</v>
      </c>
      <c r="H115" s="772">
        <v>155</v>
      </c>
      <c r="I115" s="772">
        <v>105</v>
      </c>
      <c r="J115" s="772">
        <v>102</v>
      </c>
      <c r="K115" s="772">
        <v>100</v>
      </c>
      <c r="V115" s="776"/>
      <c r="W115" s="776"/>
      <c r="X115" s="776"/>
      <c r="Y115" s="776"/>
      <c r="Z115" s="776"/>
      <c r="AA115" s="776"/>
      <c r="AB115" s="776"/>
      <c r="AG115" s="776"/>
      <c r="AH115" s="797"/>
      <c r="AI115" s="796"/>
      <c r="AQ115" s="797"/>
    </row>
    <row r="116" spans="1:43">
      <c r="A116" s="804" t="s">
        <v>1424</v>
      </c>
      <c r="B116" s="772">
        <v>10.6</v>
      </c>
      <c r="C116" s="772">
        <v>11.1</v>
      </c>
      <c r="D116" s="772">
        <v>12.1</v>
      </c>
      <c r="E116" s="772">
        <v>12.7</v>
      </c>
      <c r="F116" s="772">
        <v>11.5</v>
      </c>
      <c r="G116" s="772">
        <v>13.2</v>
      </c>
      <c r="H116" s="772">
        <v>14</v>
      </c>
      <c r="I116" s="772">
        <v>10.5</v>
      </c>
      <c r="J116" s="772">
        <v>10</v>
      </c>
      <c r="K116" s="772">
        <v>9.1999999999999993</v>
      </c>
      <c r="V116" s="776"/>
      <c r="W116" s="776"/>
      <c r="X116" s="776"/>
      <c r="Y116" s="776"/>
      <c r="Z116" s="776"/>
      <c r="AA116" s="776"/>
      <c r="AB116" s="776"/>
      <c r="AG116" s="776"/>
      <c r="AH116" s="797"/>
      <c r="AI116" s="796"/>
      <c r="AQ116" s="797"/>
    </row>
    <row r="117" spans="1:43">
      <c r="A117" s="804" t="s">
        <v>1419</v>
      </c>
      <c r="B117" s="772">
        <v>86</v>
      </c>
      <c r="C117" s="772">
        <v>101</v>
      </c>
      <c r="D117" s="772">
        <v>108</v>
      </c>
      <c r="E117" s="772">
        <v>112</v>
      </c>
      <c r="F117" s="772">
        <v>107</v>
      </c>
      <c r="G117" s="772">
        <v>117</v>
      </c>
      <c r="H117" s="772">
        <v>124</v>
      </c>
      <c r="I117" s="772">
        <v>88</v>
      </c>
      <c r="J117" s="772">
        <v>78</v>
      </c>
      <c r="K117" s="772">
        <v>77</v>
      </c>
      <c r="V117" s="776"/>
      <c r="W117" s="776"/>
      <c r="X117" s="776"/>
      <c r="Y117" s="776"/>
      <c r="Z117" s="776"/>
      <c r="AA117" s="776"/>
      <c r="AB117" s="776"/>
      <c r="AG117" s="776"/>
      <c r="AH117" s="797"/>
      <c r="AI117" s="796"/>
      <c r="AQ117" s="797"/>
    </row>
    <row r="118" spans="1:43">
      <c r="A118" s="803" t="s">
        <v>1426</v>
      </c>
      <c r="P118" s="776"/>
      <c r="R118" s="802"/>
      <c r="S118" s="776"/>
      <c r="T118" s="776"/>
      <c r="U118" s="776"/>
      <c r="V118" s="776"/>
      <c r="W118" s="776"/>
      <c r="X118" s="776"/>
      <c r="Y118" s="776"/>
      <c r="Z118" s="776"/>
      <c r="AA118" s="776"/>
      <c r="AB118" s="776"/>
      <c r="AG118" s="776"/>
      <c r="AH118" s="797"/>
      <c r="AI118" s="796"/>
      <c r="AQ118" s="797"/>
    </row>
    <row r="119" spans="1:43">
      <c r="A119" s="801" t="s">
        <v>1425</v>
      </c>
      <c r="B119" s="772">
        <v>109</v>
      </c>
      <c r="C119" s="772">
        <v>113</v>
      </c>
      <c r="D119" s="772">
        <v>121</v>
      </c>
      <c r="E119" s="772">
        <v>128</v>
      </c>
      <c r="F119" s="772">
        <v>120</v>
      </c>
      <c r="G119" s="772">
        <v>136</v>
      </c>
      <c r="H119" s="772">
        <v>145</v>
      </c>
      <c r="I119" s="772">
        <v>110</v>
      </c>
      <c r="J119" s="772">
        <v>104</v>
      </c>
      <c r="K119" s="772">
        <v>100</v>
      </c>
      <c r="P119" s="776"/>
      <c r="R119" s="802"/>
      <c r="S119" s="776"/>
      <c r="T119" s="776"/>
      <c r="U119" s="776"/>
      <c r="V119" s="776"/>
      <c r="W119" s="776"/>
      <c r="X119" s="776"/>
      <c r="Y119" s="776"/>
      <c r="Z119" s="776"/>
      <c r="AA119" s="776"/>
      <c r="AB119" s="776"/>
      <c r="AG119" s="776"/>
      <c r="AH119" s="797"/>
      <c r="AI119" s="796"/>
      <c r="AQ119" s="797"/>
    </row>
    <row r="120" spans="1:43">
      <c r="A120" s="801" t="s">
        <v>1424</v>
      </c>
      <c r="B120" s="772">
        <v>11.7</v>
      </c>
      <c r="C120" s="772">
        <v>11.9</v>
      </c>
      <c r="D120" s="772">
        <v>12.3</v>
      </c>
      <c r="E120" s="772">
        <v>12.7</v>
      </c>
      <c r="F120" s="772">
        <v>12.4</v>
      </c>
      <c r="G120" s="772">
        <v>13.4</v>
      </c>
      <c r="H120" s="772">
        <v>14</v>
      </c>
      <c r="I120" s="772">
        <v>11.5</v>
      </c>
      <c r="J120" s="772">
        <v>10.199999999999999</v>
      </c>
      <c r="K120" s="772">
        <v>9.5</v>
      </c>
      <c r="N120" s="776"/>
      <c r="Q120" s="776"/>
      <c r="T120" s="776"/>
      <c r="U120" s="776"/>
      <c r="V120" s="776"/>
      <c r="W120" s="776"/>
      <c r="X120" s="776"/>
      <c r="Y120" s="776"/>
      <c r="Z120" s="776"/>
      <c r="AA120" s="776"/>
      <c r="AB120" s="776"/>
      <c r="AG120" s="776"/>
      <c r="AH120" s="797"/>
      <c r="AI120" s="796"/>
      <c r="AQ120" s="797"/>
    </row>
    <row r="121" spans="1:43">
      <c r="A121" s="801" t="s">
        <v>1419</v>
      </c>
      <c r="B121" s="772">
        <v>99</v>
      </c>
      <c r="C121" s="772">
        <v>106</v>
      </c>
      <c r="D121" s="772">
        <v>110</v>
      </c>
      <c r="E121" s="772">
        <v>110</v>
      </c>
      <c r="F121" s="772">
        <v>112</v>
      </c>
      <c r="G121" s="772">
        <v>118</v>
      </c>
      <c r="H121" s="772">
        <v>120</v>
      </c>
      <c r="I121" s="772">
        <v>101</v>
      </c>
      <c r="J121" s="772">
        <v>86</v>
      </c>
      <c r="K121" s="772">
        <v>75</v>
      </c>
      <c r="N121" s="799"/>
      <c r="T121" s="776"/>
      <c r="U121" s="776"/>
      <c r="V121" s="776"/>
      <c r="W121" s="776"/>
      <c r="X121" s="776"/>
      <c r="Y121" s="776"/>
      <c r="Z121" s="776"/>
      <c r="AA121" s="776"/>
      <c r="AB121" s="776"/>
      <c r="AG121" s="776"/>
      <c r="AH121" s="797"/>
      <c r="AI121" s="796"/>
    </row>
    <row r="122" spans="1:43">
      <c r="N122" s="799"/>
      <c r="V122" s="776"/>
      <c r="W122" s="776"/>
      <c r="X122" s="776"/>
      <c r="Y122" s="776"/>
      <c r="Z122" s="776"/>
      <c r="AA122" s="776"/>
      <c r="AB122" s="776"/>
      <c r="AG122" s="776"/>
      <c r="AH122" s="797"/>
      <c r="AI122" s="796"/>
    </row>
    <row r="123" spans="1:43">
      <c r="L123" s="800"/>
      <c r="N123" s="799"/>
      <c r="Q123" s="776"/>
      <c r="T123" s="776"/>
      <c r="U123" s="798"/>
      <c r="AH123" s="797"/>
      <c r="AI123" s="796"/>
    </row>
    <row r="124" spans="1:43">
      <c r="A124" s="776" t="s">
        <v>1423</v>
      </c>
      <c r="B124" s="776"/>
      <c r="C124" s="776"/>
      <c r="D124" s="776"/>
      <c r="E124" s="776"/>
      <c r="F124" s="776"/>
      <c r="G124" s="776"/>
      <c r="H124" s="776"/>
      <c r="I124" s="776"/>
      <c r="J124" s="776"/>
      <c r="K124" s="776"/>
      <c r="L124" s="776"/>
      <c r="M124" s="776"/>
      <c r="N124" s="776"/>
      <c r="O124" s="776"/>
      <c r="P124" s="776"/>
      <c r="Q124" s="776"/>
      <c r="R124" s="776"/>
      <c r="S124" s="776"/>
      <c r="T124" s="776"/>
      <c r="U124" s="776"/>
      <c r="V124" s="776"/>
      <c r="W124" s="776"/>
      <c r="X124" s="776"/>
      <c r="Y124" s="776"/>
      <c r="Z124" s="776"/>
      <c r="AA124" s="776"/>
      <c r="AB124" s="776"/>
      <c r="AC124" s="776"/>
      <c r="AD124" s="776"/>
    </row>
    <row r="125" spans="1:43">
      <c r="A125" s="776"/>
      <c r="B125" s="776"/>
      <c r="C125" s="776"/>
      <c r="D125" s="776"/>
      <c r="E125" s="776"/>
      <c r="F125" s="776"/>
      <c r="G125" s="776"/>
      <c r="H125" s="776"/>
      <c r="I125" s="776"/>
      <c r="J125" s="776"/>
      <c r="K125" s="776"/>
      <c r="L125" s="776"/>
      <c r="M125" s="776"/>
      <c r="N125" s="776"/>
      <c r="O125" s="776"/>
      <c r="P125" s="776"/>
      <c r="Q125" s="776"/>
      <c r="R125" s="776"/>
      <c r="S125" s="776"/>
      <c r="T125" s="776"/>
      <c r="U125" s="776"/>
      <c r="V125" s="776"/>
      <c r="W125" s="776"/>
      <c r="X125" s="776"/>
      <c r="Y125" s="776"/>
      <c r="Z125" s="776"/>
      <c r="AA125" s="776"/>
      <c r="AB125" s="776"/>
      <c r="AC125" s="776"/>
      <c r="AD125" s="776"/>
    </row>
    <row r="126" spans="1:43" ht="64">
      <c r="A126" s="776"/>
      <c r="C126" s="795" t="s">
        <v>1422</v>
      </c>
      <c r="D126" s="794" t="s">
        <v>1421</v>
      </c>
      <c r="E126" s="794" t="s">
        <v>1420</v>
      </c>
      <c r="F126" s="794" t="s">
        <v>1419</v>
      </c>
      <c r="G126" s="776"/>
      <c r="H126" s="776"/>
      <c r="I126" s="776"/>
      <c r="J126" s="776"/>
      <c r="K126" s="776"/>
      <c r="L126" s="776"/>
      <c r="M126" s="776"/>
      <c r="N126" s="776"/>
      <c r="O126" s="776"/>
      <c r="P126" s="776"/>
      <c r="Q126" s="776"/>
      <c r="R126" s="776"/>
      <c r="S126" s="776"/>
      <c r="T126" s="776"/>
      <c r="U126" s="776"/>
      <c r="V126" s="776"/>
      <c r="W126" s="776"/>
      <c r="X126" s="776"/>
      <c r="Y126" s="776"/>
      <c r="Z126" s="776"/>
      <c r="AA126" s="776"/>
      <c r="AB126" s="776"/>
      <c r="AC126" s="776"/>
      <c r="AD126" s="776"/>
    </row>
    <row r="127" spans="1:43">
      <c r="A127" s="776"/>
      <c r="B127" s="772">
        <v>2013</v>
      </c>
      <c r="D127" s="772">
        <v>106</v>
      </c>
      <c r="E127" s="772">
        <v>10.6</v>
      </c>
      <c r="F127" s="772">
        <v>86</v>
      </c>
      <c r="G127" s="776"/>
      <c r="H127" s="776"/>
      <c r="I127" s="776"/>
      <c r="J127" s="776"/>
      <c r="K127" s="776"/>
      <c r="L127" s="776"/>
      <c r="M127" s="776"/>
      <c r="N127" s="776"/>
      <c r="O127" s="776"/>
      <c r="P127" s="776"/>
      <c r="Q127" s="776"/>
      <c r="R127" s="776"/>
      <c r="S127" s="776"/>
      <c r="T127" s="776"/>
      <c r="U127" s="776"/>
      <c r="V127" s="776"/>
      <c r="W127" s="776"/>
      <c r="X127" s="776"/>
      <c r="Y127" s="776"/>
      <c r="Z127" s="776"/>
      <c r="AA127" s="776"/>
      <c r="AB127" s="776"/>
      <c r="AC127" s="776"/>
      <c r="AD127" s="776"/>
    </row>
    <row r="128" spans="1:43">
      <c r="A128" s="776"/>
      <c r="B128" s="772">
        <v>2020</v>
      </c>
      <c r="D128" s="772">
        <v>112</v>
      </c>
      <c r="E128" s="772">
        <v>11.1</v>
      </c>
      <c r="F128" s="772">
        <v>101</v>
      </c>
      <c r="G128" s="776"/>
      <c r="H128" s="776"/>
      <c r="I128" s="776"/>
      <c r="J128" s="776"/>
      <c r="K128" s="776"/>
      <c r="L128" s="776"/>
      <c r="M128" s="776"/>
      <c r="N128" s="776"/>
      <c r="O128" s="776"/>
      <c r="P128" s="776"/>
      <c r="Q128" s="776"/>
      <c r="R128" s="776"/>
      <c r="S128" s="776"/>
      <c r="T128" s="776"/>
      <c r="U128" s="776"/>
      <c r="V128" s="776"/>
      <c r="W128" s="776"/>
      <c r="X128" s="776"/>
      <c r="Y128" s="776"/>
      <c r="Z128" s="776"/>
      <c r="AA128" s="776"/>
      <c r="AB128" s="776"/>
      <c r="AC128" s="776"/>
      <c r="AD128" s="776"/>
    </row>
    <row r="129" spans="1:30">
      <c r="A129" s="776"/>
      <c r="B129" s="772">
        <v>2030</v>
      </c>
      <c r="D129" s="772">
        <v>123</v>
      </c>
      <c r="E129" s="772">
        <v>12.1</v>
      </c>
      <c r="F129" s="772">
        <v>108</v>
      </c>
      <c r="G129" s="776"/>
      <c r="H129" s="776"/>
      <c r="I129" s="776"/>
      <c r="J129" s="776"/>
      <c r="K129" s="776"/>
      <c r="L129" s="776"/>
      <c r="M129" s="776"/>
      <c r="N129" s="776"/>
      <c r="O129" s="776"/>
      <c r="P129" s="776"/>
      <c r="Q129" s="776"/>
      <c r="R129" s="776"/>
      <c r="S129" s="776"/>
      <c r="T129" s="776"/>
      <c r="U129" s="776"/>
      <c r="V129" s="776"/>
      <c r="W129" s="776"/>
      <c r="X129" s="776"/>
      <c r="Y129" s="776"/>
      <c r="Z129" s="776"/>
      <c r="AA129" s="776"/>
      <c r="AB129" s="776"/>
      <c r="AC129" s="776"/>
      <c r="AD129" s="776"/>
    </row>
    <row r="130" spans="1:30">
      <c r="A130" s="776"/>
      <c r="B130" s="772">
        <v>2040</v>
      </c>
      <c r="D130" s="772">
        <v>132</v>
      </c>
      <c r="E130" s="772">
        <v>12.7</v>
      </c>
      <c r="F130" s="772">
        <v>112</v>
      </c>
      <c r="G130" s="778"/>
      <c r="H130" s="776"/>
      <c r="I130" s="776"/>
      <c r="J130" s="776"/>
      <c r="K130" s="776"/>
      <c r="L130" s="776"/>
      <c r="M130" s="776"/>
      <c r="N130" s="776"/>
      <c r="O130" s="776"/>
      <c r="P130" s="776" t="s">
        <v>1418</v>
      </c>
      <c r="Q130" s="776"/>
      <c r="R130" s="776"/>
      <c r="S130" s="776"/>
      <c r="T130" s="776"/>
      <c r="U130" s="776"/>
      <c r="V130" s="776"/>
      <c r="W130" s="776"/>
      <c r="X130" s="776"/>
      <c r="Y130" s="776"/>
      <c r="Z130" s="776"/>
      <c r="AA130" s="776"/>
      <c r="AB130" s="776"/>
      <c r="AC130" s="776"/>
      <c r="AD130" s="776"/>
    </row>
    <row r="131" spans="1:30">
      <c r="A131" s="776"/>
      <c r="B131" s="776"/>
      <c r="C131" s="776"/>
      <c r="D131" s="776"/>
      <c r="E131" s="776"/>
      <c r="F131" s="776"/>
      <c r="G131" s="776"/>
      <c r="H131" s="776"/>
      <c r="I131" s="776"/>
      <c r="J131" s="776"/>
      <c r="K131" s="776"/>
      <c r="L131" s="776"/>
      <c r="M131" s="776"/>
      <c r="N131" s="776"/>
      <c r="O131" s="776"/>
      <c r="P131" s="776" t="s">
        <v>1417</v>
      </c>
      <c r="Q131" s="776"/>
      <c r="R131" s="776"/>
      <c r="S131" s="776"/>
      <c r="T131" s="776"/>
      <c r="U131" s="776"/>
      <c r="V131" s="776"/>
      <c r="W131" s="776"/>
      <c r="X131" s="776"/>
      <c r="Y131" s="776"/>
      <c r="Z131" s="776"/>
      <c r="AA131" s="776"/>
      <c r="AB131" s="776"/>
      <c r="AC131" s="776"/>
      <c r="AD131" s="776"/>
    </row>
    <row r="132" spans="1:30">
      <c r="A132" s="776"/>
      <c r="B132" s="776"/>
      <c r="C132" s="776"/>
      <c r="D132" s="793">
        <v>5.84</v>
      </c>
      <c r="E132" s="792">
        <v>1.0550999999999999</v>
      </c>
      <c r="F132" s="791">
        <v>24.23</v>
      </c>
      <c r="G132" s="776"/>
      <c r="H132" s="776"/>
      <c r="I132" s="776"/>
      <c r="J132" s="776"/>
      <c r="K132" s="776"/>
      <c r="L132" s="776"/>
      <c r="M132" s="776"/>
      <c r="N132" s="776"/>
      <c r="O132" s="776"/>
      <c r="P132" s="776"/>
      <c r="Q132" s="776"/>
      <c r="R132" s="776"/>
      <c r="S132" s="776"/>
      <c r="T132" s="776"/>
      <c r="U132" s="776"/>
      <c r="V132" s="776"/>
      <c r="W132" s="776"/>
      <c r="X132" s="776"/>
      <c r="Y132" s="776"/>
      <c r="Z132" s="776"/>
      <c r="AA132" s="776"/>
      <c r="AB132" s="776"/>
      <c r="AC132" s="776"/>
      <c r="AD132" s="776"/>
    </row>
    <row r="133" spans="1:30">
      <c r="A133" s="776"/>
      <c r="B133" s="787"/>
      <c r="C133" s="776"/>
      <c r="D133" s="789" t="s">
        <v>1416</v>
      </c>
      <c r="E133" s="790" t="s">
        <v>1415</v>
      </c>
      <c r="F133" s="789" t="s">
        <v>430</v>
      </c>
      <c r="G133" s="788"/>
      <c r="H133" s="776"/>
      <c r="I133" s="776"/>
      <c r="J133" s="776"/>
      <c r="K133" s="776"/>
      <c r="L133" s="776"/>
      <c r="M133" s="776"/>
      <c r="N133" s="776"/>
      <c r="O133" s="776"/>
      <c r="P133" s="776"/>
      <c r="Q133" s="776"/>
      <c r="R133" s="776" t="s">
        <v>57</v>
      </c>
      <c r="S133" s="776"/>
      <c r="T133" s="776"/>
      <c r="U133" s="776" t="s">
        <v>1409</v>
      </c>
      <c r="V133" s="776"/>
      <c r="W133" s="776"/>
      <c r="X133" s="776" t="s">
        <v>1408</v>
      </c>
      <c r="Y133" s="776"/>
      <c r="Z133" s="776"/>
      <c r="AA133" s="776"/>
      <c r="AB133" s="776"/>
      <c r="AC133" s="776"/>
      <c r="AD133" s="776"/>
    </row>
    <row r="134" spans="1:30">
      <c r="A134" s="776"/>
      <c r="B134" s="787"/>
      <c r="C134" s="776"/>
      <c r="D134" s="776"/>
      <c r="E134" s="776"/>
      <c r="F134" s="776"/>
      <c r="G134" s="786"/>
      <c r="H134" s="776"/>
      <c r="I134" s="776"/>
      <c r="J134" s="776"/>
      <c r="K134" s="776"/>
      <c r="L134" s="776"/>
      <c r="M134" s="776"/>
      <c r="N134" s="776"/>
      <c r="O134" s="776"/>
      <c r="P134" s="776" t="s">
        <v>1414</v>
      </c>
      <c r="Q134" s="776" t="s">
        <v>1413</v>
      </c>
      <c r="R134" s="779" t="s">
        <v>1412</v>
      </c>
      <c r="S134" s="776" t="s">
        <v>1411</v>
      </c>
      <c r="T134" s="776" t="s">
        <v>1413</v>
      </c>
      <c r="U134" s="779" t="s">
        <v>1412</v>
      </c>
      <c r="V134" s="776" t="s">
        <v>1411</v>
      </c>
      <c r="W134" s="776" t="s">
        <v>1413</v>
      </c>
      <c r="X134" s="779" t="s">
        <v>1412</v>
      </c>
      <c r="Y134" s="776" t="s">
        <v>1411</v>
      </c>
      <c r="Z134" s="776"/>
      <c r="AA134" s="776"/>
      <c r="AB134" s="776"/>
      <c r="AC134" s="776"/>
      <c r="AD134" s="776"/>
    </row>
    <row r="135" spans="1:30">
      <c r="A135" s="776"/>
      <c r="B135" s="776" t="s">
        <v>1410</v>
      </c>
      <c r="C135" s="781">
        <v>1.3281000000000001</v>
      </c>
      <c r="D135" s="776">
        <v>2013</v>
      </c>
      <c r="E135" s="776"/>
      <c r="F135" s="776"/>
      <c r="G135" s="776"/>
      <c r="H135" s="776"/>
      <c r="I135" s="776"/>
      <c r="J135" s="776"/>
      <c r="K135" s="776"/>
      <c r="L135" s="776"/>
      <c r="M135" s="776"/>
      <c r="N135" s="776"/>
      <c r="O135" s="776"/>
      <c r="P135" s="776">
        <v>2015</v>
      </c>
      <c r="Q135" s="776">
        <v>18</v>
      </c>
      <c r="R135" s="779">
        <v>20.16</v>
      </c>
      <c r="S135" s="776">
        <v>21.96</v>
      </c>
      <c r="T135" s="776">
        <v>20.16</v>
      </c>
      <c r="U135" s="779">
        <v>22.32</v>
      </c>
      <c r="V135" s="776">
        <v>24.48</v>
      </c>
      <c r="W135" s="776">
        <v>27.36</v>
      </c>
      <c r="X135" s="779">
        <v>30.240000000000002</v>
      </c>
      <c r="Y135" s="776">
        <v>32.04</v>
      </c>
      <c r="Z135" s="776"/>
      <c r="AA135" s="776"/>
      <c r="AB135" s="776" t="s">
        <v>57</v>
      </c>
      <c r="AC135" s="776" t="s">
        <v>1409</v>
      </c>
      <c r="AD135" s="776" t="s">
        <v>1408</v>
      </c>
    </row>
    <row r="136" spans="1:30">
      <c r="A136" s="776"/>
      <c r="B136" s="776" t="s">
        <v>1407</v>
      </c>
      <c r="C136" s="781">
        <v>7.4579000000000004</v>
      </c>
      <c r="D136" s="776">
        <v>2013</v>
      </c>
      <c r="E136" s="776"/>
      <c r="F136" s="776"/>
      <c r="G136" s="776"/>
      <c r="H136" s="776"/>
      <c r="I136" s="776"/>
      <c r="J136" s="776"/>
      <c r="K136" s="776"/>
      <c r="L136" s="776"/>
      <c r="M136" s="776"/>
      <c r="N136" s="776"/>
      <c r="O136" s="776"/>
      <c r="P136" s="776">
        <v>2016</v>
      </c>
      <c r="Q136" s="776">
        <v>18.36</v>
      </c>
      <c r="R136" s="779">
        <v>20.16</v>
      </c>
      <c r="S136" s="776">
        <v>22.32</v>
      </c>
      <c r="T136" s="776">
        <v>20.16</v>
      </c>
      <c r="U136" s="779">
        <v>22.32</v>
      </c>
      <c r="V136" s="776">
        <v>24.840000000000003</v>
      </c>
      <c r="W136" s="776">
        <v>27.36</v>
      </c>
      <c r="X136" s="779">
        <v>30.240000000000002</v>
      </c>
      <c r="Y136" s="776">
        <v>32.04</v>
      </c>
      <c r="Z136" s="776"/>
      <c r="AA136" s="776"/>
      <c r="AB136" s="777">
        <f t="shared" ref="AB136:AB155" si="25">R136/R135-1</f>
        <v>0</v>
      </c>
      <c r="AC136" s="777">
        <f t="shared" ref="AC136:AC155" si="26">U136/U135-1</f>
        <v>0</v>
      </c>
      <c r="AD136" s="777">
        <f t="shared" ref="AD136:AD155" si="27">X136/X135-1</f>
        <v>0</v>
      </c>
    </row>
    <row r="137" spans="1:30">
      <c r="A137" s="776"/>
      <c r="B137" s="776"/>
      <c r="C137" s="781"/>
      <c r="D137" s="776"/>
      <c r="E137" s="776"/>
      <c r="F137" s="776"/>
      <c r="G137" s="776"/>
      <c r="H137" s="776"/>
      <c r="I137" s="776"/>
      <c r="J137" s="776"/>
      <c r="K137" s="776"/>
      <c r="L137" s="776"/>
      <c r="M137" s="776"/>
      <c r="N137" s="776"/>
      <c r="O137" s="776"/>
      <c r="P137" s="776">
        <v>2017</v>
      </c>
      <c r="Q137" s="776">
        <v>18.36</v>
      </c>
      <c r="R137" s="779">
        <v>20.52</v>
      </c>
      <c r="S137" s="776">
        <v>22.32</v>
      </c>
      <c r="T137" s="776">
        <v>20.52</v>
      </c>
      <c r="U137" s="779">
        <v>22.68</v>
      </c>
      <c r="V137" s="776">
        <v>24.840000000000003</v>
      </c>
      <c r="W137" s="776">
        <v>27.36</v>
      </c>
      <c r="X137" s="779">
        <v>30.240000000000002</v>
      </c>
      <c r="Y137" s="776">
        <v>32.4</v>
      </c>
      <c r="Z137" s="776"/>
      <c r="AA137" s="776"/>
      <c r="AB137" s="777">
        <f t="shared" si="25"/>
        <v>1.7857142857142794E-2</v>
      </c>
      <c r="AC137" s="777">
        <f t="shared" si="26"/>
        <v>1.6129032258064502E-2</v>
      </c>
      <c r="AD137" s="777">
        <f t="shared" si="27"/>
        <v>0</v>
      </c>
    </row>
    <row r="138" spans="1:30">
      <c r="A138" s="776"/>
      <c r="B138" s="776"/>
      <c r="C138" s="776"/>
      <c r="D138" s="776" t="s">
        <v>197</v>
      </c>
      <c r="E138" s="776" t="s">
        <v>99</v>
      </c>
      <c r="F138" s="776" t="s">
        <v>1400</v>
      </c>
      <c r="G138" s="776" t="s">
        <v>49</v>
      </c>
      <c r="H138" s="776"/>
      <c r="I138" s="776"/>
      <c r="J138" s="776"/>
      <c r="K138" s="776"/>
      <c r="L138" s="776"/>
      <c r="M138" s="776"/>
      <c r="N138" s="776"/>
      <c r="O138" s="776"/>
      <c r="P138" s="776">
        <v>2018</v>
      </c>
      <c r="Q138" s="776">
        <v>18.36</v>
      </c>
      <c r="R138" s="779">
        <v>20.52</v>
      </c>
      <c r="S138" s="776">
        <v>22.68</v>
      </c>
      <c r="T138" s="776">
        <v>20.52</v>
      </c>
      <c r="U138" s="779">
        <v>23.040000000000003</v>
      </c>
      <c r="V138" s="776">
        <v>25.2</v>
      </c>
      <c r="W138" s="776">
        <v>27.36</v>
      </c>
      <c r="X138" s="779">
        <v>30.6</v>
      </c>
      <c r="Y138" s="776">
        <v>32.4</v>
      </c>
      <c r="Z138" s="776"/>
      <c r="AA138" s="776"/>
      <c r="AB138" s="777">
        <f t="shared" si="25"/>
        <v>0</v>
      </c>
      <c r="AC138" s="777">
        <f t="shared" si="26"/>
        <v>1.5873015873016039E-2</v>
      </c>
      <c r="AD138" s="777">
        <f t="shared" si="27"/>
        <v>1.1904761904761862E-2</v>
      </c>
    </row>
    <row r="139" spans="1:30">
      <c r="A139" s="776"/>
      <c r="B139" s="776"/>
      <c r="C139" s="776" t="s">
        <v>1406</v>
      </c>
      <c r="D139" s="776">
        <v>4.3</v>
      </c>
      <c r="E139" s="776">
        <v>4.3</v>
      </c>
      <c r="F139" s="776">
        <v>-3.3</v>
      </c>
      <c r="G139" s="776">
        <v>-0.3</v>
      </c>
      <c r="H139" s="776" t="s">
        <v>379</v>
      </c>
      <c r="I139" s="776"/>
      <c r="J139" s="776"/>
      <c r="K139" s="776"/>
      <c r="L139" s="776"/>
      <c r="M139" s="776"/>
      <c r="N139" s="776"/>
      <c r="O139" s="776"/>
      <c r="P139" s="776">
        <v>2019</v>
      </c>
      <c r="Q139" s="776">
        <v>18.36</v>
      </c>
      <c r="R139" s="779">
        <v>20.88</v>
      </c>
      <c r="S139" s="776">
        <v>22.68</v>
      </c>
      <c r="T139" s="776">
        <v>20.52</v>
      </c>
      <c r="U139" s="779">
        <v>23.040000000000003</v>
      </c>
      <c r="V139" s="776">
        <v>25.2</v>
      </c>
      <c r="W139" s="776">
        <v>27.36</v>
      </c>
      <c r="X139" s="779">
        <v>30.6</v>
      </c>
      <c r="Y139" s="776">
        <v>32.4</v>
      </c>
      <c r="Z139" s="776"/>
      <c r="AA139" s="776"/>
      <c r="AB139" s="777">
        <f t="shared" si="25"/>
        <v>1.7543859649122862E-2</v>
      </c>
      <c r="AC139" s="777">
        <f t="shared" si="26"/>
        <v>0</v>
      </c>
      <c r="AD139" s="777">
        <f t="shared" si="27"/>
        <v>0</v>
      </c>
    </row>
    <row r="140" spans="1:30">
      <c r="A140" s="776"/>
      <c r="B140" s="776"/>
      <c r="C140" s="776" t="s">
        <v>994</v>
      </c>
      <c r="D140" s="776">
        <v>2.1</v>
      </c>
      <c r="E140" s="776">
        <v>2.1</v>
      </c>
      <c r="F140" s="776">
        <f>1.5-0.6</f>
        <v>0.9</v>
      </c>
      <c r="G140" s="776">
        <v>0.3</v>
      </c>
      <c r="H140" s="776" t="s">
        <v>379</v>
      </c>
      <c r="I140" s="776"/>
      <c r="J140" s="776"/>
      <c r="K140" s="776"/>
      <c r="L140" s="776"/>
      <c r="M140" s="776"/>
      <c r="N140" s="776"/>
      <c r="O140" s="776"/>
      <c r="P140" s="776">
        <v>2020</v>
      </c>
      <c r="Q140" s="776">
        <v>18.720000000000002</v>
      </c>
      <c r="R140" s="779">
        <v>20.88</v>
      </c>
      <c r="S140" s="776">
        <v>23.040000000000003</v>
      </c>
      <c r="T140" s="776">
        <v>20.52</v>
      </c>
      <c r="U140" s="779">
        <v>23.400000000000002</v>
      </c>
      <c r="V140" s="776">
        <v>25.56</v>
      </c>
      <c r="W140" s="776">
        <v>27.720000000000002</v>
      </c>
      <c r="X140" s="779">
        <v>30.6</v>
      </c>
      <c r="Y140" s="776">
        <v>32.4</v>
      </c>
      <c r="Z140" s="776"/>
      <c r="AA140" s="776"/>
      <c r="AB140" s="777">
        <f t="shared" si="25"/>
        <v>0</v>
      </c>
      <c r="AC140" s="777">
        <f t="shared" si="26"/>
        <v>1.5625E-2</v>
      </c>
      <c r="AD140" s="777">
        <f t="shared" si="27"/>
        <v>0</v>
      </c>
    </row>
    <row r="141" spans="1:30">
      <c r="A141" s="776"/>
      <c r="B141" s="776"/>
      <c r="C141" s="776" t="s">
        <v>1405</v>
      </c>
      <c r="D141" s="772">
        <f>7.9+4.1+4.6</f>
        <v>16.600000000000001</v>
      </c>
      <c r="E141" s="776">
        <f>7.9+4.1-23.7</f>
        <v>-11.7</v>
      </c>
      <c r="G141" s="776"/>
      <c r="H141" s="776" t="s">
        <v>379</v>
      </c>
      <c r="I141" s="776"/>
      <c r="J141" s="776"/>
      <c r="K141" s="776"/>
      <c r="L141" s="776"/>
      <c r="M141" s="776"/>
      <c r="N141" s="776"/>
      <c r="O141" s="776"/>
      <c r="P141" s="776">
        <v>2021</v>
      </c>
      <c r="Q141" s="776">
        <v>18.720000000000002</v>
      </c>
      <c r="R141" s="779">
        <v>21.240000000000002</v>
      </c>
      <c r="S141" s="776">
        <v>23.040000000000003</v>
      </c>
      <c r="T141" s="776">
        <v>20.88</v>
      </c>
      <c r="U141" s="779">
        <v>23.759999999999998</v>
      </c>
      <c r="V141" s="776">
        <v>25.92</v>
      </c>
      <c r="W141" s="776">
        <v>27.720000000000002</v>
      </c>
      <c r="X141" s="779">
        <v>30.96</v>
      </c>
      <c r="Y141" s="776">
        <v>32.76</v>
      </c>
      <c r="Z141" s="776"/>
      <c r="AA141" s="776"/>
      <c r="AB141" s="777">
        <f t="shared" si="25"/>
        <v>1.7241379310344973E-2</v>
      </c>
      <c r="AC141" s="777">
        <f t="shared" si="26"/>
        <v>1.5384615384615108E-2</v>
      </c>
      <c r="AD141" s="777">
        <f t="shared" si="27"/>
        <v>1.1764705882352899E-2</v>
      </c>
    </row>
    <row r="142" spans="1:30">
      <c r="A142" s="776"/>
      <c r="B142" s="776"/>
      <c r="C142" s="785" t="s">
        <v>1404</v>
      </c>
      <c r="D142" s="785">
        <f>SUM(D139:D141)</f>
        <v>23</v>
      </c>
      <c r="E142" s="785">
        <f>SUM(E139:E141)</f>
        <v>-5.2999999999999989</v>
      </c>
      <c r="F142" s="785">
        <f>SUM(F139:F141)</f>
        <v>-2.4</v>
      </c>
      <c r="G142" s="785">
        <f>SUM(G139:G141)</f>
        <v>0</v>
      </c>
      <c r="H142" s="776" t="s">
        <v>379</v>
      </c>
      <c r="I142" s="776"/>
      <c r="J142" s="776"/>
      <c r="K142" s="776"/>
      <c r="L142" s="776"/>
      <c r="M142" s="776"/>
      <c r="N142" s="776"/>
      <c r="O142" s="776"/>
      <c r="P142" s="776">
        <v>2022</v>
      </c>
      <c r="Q142" s="776">
        <v>18.720000000000002</v>
      </c>
      <c r="R142" s="779">
        <v>21.6</v>
      </c>
      <c r="S142" s="776">
        <v>23.400000000000002</v>
      </c>
      <c r="T142" s="776">
        <v>20.88</v>
      </c>
      <c r="U142" s="779">
        <v>23.759999999999998</v>
      </c>
      <c r="V142" s="776">
        <v>25.92</v>
      </c>
      <c r="W142" s="776">
        <v>27.720000000000002</v>
      </c>
      <c r="X142" s="779">
        <v>30.96</v>
      </c>
      <c r="Y142" s="776">
        <v>32.76</v>
      </c>
      <c r="Z142" s="776"/>
      <c r="AA142" s="776"/>
      <c r="AB142" s="777">
        <f t="shared" si="25"/>
        <v>1.6949152542372836E-2</v>
      </c>
      <c r="AC142" s="777">
        <f t="shared" si="26"/>
        <v>0</v>
      </c>
      <c r="AD142" s="777">
        <f t="shared" si="27"/>
        <v>0</v>
      </c>
    </row>
    <row r="143" spans="1:30">
      <c r="A143" s="776"/>
      <c r="B143" s="776"/>
      <c r="C143" s="784" t="s">
        <v>1403</v>
      </c>
      <c r="D143" s="776">
        <f>D142-D139</f>
        <v>18.7</v>
      </c>
      <c r="E143" s="776">
        <f>E142-E139</f>
        <v>-9.5999999999999979</v>
      </c>
      <c r="F143" s="776">
        <f>F142-F139</f>
        <v>0.89999999999999991</v>
      </c>
      <c r="G143" s="776">
        <f>G142-G139</f>
        <v>0.3</v>
      </c>
      <c r="H143" s="776" t="s">
        <v>379</v>
      </c>
      <c r="I143" s="776"/>
      <c r="J143" s="776"/>
      <c r="K143" s="776"/>
      <c r="L143" s="776"/>
      <c r="M143" s="776"/>
      <c r="N143" s="776"/>
      <c r="O143" s="776"/>
      <c r="P143" s="776">
        <v>2023</v>
      </c>
      <c r="Q143" s="776">
        <v>18.720000000000002</v>
      </c>
      <c r="R143" s="779">
        <v>21.6</v>
      </c>
      <c r="S143" s="776">
        <v>23.759999999999998</v>
      </c>
      <c r="T143" s="776">
        <v>20.88</v>
      </c>
      <c r="U143" s="779">
        <v>24.12</v>
      </c>
      <c r="V143" s="776">
        <v>26.28</v>
      </c>
      <c r="W143" s="776">
        <v>27.720000000000002</v>
      </c>
      <c r="X143" s="779">
        <v>30.96</v>
      </c>
      <c r="Y143" s="776">
        <v>33.119999999999997</v>
      </c>
      <c r="Z143" s="776"/>
      <c r="AA143" s="776"/>
      <c r="AB143" s="777">
        <f t="shared" si="25"/>
        <v>0</v>
      </c>
      <c r="AC143" s="777">
        <f t="shared" si="26"/>
        <v>1.515151515151536E-2</v>
      </c>
      <c r="AD143" s="777">
        <f t="shared" si="27"/>
        <v>0</v>
      </c>
    </row>
    <row r="144" spans="1:30">
      <c r="A144" s="776"/>
      <c r="B144" s="776"/>
      <c r="C144" s="782" t="s">
        <v>1403</v>
      </c>
      <c r="D144" s="783">
        <f>D143/$C$136*3.6</f>
        <v>9.026669705949395</v>
      </c>
      <c r="E144" s="783">
        <f>E143/$C$136*3.6</f>
        <v>-4.6340122554606511</v>
      </c>
      <c r="F144" s="783">
        <f>F143/$C$136*3.6</f>
        <v>0.43443864894943612</v>
      </c>
      <c r="G144" s="783">
        <f>G143/$C$136*3.6</f>
        <v>0.14481288298314537</v>
      </c>
      <c r="H144" s="782" t="s">
        <v>1402</v>
      </c>
      <c r="I144" s="776"/>
      <c r="J144" s="776"/>
      <c r="K144" s="776"/>
      <c r="L144" s="776"/>
      <c r="M144" s="776"/>
      <c r="N144" s="776"/>
      <c r="O144" s="776"/>
      <c r="P144" s="776">
        <v>2024</v>
      </c>
      <c r="Q144" s="776">
        <v>18.720000000000002</v>
      </c>
      <c r="R144" s="779">
        <v>21.96</v>
      </c>
      <c r="S144" s="776">
        <v>24.12</v>
      </c>
      <c r="T144" s="776">
        <v>20.88</v>
      </c>
      <c r="U144" s="779">
        <v>24.12</v>
      </c>
      <c r="V144" s="776">
        <v>26.64</v>
      </c>
      <c r="W144" s="776">
        <v>27.720000000000002</v>
      </c>
      <c r="X144" s="779">
        <v>31.319999999999997</v>
      </c>
      <c r="Y144" s="776">
        <v>33.119999999999997</v>
      </c>
      <c r="Z144" s="776"/>
      <c r="AA144" s="776"/>
      <c r="AB144" s="777">
        <f t="shared" si="25"/>
        <v>1.6666666666666607E-2</v>
      </c>
      <c r="AC144" s="777">
        <f t="shared" si="26"/>
        <v>0</v>
      </c>
      <c r="AD144" s="777">
        <f t="shared" si="27"/>
        <v>1.1627906976743985E-2</v>
      </c>
    </row>
    <row r="145" spans="1:30">
      <c r="A145" s="776"/>
      <c r="B145" s="776"/>
      <c r="C145" s="781"/>
      <c r="D145" s="776"/>
      <c r="E145" s="776"/>
      <c r="F145" s="776"/>
      <c r="G145" s="776"/>
      <c r="H145" s="776"/>
      <c r="I145" s="776"/>
      <c r="J145" s="776"/>
      <c r="K145" s="776"/>
      <c r="L145" s="776"/>
      <c r="M145" s="776"/>
      <c r="N145" s="776"/>
      <c r="O145" s="776"/>
      <c r="P145" s="776">
        <v>2025</v>
      </c>
      <c r="Q145" s="776">
        <v>19.079999999999998</v>
      </c>
      <c r="R145" s="779">
        <v>21.96</v>
      </c>
      <c r="S145" s="776">
        <v>24.48</v>
      </c>
      <c r="T145" s="776">
        <v>21.240000000000002</v>
      </c>
      <c r="U145" s="779">
        <v>24.48</v>
      </c>
      <c r="V145" s="776">
        <v>27</v>
      </c>
      <c r="W145" s="776">
        <v>27.720000000000002</v>
      </c>
      <c r="X145" s="779">
        <v>31.319999999999997</v>
      </c>
      <c r="Y145" s="776">
        <v>33.119999999999997</v>
      </c>
      <c r="Z145" s="776"/>
      <c r="AA145" s="776"/>
      <c r="AB145" s="777">
        <f t="shared" si="25"/>
        <v>0</v>
      </c>
      <c r="AC145" s="777">
        <f t="shared" si="26"/>
        <v>1.4925373134328401E-2</v>
      </c>
      <c r="AD145" s="777">
        <f t="shared" si="27"/>
        <v>0</v>
      </c>
    </row>
    <row r="146" spans="1:30">
      <c r="A146" s="776"/>
      <c r="B146" s="776"/>
      <c r="C146" s="781"/>
      <c r="D146" s="776"/>
      <c r="E146" s="776"/>
      <c r="F146" s="776"/>
      <c r="G146" s="776"/>
      <c r="H146" s="776"/>
      <c r="I146" s="776"/>
      <c r="J146" s="776"/>
      <c r="K146" s="776"/>
      <c r="L146" s="776"/>
      <c r="M146" s="776"/>
      <c r="N146" s="776"/>
      <c r="O146" s="776"/>
      <c r="P146" s="776">
        <v>2026</v>
      </c>
      <c r="Q146" s="776">
        <v>19.079999999999998</v>
      </c>
      <c r="R146" s="779">
        <v>22.32</v>
      </c>
      <c r="S146" s="776">
        <v>24.840000000000003</v>
      </c>
      <c r="T146" s="776">
        <v>21.240000000000002</v>
      </c>
      <c r="U146" s="779">
        <v>24.840000000000003</v>
      </c>
      <c r="V146" s="776">
        <v>27.36</v>
      </c>
      <c r="W146" s="776">
        <v>27.720000000000002</v>
      </c>
      <c r="X146" s="779">
        <v>31.319999999999997</v>
      </c>
      <c r="Y146" s="776">
        <v>33.480000000000004</v>
      </c>
      <c r="Z146" s="776"/>
      <c r="AA146" s="776"/>
      <c r="AB146" s="777">
        <f t="shared" si="25"/>
        <v>1.6393442622950838E-2</v>
      </c>
      <c r="AC146" s="777">
        <f t="shared" si="26"/>
        <v>1.4705882352941346E-2</v>
      </c>
      <c r="AD146" s="777">
        <f t="shared" si="27"/>
        <v>0</v>
      </c>
    </row>
    <row r="147" spans="1:30">
      <c r="A147" s="776"/>
      <c r="B147" s="776"/>
      <c r="C147" s="781"/>
      <c r="D147" s="776"/>
      <c r="E147" s="776"/>
      <c r="F147" s="776"/>
      <c r="G147" s="776"/>
      <c r="H147" s="776"/>
      <c r="I147" s="776"/>
      <c r="J147" s="776"/>
      <c r="K147" s="776"/>
      <c r="L147" s="776"/>
      <c r="M147" s="776"/>
      <c r="N147" s="776"/>
      <c r="O147" s="776"/>
      <c r="P147" s="776">
        <v>2027</v>
      </c>
      <c r="Q147" s="776">
        <v>19.079999999999998</v>
      </c>
      <c r="R147" s="779">
        <v>22.32</v>
      </c>
      <c r="S147" s="776">
        <v>25.2</v>
      </c>
      <c r="T147" s="776">
        <v>21.240000000000002</v>
      </c>
      <c r="U147" s="779">
        <v>24.840000000000003</v>
      </c>
      <c r="V147" s="776">
        <v>27.720000000000002</v>
      </c>
      <c r="W147" s="776">
        <v>27.720000000000002</v>
      </c>
      <c r="X147" s="779">
        <v>31.680000000000003</v>
      </c>
      <c r="Y147" s="776">
        <v>33.840000000000003</v>
      </c>
      <c r="Z147" s="776"/>
      <c r="AA147" s="776"/>
      <c r="AB147" s="777">
        <f t="shared" si="25"/>
        <v>0</v>
      </c>
      <c r="AC147" s="777">
        <f t="shared" si="26"/>
        <v>0</v>
      </c>
      <c r="AD147" s="777">
        <f t="shared" si="27"/>
        <v>1.1494252873563537E-2</v>
      </c>
    </row>
    <row r="148" spans="1:30">
      <c r="A148" s="776"/>
      <c r="B148" s="776"/>
      <c r="C148" s="781"/>
      <c r="D148" s="776"/>
      <c r="E148" s="776"/>
      <c r="F148" s="776"/>
      <c r="G148" s="776"/>
      <c r="H148" s="776"/>
      <c r="I148" s="776"/>
      <c r="J148" s="776"/>
      <c r="K148" s="776"/>
      <c r="L148" s="776"/>
      <c r="M148" s="776"/>
      <c r="N148" s="776"/>
      <c r="O148" s="776"/>
      <c r="P148" s="776">
        <v>2028</v>
      </c>
      <c r="Q148" s="776">
        <v>19.079999999999998</v>
      </c>
      <c r="R148" s="779">
        <v>22.68</v>
      </c>
      <c r="S148" s="776">
        <v>25.56</v>
      </c>
      <c r="T148" s="776">
        <v>21.240000000000002</v>
      </c>
      <c r="U148" s="779">
        <v>25.2</v>
      </c>
      <c r="V148" s="776">
        <v>28.08</v>
      </c>
      <c r="W148" s="776">
        <v>27.720000000000002</v>
      </c>
      <c r="X148" s="779">
        <v>31.680000000000003</v>
      </c>
      <c r="Y148" s="776">
        <v>33.840000000000003</v>
      </c>
      <c r="Z148" s="776"/>
      <c r="AA148" s="776"/>
      <c r="AB148" s="777">
        <f t="shared" si="25"/>
        <v>1.6129032258064502E-2</v>
      </c>
      <c r="AC148" s="777">
        <f t="shared" si="26"/>
        <v>1.4492753623188248E-2</v>
      </c>
      <c r="AD148" s="777">
        <f t="shared" si="27"/>
        <v>0</v>
      </c>
    </row>
    <row r="149" spans="1:30">
      <c r="A149" s="776"/>
      <c r="B149" s="776"/>
      <c r="C149" s="776" t="s">
        <v>1401</v>
      </c>
      <c r="D149" s="776" t="s">
        <v>197</v>
      </c>
      <c r="E149" s="776" t="s">
        <v>99</v>
      </c>
      <c r="F149" s="776" t="s">
        <v>1400</v>
      </c>
      <c r="G149" s="776" t="s">
        <v>49</v>
      </c>
      <c r="H149" s="776"/>
      <c r="I149" s="776"/>
      <c r="J149" s="776"/>
      <c r="K149" s="776"/>
      <c r="L149" s="776"/>
      <c r="M149" s="776"/>
      <c r="N149" s="776"/>
      <c r="O149" s="776"/>
      <c r="P149" s="776">
        <v>2029</v>
      </c>
      <c r="Q149" s="776">
        <v>19.079999999999998</v>
      </c>
      <c r="R149" s="779">
        <v>23.040000000000003</v>
      </c>
      <c r="S149" s="776">
        <v>25.56</v>
      </c>
      <c r="T149" s="776">
        <v>21.240000000000002</v>
      </c>
      <c r="U149" s="779">
        <v>25.56</v>
      </c>
      <c r="V149" s="776">
        <v>28.44</v>
      </c>
      <c r="W149" s="776">
        <v>27.720000000000002</v>
      </c>
      <c r="X149" s="779">
        <v>32.04</v>
      </c>
      <c r="Y149" s="776">
        <v>34.200000000000003</v>
      </c>
      <c r="Z149" s="776"/>
      <c r="AA149" s="776"/>
      <c r="AB149" s="777">
        <f t="shared" si="25"/>
        <v>1.5873015873016039E-2</v>
      </c>
      <c r="AC149" s="777">
        <f t="shared" si="26"/>
        <v>1.4285714285714235E-2</v>
      </c>
      <c r="AD149" s="777">
        <f t="shared" si="27"/>
        <v>1.1363636363636243E-2</v>
      </c>
    </row>
    <row r="150" spans="1:30">
      <c r="A150" s="776"/>
      <c r="B150" s="776"/>
      <c r="C150" s="772">
        <v>2013</v>
      </c>
      <c r="D150" s="778">
        <f>D127/$D$132/$C$135*3.6+D$144</f>
        <v>58.226628860700288</v>
      </c>
      <c r="E150" s="778">
        <f>D127/$D$132/$C$135*3.6+E$144</f>
        <v>44.565946899290239</v>
      </c>
      <c r="F150" s="778">
        <f>E127/$E$132/$C$135*3.6+F$144</f>
        <v>27.666716296920736</v>
      </c>
      <c r="G150" s="778">
        <f>F127/$F$132/$C$135*3.6+G$144</f>
        <v>9.7657363779029343</v>
      </c>
      <c r="H150" s="776"/>
      <c r="I150" s="776"/>
      <c r="J150" s="776"/>
      <c r="K150" s="776"/>
      <c r="L150" s="776"/>
      <c r="M150" s="776"/>
      <c r="N150" s="776"/>
      <c r="O150" s="776"/>
      <c r="P150" s="776">
        <v>2030</v>
      </c>
      <c r="Q150" s="776">
        <v>19.079999999999998</v>
      </c>
      <c r="R150" s="779">
        <v>23.040000000000003</v>
      </c>
      <c r="S150" s="776">
        <v>25.92</v>
      </c>
      <c r="T150" s="776">
        <v>21.240000000000002</v>
      </c>
      <c r="U150" s="779">
        <v>25.56</v>
      </c>
      <c r="V150" s="776">
        <v>28.8</v>
      </c>
      <c r="W150" s="776">
        <v>27.720000000000002</v>
      </c>
      <c r="X150" s="779">
        <v>32.04</v>
      </c>
      <c r="Y150" s="776">
        <v>34.200000000000003</v>
      </c>
      <c r="Z150" s="776"/>
      <c r="AA150" s="776"/>
      <c r="AB150" s="777">
        <f t="shared" si="25"/>
        <v>0</v>
      </c>
      <c r="AC150" s="777">
        <f t="shared" si="26"/>
        <v>0</v>
      </c>
      <c r="AD150" s="777">
        <f t="shared" si="27"/>
        <v>0</v>
      </c>
    </row>
    <row r="151" spans="1:30">
      <c r="A151" s="776"/>
      <c r="B151" s="776"/>
      <c r="C151" s="772">
        <v>2020</v>
      </c>
      <c r="D151" s="778">
        <f>D128/$D$132/$C$135*3.6+D$144</f>
        <v>61.011532209082418</v>
      </c>
      <c r="E151" s="778">
        <f>D128/$D$132/$C$135*3.6+E$144</f>
        <v>47.350850247672369</v>
      </c>
      <c r="F151" s="778">
        <f>E128/$E$132/$C$135*3.6+F$144</f>
        <v>28.951257695409954</v>
      </c>
      <c r="G151" s="778">
        <f>F128/$F$132/$C$135*3.6+G$144</f>
        <v>11.443804429342432</v>
      </c>
      <c r="H151" s="776"/>
      <c r="I151" s="776"/>
      <c r="J151" s="776"/>
      <c r="K151" s="776"/>
      <c r="L151" s="776"/>
      <c r="M151" s="776"/>
      <c r="N151" s="776"/>
      <c r="O151" s="776"/>
      <c r="P151" s="776">
        <v>2031</v>
      </c>
      <c r="Q151" s="776">
        <v>19.079999999999998</v>
      </c>
      <c r="R151" s="779">
        <v>23.400000000000002</v>
      </c>
      <c r="S151" s="776">
        <v>26.28</v>
      </c>
      <c r="T151" s="776">
        <v>21.240000000000002</v>
      </c>
      <c r="U151" s="779">
        <v>25.92</v>
      </c>
      <c r="V151" s="776">
        <v>29.16</v>
      </c>
      <c r="W151" s="776">
        <v>27.720000000000002</v>
      </c>
      <c r="X151" s="779">
        <v>32.04</v>
      </c>
      <c r="Y151" s="776">
        <v>34.56</v>
      </c>
      <c r="Z151" s="776"/>
      <c r="AA151" s="776"/>
      <c r="AB151" s="777">
        <f t="shared" si="25"/>
        <v>1.5625E-2</v>
      </c>
      <c r="AC151" s="777">
        <f t="shared" si="26"/>
        <v>1.4084507042253724E-2</v>
      </c>
      <c r="AD151" s="777">
        <f t="shared" si="27"/>
        <v>0</v>
      </c>
    </row>
    <row r="152" spans="1:30">
      <c r="A152" s="776"/>
      <c r="B152" s="776"/>
      <c r="C152" s="772">
        <v>2030</v>
      </c>
      <c r="D152" s="778">
        <f>D129/$D$132/$C$135*3.6+D$144</f>
        <v>66.117188347782985</v>
      </c>
      <c r="E152" s="778">
        <f>D129/$D$132/$C$135*3.6+E$144</f>
        <v>52.456506386372936</v>
      </c>
      <c r="F152" s="778">
        <f>E129/$E$132/$C$135*3.6+F$144</f>
        <v>31.520340492388375</v>
      </c>
      <c r="G152" s="778">
        <f>F129/$F$132/$C$135*3.6+G$144</f>
        <v>12.22690285334753</v>
      </c>
      <c r="H152" s="776"/>
      <c r="I152" s="776"/>
      <c r="J152" s="776"/>
      <c r="K152" s="776"/>
      <c r="L152" s="776"/>
      <c r="M152" s="776"/>
      <c r="N152" s="776"/>
      <c r="O152" s="776"/>
      <c r="P152" s="776">
        <v>2032</v>
      </c>
      <c r="Q152" s="776">
        <v>19.079999999999998</v>
      </c>
      <c r="R152" s="779">
        <v>23.400000000000002</v>
      </c>
      <c r="S152" s="776">
        <v>26.64</v>
      </c>
      <c r="T152" s="776">
        <v>21.240000000000002</v>
      </c>
      <c r="U152" s="779">
        <v>25.92</v>
      </c>
      <c r="V152" s="776">
        <v>29.52</v>
      </c>
      <c r="W152" s="776">
        <v>27.720000000000002</v>
      </c>
      <c r="X152" s="779">
        <v>32.4</v>
      </c>
      <c r="Y152" s="776">
        <v>34.92</v>
      </c>
      <c r="Z152" s="776"/>
      <c r="AA152" s="776"/>
      <c r="AB152" s="777">
        <f t="shared" si="25"/>
        <v>0</v>
      </c>
      <c r="AC152" s="777">
        <f t="shared" si="26"/>
        <v>0</v>
      </c>
      <c r="AD152" s="777">
        <f t="shared" si="27"/>
        <v>1.1235955056179803E-2</v>
      </c>
    </row>
    <row r="153" spans="1:30">
      <c r="A153" s="776"/>
      <c r="B153" s="776"/>
      <c r="C153" s="772">
        <v>2040</v>
      </c>
      <c r="D153" s="778">
        <f>D130/$D$132/$C$135*3.6+D$144</f>
        <v>70.294543370356166</v>
      </c>
      <c r="E153" s="778">
        <f>D130/$D$132/$C$135*3.6+E$144</f>
        <v>56.633861408946117</v>
      </c>
      <c r="F153" s="778">
        <f>E130/$E$132/$C$135*3.6+F$144</f>
        <v>33.061790170575428</v>
      </c>
      <c r="G153" s="778">
        <f>F130/$F$132/$C$135*3.6+G$144</f>
        <v>12.674387667064732</v>
      </c>
      <c r="H153" s="776"/>
      <c r="I153" s="776"/>
      <c r="J153" s="776"/>
      <c r="K153" s="776"/>
      <c r="L153" s="776"/>
      <c r="M153" s="776"/>
      <c r="N153" s="776"/>
      <c r="O153" s="776"/>
      <c r="P153" s="776">
        <v>2033</v>
      </c>
      <c r="Q153" s="776">
        <v>19.079999999999998</v>
      </c>
      <c r="R153" s="779">
        <v>23.759999999999998</v>
      </c>
      <c r="S153" s="776">
        <v>27</v>
      </c>
      <c r="T153" s="776">
        <v>21.240000000000002</v>
      </c>
      <c r="U153" s="779">
        <v>26.28</v>
      </c>
      <c r="V153" s="776">
        <v>29.880000000000003</v>
      </c>
      <c r="W153" s="776">
        <v>27.720000000000002</v>
      </c>
      <c r="X153" s="779">
        <v>32.4</v>
      </c>
      <c r="Y153" s="776">
        <v>34.92</v>
      </c>
      <c r="Z153" s="776"/>
      <c r="AA153" s="776"/>
      <c r="AB153" s="777">
        <f t="shared" si="25"/>
        <v>1.5384615384615108E-2</v>
      </c>
      <c r="AC153" s="777">
        <f t="shared" si="26"/>
        <v>1.388888888888884E-2</v>
      </c>
      <c r="AD153" s="777">
        <f t="shared" si="27"/>
        <v>0</v>
      </c>
    </row>
    <row r="154" spans="1:30">
      <c r="A154" s="776"/>
      <c r="B154" s="776"/>
      <c r="C154" s="776"/>
      <c r="D154" s="776"/>
      <c r="E154" s="776"/>
      <c r="F154" s="776"/>
      <c r="G154" s="776"/>
      <c r="H154" s="776"/>
      <c r="I154" s="776"/>
      <c r="J154" s="776"/>
      <c r="K154" s="776"/>
      <c r="L154" s="776"/>
      <c r="M154" s="776"/>
      <c r="N154" s="776"/>
      <c r="O154" s="776"/>
      <c r="P154" s="776">
        <v>2034</v>
      </c>
      <c r="Q154" s="776">
        <v>19.079999999999998</v>
      </c>
      <c r="R154" s="779">
        <v>23.759999999999998</v>
      </c>
      <c r="S154" s="776">
        <v>27.36</v>
      </c>
      <c r="T154" s="776">
        <v>21.240000000000002</v>
      </c>
      <c r="U154" s="779">
        <v>26.28</v>
      </c>
      <c r="V154" s="776">
        <v>30.240000000000002</v>
      </c>
      <c r="W154" s="776">
        <v>27.720000000000002</v>
      </c>
      <c r="X154" s="779">
        <v>32.4</v>
      </c>
      <c r="Y154" s="776">
        <v>35.28</v>
      </c>
      <c r="Z154" s="776"/>
      <c r="AA154" s="776"/>
      <c r="AB154" s="777">
        <f t="shared" si="25"/>
        <v>0</v>
      </c>
      <c r="AC154" s="777">
        <f t="shared" si="26"/>
        <v>0</v>
      </c>
      <c r="AD154" s="777">
        <f t="shared" si="27"/>
        <v>0</v>
      </c>
    </row>
    <row r="155" spans="1:30">
      <c r="A155" s="776"/>
      <c r="B155" s="776"/>
      <c r="C155" s="776"/>
      <c r="D155" s="776" t="s">
        <v>197</v>
      </c>
      <c r="E155" s="776" t="s">
        <v>99</v>
      </c>
      <c r="F155" s="776" t="s">
        <v>1400</v>
      </c>
      <c r="G155" s="776" t="s">
        <v>49</v>
      </c>
      <c r="H155" s="776"/>
      <c r="I155" s="776"/>
      <c r="J155" s="776"/>
      <c r="K155" s="776"/>
      <c r="L155" s="776"/>
      <c r="M155" s="776"/>
      <c r="N155" s="776"/>
      <c r="O155" s="776"/>
      <c r="P155" s="776">
        <v>2035</v>
      </c>
      <c r="Q155" s="776">
        <v>19.079999999999998</v>
      </c>
      <c r="R155" s="779">
        <v>24.12</v>
      </c>
      <c r="S155" s="776">
        <v>27.720000000000002</v>
      </c>
      <c r="T155" s="776">
        <v>21.240000000000002</v>
      </c>
      <c r="U155" s="779">
        <v>26.64</v>
      </c>
      <c r="V155" s="776">
        <v>30.6</v>
      </c>
      <c r="W155" s="776">
        <v>27.720000000000002</v>
      </c>
      <c r="X155" s="779">
        <v>32.76</v>
      </c>
      <c r="Y155" s="776">
        <v>35.64</v>
      </c>
      <c r="Z155" s="776"/>
      <c r="AA155" s="776"/>
      <c r="AB155" s="777">
        <f t="shared" si="25"/>
        <v>1.515151515151536E-2</v>
      </c>
      <c r="AC155" s="777">
        <f t="shared" si="26"/>
        <v>1.3698630136986356E-2</v>
      </c>
      <c r="AD155" s="777">
        <f t="shared" si="27"/>
        <v>1.1111111111111072E-2</v>
      </c>
    </row>
    <row r="156" spans="1:30">
      <c r="A156" s="776"/>
      <c r="B156" s="776"/>
      <c r="C156" s="772">
        <v>2013</v>
      </c>
      <c r="D156" s="778">
        <f>D150</f>
        <v>58.226628860700288</v>
      </c>
      <c r="E156" s="778">
        <f>E150</f>
        <v>44.565946899290239</v>
      </c>
      <c r="F156" s="778">
        <f>F150</f>
        <v>27.666716296920736</v>
      </c>
      <c r="G156" s="778">
        <f>G150</f>
        <v>9.7657363779029343</v>
      </c>
      <c r="H156" s="776"/>
      <c r="I156" s="776"/>
      <c r="J156" s="776"/>
      <c r="K156" s="776"/>
      <c r="L156" s="776"/>
      <c r="M156" s="776"/>
      <c r="N156" s="776"/>
      <c r="O156" s="776"/>
      <c r="P156" s="776">
        <v>2040</v>
      </c>
      <c r="Q156" s="776">
        <v>19.079999999999998</v>
      </c>
      <c r="R156" s="779">
        <v>24.840000000000003</v>
      </c>
      <c r="S156" s="776">
        <v>29.52</v>
      </c>
      <c r="T156" s="776">
        <v>21.240000000000002</v>
      </c>
      <c r="U156" s="779">
        <v>27.36</v>
      </c>
      <c r="V156" s="776">
        <v>32.76</v>
      </c>
      <c r="W156" s="776">
        <v>27.720000000000002</v>
      </c>
      <c r="X156" s="779">
        <v>33.119999999999997</v>
      </c>
      <c r="Y156" s="776">
        <v>36.72</v>
      </c>
      <c r="Z156" s="776"/>
      <c r="AA156" s="776"/>
      <c r="AB156" s="776"/>
      <c r="AC156" s="776"/>
      <c r="AD156" s="776"/>
    </row>
    <row r="157" spans="1:30">
      <c r="A157" s="776"/>
      <c r="B157" s="776"/>
      <c r="C157" s="772">
        <v>2014</v>
      </c>
      <c r="D157" s="778">
        <f t="shared" ref="D157:E162" si="28">D156+(D$163-D$156)/7</f>
        <v>58.624472196183447</v>
      </c>
      <c r="E157" s="778">
        <f t="shared" si="28"/>
        <v>44.963790234773398</v>
      </c>
      <c r="F157" s="780">
        <f>F156+(F158-F156)/2</f>
        <v>27.476829299726518</v>
      </c>
      <c r="G157" s="778">
        <v>9</v>
      </c>
      <c r="H157" s="776"/>
      <c r="I157" s="776"/>
      <c r="J157" s="776"/>
      <c r="K157" s="776"/>
      <c r="L157" s="776"/>
      <c r="M157" s="776"/>
      <c r="N157" s="776"/>
      <c r="O157" s="776"/>
      <c r="P157" s="776">
        <v>2045</v>
      </c>
      <c r="Q157" s="776">
        <v>19.079999999999998</v>
      </c>
      <c r="R157" s="779">
        <v>25.56</v>
      </c>
      <c r="S157" s="776">
        <v>30.96</v>
      </c>
      <c r="T157" s="776">
        <v>21.240000000000002</v>
      </c>
      <c r="U157" s="779">
        <v>28.44</v>
      </c>
      <c r="V157" s="776">
        <v>34.56</v>
      </c>
      <c r="W157" s="776">
        <v>27.720000000000002</v>
      </c>
      <c r="X157" s="779">
        <v>33.840000000000003</v>
      </c>
      <c r="Y157" s="776">
        <v>38.159999999999997</v>
      </c>
      <c r="Z157" s="776"/>
      <c r="AA157" s="776"/>
      <c r="AB157" s="776"/>
      <c r="AC157" s="776"/>
      <c r="AD157" s="776"/>
    </row>
    <row r="158" spans="1:30">
      <c r="A158" s="776"/>
      <c r="B158" s="776"/>
      <c r="C158" s="772">
        <v>2015</v>
      </c>
      <c r="D158" s="778">
        <f t="shared" si="28"/>
        <v>59.022315531666607</v>
      </c>
      <c r="E158" s="778">
        <f t="shared" si="28"/>
        <v>45.361633570256558</v>
      </c>
      <c r="F158" s="778">
        <v>27.286942302532299</v>
      </c>
      <c r="G158" s="778">
        <v>9.2947309658697694</v>
      </c>
      <c r="H158" s="776"/>
      <c r="I158" s="776" t="s">
        <v>197</v>
      </c>
      <c r="J158" s="776" t="s">
        <v>99</v>
      </c>
      <c r="K158" s="776" t="s">
        <v>1400</v>
      </c>
      <c r="L158" s="776" t="s">
        <v>49</v>
      </c>
      <c r="M158" s="776"/>
      <c r="N158" s="776"/>
      <c r="O158" s="776"/>
      <c r="P158" s="776">
        <v>2050</v>
      </c>
      <c r="Q158" s="776">
        <v>19.079999999999998</v>
      </c>
      <c r="R158" s="779">
        <v>26.64</v>
      </c>
      <c r="S158" s="776">
        <v>32.76</v>
      </c>
      <c r="T158" s="776">
        <v>21.240000000000002</v>
      </c>
      <c r="U158" s="779">
        <v>29.52</v>
      </c>
      <c r="V158" s="776">
        <v>36.72</v>
      </c>
      <c r="W158" s="776">
        <v>27.720000000000002</v>
      </c>
      <c r="X158" s="779">
        <v>34.56</v>
      </c>
      <c r="Y158" s="776">
        <v>39.6</v>
      </c>
      <c r="Z158" s="776"/>
      <c r="AA158" s="776"/>
      <c r="AB158" s="776"/>
      <c r="AC158" s="776"/>
      <c r="AD158" s="776"/>
    </row>
    <row r="159" spans="1:30">
      <c r="A159" s="776"/>
      <c r="B159" s="776"/>
      <c r="C159" s="772">
        <v>2016</v>
      </c>
      <c r="D159" s="778">
        <f t="shared" si="28"/>
        <v>59.420158867149766</v>
      </c>
      <c r="E159" s="778">
        <f t="shared" si="28"/>
        <v>45.759476905739717</v>
      </c>
      <c r="F159" s="778">
        <f t="shared" ref="F159:G162" si="29">F158+(F$163-F$158)/5</f>
        <v>27.619805381107831</v>
      </c>
      <c r="G159" s="778">
        <f t="shared" si="29"/>
        <v>9.7245456585643026</v>
      </c>
      <c r="H159" s="776"/>
      <c r="I159" s="777">
        <f t="shared" ref="I159:I173" si="30">D159/D158-1</f>
        <v>6.7405579042338903E-3</v>
      </c>
      <c r="J159" s="777">
        <f t="shared" ref="J159:J173" si="31">E159/E158-1</f>
        <v>8.7704807823327791E-3</v>
      </c>
      <c r="K159" s="777">
        <f t="shared" ref="K159:K173" si="32">F159/F158-1</f>
        <v>1.2198621409649224E-2</v>
      </c>
      <c r="L159" s="777">
        <f t="shared" ref="L159:L173" si="33">G159/G158-1</f>
        <v>4.6242833092513536E-2</v>
      </c>
      <c r="M159" s="776"/>
      <c r="N159" s="776"/>
      <c r="O159" s="776"/>
      <c r="P159" s="776"/>
      <c r="Q159" s="776"/>
      <c r="R159" s="776"/>
      <c r="S159" s="776"/>
      <c r="T159" s="776"/>
      <c r="U159" s="776"/>
      <c r="V159" s="776"/>
      <c r="W159" s="776"/>
      <c r="X159" s="776"/>
      <c r="Y159" s="776"/>
      <c r="Z159" s="776"/>
      <c r="AA159" s="776"/>
      <c r="AB159" s="776"/>
      <c r="AC159" s="776"/>
      <c r="AD159" s="776"/>
    </row>
    <row r="160" spans="1:30">
      <c r="A160" s="776"/>
      <c r="B160" s="776"/>
      <c r="C160" s="772">
        <v>2017</v>
      </c>
      <c r="D160" s="778">
        <f t="shared" si="28"/>
        <v>59.818002202632925</v>
      </c>
      <c r="E160" s="778">
        <f t="shared" si="28"/>
        <v>46.157320241222877</v>
      </c>
      <c r="F160" s="778">
        <f t="shared" si="29"/>
        <v>27.952668459683363</v>
      </c>
      <c r="G160" s="778">
        <f t="shared" si="29"/>
        <v>10.154360351258836</v>
      </c>
      <c r="H160" s="776"/>
      <c r="I160" s="777">
        <f t="shared" si="30"/>
        <v>6.6954269909080821E-3</v>
      </c>
      <c r="J160" s="777">
        <f t="shared" si="31"/>
        <v>8.6942282208051225E-3</v>
      </c>
      <c r="K160" s="777">
        <f t="shared" si="32"/>
        <v>1.2051608401383307E-2</v>
      </c>
      <c r="L160" s="777">
        <f t="shared" si="33"/>
        <v>4.4198948494421408E-2</v>
      </c>
      <c r="M160" s="776"/>
      <c r="N160" s="776"/>
      <c r="O160" s="776"/>
      <c r="P160" s="776"/>
      <c r="Q160" s="776"/>
      <c r="R160" s="776"/>
      <c r="S160" s="776"/>
      <c r="T160" s="776"/>
      <c r="U160" s="776"/>
      <c r="V160" s="776"/>
      <c r="W160" s="776"/>
      <c r="X160" s="776"/>
      <c r="Y160" s="776"/>
      <c r="Z160" s="776"/>
      <c r="AA160" s="776"/>
      <c r="AB160" s="776"/>
      <c r="AC160" s="776"/>
      <c r="AD160" s="776"/>
    </row>
    <row r="161" spans="1:30">
      <c r="A161" s="776"/>
      <c r="B161" s="776"/>
      <c r="C161" s="772">
        <v>2018</v>
      </c>
      <c r="D161" s="778">
        <f t="shared" si="28"/>
        <v>60.215845538116085</v>
      </c>
      <c r="E161" s="778">
        <f t="shared" si="28"/>
        <v>46.555163576706036</v>
      </c>
      <c r="F161" s="778">
        <f t="shared" si="29"/>
        <v>28.285531538258894</v>
      </c>
      <c r="G161" s="778">
        <f t="shared" si="29"/>
        <v>10.584175043953369</v>
      </c>
      <c r="H161" s="776"/>
      <c r="I161" s="777">
        <f t="shared" si="30"/>
        <v>6.650896399640116E-3</v>
      </c>
      <c r="J161" s="777">
        <f t="shared" si="31"/>
        <v>8.6192901451815906E-3</v>
      </c>
      <c r="K161" s="777">
        <f t="shared" si="32"/>
        <v>1.19080966833498E-2</v>
      </c>
      <c r="L161" s="777">
        <f t="shared" si="33"/>
        <v>4.2328091364341791E-2</v>
      </c>
      <c r="M161" s="776"/>
      <c r="N161" s="776"/>
      <c r="O161" s="776"/>
      <c r="P161" s="776"/>
      <c r="Q161" s="776"/>
      <c r="R161" s="776"/>
      <c r="S161" s="776"/>
      <c r="T161" s="776"/>
      <c r="U161" s="776"/>
      <c r="V161" s="776"/>
      <c r="W161" s="776"/>
      <c r="X161" s="776"/>
      <c r="Y161" s="776"/>
      <c r="Z161" s="776"/>
      <c r="AA161" s="776"/>
      <c r="AB161" s="776"/>
      <c r="AC161" s="776"/>
      <c r="AD161" s="776"/>
    </row>
    <row r="162" spans="1:30">
      <c r="A162" s="776"/>
      <c r="B162" s="776"/>
      <c r="C162" s="772">
        <v>2019</v>
      </c>
      <c r="D162" s="778">
        <f t="shared" si="28"/>
        <v>60.613688873599244</v>
      </c>
      <c r="E162" s="778">
        <f t="shared" si="28"/>
        <v>46.953006912189196</v>
      </c>
      <c r="F162" s="778">
        <f t="shared" si="29"/>
        <v>28.618394616834426</v>
      </c>
      <c r="G162" s="778">
        <f t="shared" si="29"/>
        <v>11.013989736647902</v>
      </c>
      <c r="H162" s="776"/>
      <c r="I162" s="777">
        <f t="shared" si="30"/>
        <v>6.6069542315290164E-3</v>
      </c>
      <c r="J162" s="777">
        <f t="shared" si="31"/>
        <v>8.545632856120422E-3</v>
      </c>
      <c r="K162" s="777">
        <f t="shared" si="32"/>
        <v>1.1767962646390462E-2</v>
      </c>
      <c r="L162" s="777">
        <f t="shared" si="33"/>
        <v>4.060918219035714E-2</v>
      </c>
      <c r="M162" s="776"/>
      <c r="N162" s="776"/>
      <c r="O162" s="776"/>
      <c r="P162" s="776"/>
      <c r="Q162" s="776"/>
      <c r="R162" s="776"/>
      <c r="S162" s="776"/>
      <c r="T162" s="776"/>
      <c r="U162" s="776"/>
      <c r="V162" s="776"/>
      <c r="W162" s="776"/>
      <c r="X162" s="776"/>
      <c r="Y162" s="776"/>
      <c r="Z162" s="776"/>
      <c r="AA162" s="776"/>
      <c r="AB162" s="776"/>
      <c r="AC162" s="776"/>
      <c r="AD162" s="776"/>
    </row>
    <row r="163" spans="1:30">
      <c r="A163" s="776"/>
      <c r="B163" s="776"/>
      <c r="C163" s="772">
        <v>2020</v>
      </c>
      <c r="D163" s="778">
        <f>D151</f>
        <v>61.011532209082418</v>
      </c>
      <c r="E163" s="778">
        <f>E151</f>
        <v>47.350850247672369</v>
      </c>
      <c r="F163" s="778">
        <f>F151</f>
        <v>28.951257695409954</v>
      </c>
      <c r="G163" s="778">
        <f>G151</f>
        <v>11.443804429342432</v>
      </c>
      <c r="H163" s="776"/>
      <c r="I163" s="777">
        <f t="shared" si="30"/>
        <v>6.563588900071915E-3</v>
      </c>
      <c r="J163" s="777">
        <f t="shared" si="31"/>
        <v>8.4732237964484369E-3</v>
      </c>
      <c r="K163" s="777">
        <f t="shared" si="32"/>
        <v>1.1631088432183523E-2</v>
      </c>
      <c r="L163" s="777">
        <f t="shared" si="33"/>
        <v>3.9024431924461034E-2</v>
      </c>
      <c r="M163" s="776"/>
      <c r="N163" s="776"/>
      <c r="O163" s="776"/>
      <c r="P163" s="776"/>
      <c r="Q163" s="776"/>
      <c r="R163" s="776"/>
      <c r="S163" s="776"/>
      <c r="T163" s="776"/>
      <c r="U163" s="776"/>
      <c r="V163" s="776"/>
      <c r="W163" s="776"/>
      <c r="X163" s="776"/>
      <c r="Y163" s="776"/>
      <c r="Z163" s="776"/>
      <c r="AA163" s="776"/>
      <c r="AB163" s="776"/>
      <c r="AC163" s="776"/>
      <c r="AD163" s="776"/>
    </row>
    <row r="164" spans="1:30">
      <c r="A164" s="776"/>
      <c r="B164" s="776"/>
      <c r="C164" s="772">
        <v>2021</v>
      </c>
      <c r="D164" s="778">
        <f t="shared" ref="D164:D172" si="34">D163+(D$173-D$163)/10</f>
        <v>61.522097822952475</v>
      </c>
      <c r="E164" s="778">
        <f t="shared" ref="E164:E172" si="35">E163+(E$173-E$163)/10</f>
        <v>47.861415861542426</v>
      </c>
      <c r="F164" s="778">
        <f t="shared" ref="F164:F172" si="36">F163+(F$173-F$163)/10</f>
        <v>29.208165975107796</v>
      </c>
      <c r="G164" s="778">
        <f t="shared" ref="G164:G172" si="37">G163+(G$173-G$163)/10</f>
        <v>11.522114271742941</v>
      </c>
      <c r="H164" s="776"/>
      <c r="I164" s="777">
        <f t="shared" si="30"/>
        <v>8.3683460385879371E-3</v>
      </c>
      <c r="J164" s="777">
        <f t="shared" si="31"/>
        <v>1.0782607095743746E-2</v>
      </c>
      <c r="K164" s="777">
        <f t="shared" si="32"/>
        <v>8.8738210408929596E-3</v>
      </c>
      <c r="L164" s="777">
        <f t="shared" si="33"/>
        <v>6.8429902733848635E-3</v>
      </c>
      <c r="M164" s="776"/>
      <c r="N164" s="776"/>
      <c r="O164" s="776"/>
      <c r="P164" s="776"/>
      <c r="Q164" s="776"/>
      <c r="R164" s="776"/>
      <c r="S164" s="776"/>
      <c r="T164" s="776"/>
      <c r="U164" s="776"/>
      <c r="V164" s="776"/>
      <c r="W164" s="776"/>
      <c r="X164" s="776"/>
      <c r="Y164" s="776"/>
      <c r="Z164" s="776"/>
      <c r="AA164" s="776"/>
      <c r="AB164" s="776"/>
      <c r="AC164" s="776"/>
      <c r="AD164" s="776"/>
    </row>
    <row r="165" spans="1:30">
      <c r="A165" s="776"/>
      <c r="B165" s="776"/>
      <c r="C165" s="772">
        <v>2022</v>
      </c>
      <c r="D165" s="778">
        <f t="shared" si="34"/>
        <v>62.032663436822531</v>
      </c>
      <c r="E165" s="778">
        <f t="shared" si="35"/>
        <v>48.371981475412483</v>
      </c>
      <c r="F165" s="778">
        <f t="shared" si="36"/>
        <v>29.465074254805639</v>
      </c>
      <c r="G165" s="778">
        <f t="shared" si="37"/>
        <v>11.600424114143451</v>
      </c>
      <c r="H165" s="776"/>
      <c r="I165" s="777">
        <f t="shared" si="30"/>
        <v>8.2988979884814906E-3</v>
      </c>
      <c r="J165" s="777">
        <f t="shared" si="31"/>
        <v>1.0667582742371451E-2</v>
      </c>
      <c r="K165" s="777">
        <f t="shared" si="32"/>
        <v>8.7957689612141454E-3</v>
      </c>
      <c r="L165" s="777">
        <f t="shared" si="33"/>
        <v>6.7964820130761439E-3</v>
      </c>
      <c r="M165" s="776"/>
      <c r="N165" s="776"/>
      <c r="O165" s="776"/>
      <c r="P165" s="776"/>
      <c r="Q165" s="776"/>
      <c r="R165" s="776"/>
      <c r="S165" s="776"/>
      <c r="T165" s="776"/>
      <c r="U165" s="776"/>
      <c r="V165" s="776"/>
      <c r="W165" s="776"/>
      <c r="X165" s="776"/>
      <c r="Y165" s="776"/>
      <c r="Z165" s="776"/>
      <c r="AA165" s="776"/>
      <c r="AB165" s="776"/>
      <c r="AC165" s="776"/>
      <c r="AD165" s="776"/>
    </row>
    <row r="166" spans="1:30">
      <c r="A166" s="776"/>
      <c r="B166" s="776"/>
      <c r="C166" s="772">
        <v>2023</v>
      </c>
      <c r="D166" s="778">
        <f t="shared" si="34"/>
        <v>62.543229050692588</v>
      </c>
      <c r="E166" s="778">
        <f t="shared" si="35"/>
        <v>48.882547089282539</v>
      </c>
      <c r="F166" s="778">
        <f t="shared" si="36"/>
        <v>29.721982534503482</v>
      </c>
      <c r="G166" s="778">
        <f t="shared" si="37"/>
        <v>11.67873395654396</v>
      </c>
      <c r="H166" s="776"/>
      <c r="I166" s="777">
        <f t="shared" si="30"/>
        <v>8.2305931356638773E-3</v>
      </c>
      <c r="J166" s="777">
        <f t="shared" si="31"/>
        <v>1.0554986550004752E-2</v>
      </c>
      <c r="K166" s="777">
        <f t="shared" si="32"/>
        <v>8.7190779658714579E-3</v>
      </c>
      <c r="L166" s="777">
        <f t="shared" si="33"/>
        <v>6.7506016702469918E-3</v>
      </c>
      <c r="M166" s="776"/>
      <c r="N166" s="776"/>
      <c r="O166" s="776"/>
      <c r="P166" s="776"/>
      <c r="Q166" s="776"/>
      <c r="R166" s="776"/>
      <c r="S166" s="776"/>
      <c r="T166" s="776"/>
      <c r="U166" s="776"/>
      <c r="V166" s="776"/>
      <c r="W166" s="776"/>
      <c r="X166" s="776"/>
      <c r="Y166" s="776"/>
      <c r="Z166" s="776"/>
      <c r="AA166" s="776"/>
      <c r="AB166" s="776"/>
      <c r="AC166" s="776"/>
      <c r="AD166" s="776"/>
    </row>
    <row r="167" spans="1:30">
      <c r="A167" s="776"/>
      <c r="B167" s="776"/>
      <c r="C167" s="772">
        <v>2024</v>
      </c>
      <c r="D167" s="778">
        <f t="shared" si="34"/>
        <v>63.053794664562645</v>
      </c>
      <c r="E167" s="778">
        <f t="shared" si="35"/>
        <v>49.393112703152596</v>
      </c>
      <c r="F167" s="778">
        <f t="shared" si="36"/>
        <v>29.978890814201325</v>
      </c>
      <c r="G167" s="778">
        <f t="shared" si="37"/>
        <v>11.757043798944469</v>
      </c>
      <c r="H167" s="776"/>
      <c r="I167" s="777">
        <f t="shared" si="30"/>
        <v>8.163403482993159E-3</v>
      </c>
      <c r="J167" s="777">
        <f t="shared" si="31"/>
        <v>1.0444742434094545E-2</v>
      </c>
      <c r="K167" s="777">
        <f t="shared" si="32"/>
        <v>8.6437127603988806E-3</v>
      </c>
      <c r="L167" s="777">
        <f t="shared" si="33"/>
        <v>6.7053366137028725E-3</v>
      </c>
      <c r="M167" s="776"/>
      <c r="N167" s="776"/>
      <c r="O167" s="776"/>
      <c r="P167" s="776"/>
      <c r="Q167" s="776"/>
      <c r="R167" s="776"/>
      <c r="S167" s="776"/>
      <c r="T167" s="776"/>
      <c r="U167" s="776"/>
      <c r="V167" s="776"/>
      <c r="W167" s="776"/>
      <c r="X167" s="776"/>
      <c r="Y167" s="776"/>
      <c r="Z167" s="776"/>
      <c r="AA167" s="776"/>
      <c r="AB167" s="776"/>
      <c r="AC167" s="776"/>
      <c r="AD167" s="776"/>
    </row>
    <row r="168" spans="1:30">
      <c r="A168" s="776"/>
      <c r="B168" s="776"/>
      <c r="C168" s="772">
        <v>2025</v>
      </c>
      <c r="D168" s="778">
        <f t="shared" si="34"/>
        <v>63.564360278432702</v>
      </c>
      <c r="E168" s="778">
        <f t="shared" si="35"/>
        <v>49.903678317022653</v>
      </c>
      <c r="F168" s="778">
        <f t="shared" si="36"/>
        <v>30.235799093899168</v>
      </c>
      <c r="G168" s="778">
        <f t="shared" si="37"/>
        <v>11.835353641344978</v>
      </c>
      <c r="H168" s="776"/>
      <c r="I168" s="777">
        <f t="shared" si="30"/>
        <v>8.097301940132251E-3</v>
      </c>
      <c r="J168" s="777">
        <f t="shared" si="31"/>
        <v>1.0336777455968393E-2</v>
      </c>
      <c r="K168" s="777">
        <f t="shared" si="32"/>
        <v>8.5696392601737337E-3</v>
      </c>
      <c r="L168" s="777">
        <f t="shared" si="33"/>
        <v>6.6606745487789443E-3</v>
      </c>
      <c r="M168" s="776"/>
      <c r="N168" s="776"/>
      <c r="O168" s="776"/>
      <c r="P168" s="776"/>
      <c r="Q168" s="776"/>
      <c r="R168" s="776"/>
      <c r="S168" s="776"/>
      <c r="T168" s="776"/>
      <c r="U168" s="776"/>
      <c r="V168" s="776"/>
      <c r="W168" s="776"/>
      <c r="X168" s="776"/>
      <c r="Y168" s="776"/>
      <c r="Z168" s="776"/>
      <c r="AA168" s="776"/>
      <c r="AB168" s="776"/>
      <c r="AC168" s="776"/>
      <c r="AD168" s="776"/>
    </row>
    <row r="169" spans="1:30">
      <c r="A169" s="776"/>
      <c r="B169" s="776"/>
      <c r="C169" s="772">
        <v>2026</v>
      </c>
      <c r="D169" s="778">
        <f t="shared" si="34"/>
        <v>64.074925892302758</v>
      </c>
      <c r="E169" s="778">
        <f t="shared" si="35"/>
        <v>50.414243930892709</v>
      </c>
      <c r="F169" s="778">
        <f t="shared" si="36"/>
        <v>30.49270737359701</v>
      </c>
      <c r="G169" s="778">
        <f t="shared" si="37"/>
        <v>11.913663483745488</v>
      </c>
      <c r="H169" s="776"/>
      <c r="I169" s="777">
        <f t="shared" si="30"/>
        <v>8.0322622871309424E-3</v>
      </c>
      <c r="J169" s="777">
        <f t="shared" si="31"/>
        <v>1.0231021661902151E-2</v>
      </c>
      <c r="K169" s="777">
        <f t="shared" si="32"/>
        <v>8.4968245390173447E-3</v>
      </c>
      <c r="L169" s="777">
        <f t="shared" si="33"/>
        <v>6.6166035062058537E-3</v>
      </c>
      <c r="M169" s="776"/>
      <c r="N169" s="776"/>
      <c r="O169" s="776"/>
      <c r="P169" s="776"/>
      <c r="Q169" s="776"/>
      <c r="R169" s="776"/>
      <c r="S169" s="776"/>
      <c r="T169" s="776"/>
      <c r="U169" s="776"/>
      <c r="V169" s="776"/>
      <c r="W169" s="776"/>
      <c r="X169" s="776"/>
      <c r="Y169" s="776"/>
      <c r="Z169" s="776"/>
      <c r="AA169" s="776"/>
      <c r="AB169" s="776"/>
      <c r="AC169" s="776"/>
      <c r="AD169" s="776"/>
    </row>
    <row r="170" spans="1:30">
      <c r="A170" s="776"/>
      <c r="B170" s="776"/>
      <c r="C170" s="772">
        <v>2027</v>
      </c>
      <c r="D170" s="778">
        <f t="shared" si="34"/>
        <v>64.585491506172815</v>
      </c>
      <c r="E170" s="778">
        <f t="shared" si="35"/>
        <v>50.924809544762766</v>
      </c>
      <c r="F170" s="778">
        <f t="shared" si="36"/>
        <v>30.749615653294853</v>
      </c>
      <c r="G170" s="778">
        <f t="shared" si="37"/>
        <v>11.991973326145997</v>
      </c>
      <c r="H170" s="776"/>
      <c r="I170" s="777">
        <f t="shared" si="30"/>
        <v>7.9682591397485236E-3</v>
      </c>
      <c r="J170" s="777">
        <f t="shared" si="31"/>
        <v>1.0127407931971311E-2</v>
      </c>
      <c r="K170" s="777">
        <f t="shared" si="32"/>
        <v>8.4252367803947514E-3</v>
      </c>
      <c r="L170" s="777">
        <f t="shared" si="33"/>
        <v>6.5731118314154013E-3</v>
      </c>
      <c r="M170" s="776"/>
      <c r="N170" s="776"/>
      <c r="O170" s="776"/>
      <c r="P170" s="776"/>
      <c r="Q170" s="776"/>
      <c r="R170" s="776"/>
      <c r="S170" s="776"/>
      <c r="T170" s="776"/>
      <c r="U170" s="776"/>
      <c r="V170" s="776"/>
      <c r="W170" s="776"/>
      <c r="X170" s="776"/>
      <c r="Y170" s="776"/>
      <c r="Z170" s="776"/>
      <c r="AA170" s="776"/>
      <c r="AB170" s="776"/>
      <c r="AC170" s="776"/>
      <c r="AD170" s="776"/>
    </row>
    <row r="171" spans="1:30">
      <c r="A171" s="776"/>
      <c r="B171" s="776"/>
      <c r="C171" s="772">
        <v>2028</v>
      </c>
      <c r="D171" s="778">
        <f t="shared" si="34"/>
        <v>65.096057120042872</v>
      </c>
      <c r="E171" s="778">
        <f t="shared" si="35"/>
        <v>51.435375158632823</v>
      </c>
      <c r="F171" s="778">
        <f t="shared" si="36"/>
        <v>31.006523932992696</v>
      </c>
      <c r="G171" s="778">
        <f t="shared" si="37"/>
        <v>12.070283168546506</v>
      </c>
      <c r="H171" s="776"/>
      <c r="I171" s="777">
        <f t="shared" si="30"/>
        <v>7.9052679164213213E-3</v>
      </c>
      <c r="J171" s="777">
        <f t="shared" si="31"/>
        <v>1.0025871837994194E-2</v>
      </c>
      <c r="K171" s="777">
        <f t="shared" si="32"/>
        <v>8.35484523105956E-3</v>
      </c>
      <c r="L171" s="777">
        <f t="shared" si="33"/>
        <v>6.5301881742658718E-3</v>
      </c>
      <c r="M171" s="776"/>
      <c r="N171" s="776"/>
      <c r="O171" s="776"/>
      <c r="P171" s="776"/>
      <c r="Q171" s="776"/>
      <c r="R171" s="776"/>
      <c r="S171" s="776"/>
      <c r="T171" s="776"/>
      <c r="U171" s="776"/>
      <c r="V171" s="776"/>
      <c r="W171" s="776"/>
      <c r="X171" s="776"/>
      <c r="Y171" s="776"/>
      <c r="Z171" s="776"/>
      <c r="AA171" s="776"/>
      <c r="AB171" s="776"/>
      <c r="AC171" s="776"/>
      <c r="AD171" s="776"/>
    </row>
    <row r="172" spans="1:30">
      <c r="A172" s="776"/>
      <c r="B172" s="776"/>
      <c r="C172" s="772">
        <v>2029</v>
      </c>
      <c r="D172" s="778">
        <f t="shared" si="34"/>
        <v>65.606622733912928</v>
      </c>
      <c r="E172" s="778">
        <f t="shared" si="35"/>
        <v>51.94594077250288</v>
      </c>
      <c r="F172" s="778">
        <f t="shared" si="36"/>
        <v>31.263432212690539</v>
      </c>
      <c r="G172" s="778">
        <f t="shared" si="37"/>
        <v>12.148593010947016</v>
      </c>
      <c r="H172" s="776"/>
      <c r="I172" s="777">
        <f t="shared" si="30"/>
        <v>7.8432648067843225E-3</v>
      </c>
      <c r="J172" s="777">
        <f t="shared" si="31"/>
        <v>9.9263515099368149E-3</v>
      </c>
      <c r="K172" s="777">
        <f t="shared" si="32"/>
        <v>8.285620157004292E-3</v>
      </c>
      <c r="L172" s="777">
        <f t="shared" si="33"/>
        <v>6.4878214791657118E-3</v>
      </c>
      <c r="M172" s="776"/>
      <c r="N172" s="776"/>
      <c r="O172" s="776"/>
      <c r="P172" s="776"/>
      <c r="Q172" s="776"/>
      <c r="R172" s="776"/>
      <c r="S172" s="776"/>
      <c r="T172" s="776"/>
      <c r="U172" s="776"/>
      <c r="V172" s="776"/>
      <c r="W172" s="776"/>
      <c r="X172" s="776"/>
      <c r="Y172" s="776"/>
      <c r="Z172" s="776"/>
      <c r="AA172" s="776"/>
      <c r="AB172" s="776"/>
      <c r="AC172" s="776"/>
      <c r="AD172" s="776"/>
    </row>
    <row r="173" spans="1:30">
      <c r="A173" s="776"/>
      <c r="B173" s="776"/>
      <c r="C173" s="772">
        <v>2030</v>
      </c>
      <c r="D173" s="778">
        <f>D152</f>
        <v>66.117188347782985</v>
      </c>
      <c r="E173" s="778">
        <f>E152</f>
        <v>52.456506386372936</v>
      </c>
      <c r="F173" s="778">
        <f>F152</f>
        <v>31.520340492388375</v>
      </c>
      <c r="G173" s="778">
        <f>G152</f>
        <v>12.22690285334753</v>
      </c>
      <c r="H173" s="776"/>
      <c r="I173" s="777">
        <f t="shared" si="30"/>
        <v>7.7822267416629565E-3</v>
      </c>
      <c r="J173" s="777">
        <f t="shared" si="31"/>
        <v>9.8287875101941147E-3</v>
      </c>
      <c r="K173" s="777">
        <f t="shared" si="32"/>
        <v>8.21753280158255E-3</v>
      </c>
      <c r="L173" s="777">
        <f t="shared" si="33"/>
        <v>6.4460009755822334E-3</v>
      </c>
      <c r="M173" s="776"/>
      <c r="N173" s="776"/>
      <c r="O173" s="776"/>
      <c r="P173" s="776"/>
      <c r="Q173" s="776"/>
      <c r="R173" s="776"/>
      <c r="S173" s="776"/>
      <c r="T173" s="776"/>
      <c r="U173" s="776"/>
      <c r="V173" s="776"/>
      <c r="W173" s="776"/>
      <c r="X173" s="776"/>
      <c r="Y173" s="776"/>
      <c r="Z173" s="776"/>
      <c r="AA173" s="776"/>
      <c r="AB173" s="776"/>
      <c r="AC173" s="776"/>
      <c r="AD173" s="776"/>
    </row>
    <row r="174" spans="1:30">
      <c r="A174" s="772" t="s">
        <v>1399</v>
      </c>
    </row>
  </sheetData>
  <mergeCells count="3">
    <mergeCell ref="B112:E112"/>
    <mergeCell ref="F112:H112"/>
    <mergeCell ref="I112:K112"/>
  </mergeCells>
  <pageMargins left="0.7" right="0.7" top="0.75" bottom="0.75" header="0.3" footer="0.3"/>
  <pageSetup paperSize="9" orientation="portrait"/>
  <drawing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4"/>
  </sheetPr>
  <dimension ref="B2:AK216"/>
  <sheetViews>
    <sheetView topLeftCell="A192" workbookViewId="0">
      <selection activeCell="D27" sqref="D27"/>
    </sheetView>
  </sheetViews>
  <sheetFormatPr baseColWidth="10" defaultColWidth="8.5" defaultRowHeight="13"/>
  <cols>
    <col min="1" max="1" width="8.5" style="602"/>
    <col min="2" max="2" width="39.5" style="602" bestFit="1" customWidth="1"/>
    <col min="3" max="3" width="108.5" style="602" bestFit="1" customWidth="1"/>
    <col min="4" max="16384" width="8.5" style="602"/>
  </cols>
  <sheetData>
    <row r="2" spans="2:4">
      <c r="B2" s="1047" t="s">
        <v>1578</v>
      </c>
      <c r="D2" s="1046"/>
    </row>
    <row r="3" spans="2:4">
      <c r="D3" s="1046"/>
    </row>
    <row r="4" spans="2:4">
      <c r="D4" s="1046"/>
    </row>
    <row r="5" spans="2:4">
      <c r="D5" s="1046"/>
    </row>
    <row r="6" spans="2:4">
      <c r="D6" s="1046"/>
    </row>
    <row r="22" spans="2:29" ht="17">
      <c r="B22" s="360" t="s">
        <v>375</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row>
    <row r="23" spans="2:29" ht="14">
      <c r="B23" s="1009"/>
      <c r="C23" s="1009"/>
      <c r="D23" s="1009"/>
      <c r="E23" s="1009"/>
      <c r="F23" s="1009"/>
      <c r="G23" s="1009"/>
      <c r="H23" s="1009"/>
      <c r="I23" s="1009"/>
      <c r="J23" s="1009"/>
      <c r="K23" s="1009"/>
      <c r="L23" s="1009"/>
      <c r="M23" s="1009"/>
      <c r="N23" s="1009"/>
      <c r="O23" s="1009"/>
      <c r="P23" s="1009"/>
      <c r="Q23" s="1009"/>
      <c r="R23" s="1009"/>
      <c r="S23" s="1009"/>
      <c r="T23" s="1009"/>
      <c r="U23" s="1009"/>
      <c r="V23" s="1009"/>
      <c r="W23" s="1009"/>
      <c r="X23" s="1009"/>
      <c r="Y23" s="1009"/>
      <c r="Z23" s="1009"/>
      <c r="AA23" s="1009"/>
      <c r="AB23" s="1009"/>
      <c r="AC23" s="1009"/>
    </row>
    <row r="24" spans="2:29" ht="16">
      <c r="B24" s="253" t="s">
        <v>376</v>
      </c>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row>
    <row r="25" spans="2:29" ht="14">
      <c r="B25" s="1009"/>
      <c r="C25" s="1009"/>
      <c r="D25" s="1009"/>
      <c r="E25" s="1009"/>
      <c r="F25" s="1009"/>
      <c r="G25" s="1009"/>
      <c r="H25" s="1009"/>
      <c r="I25" s="1009"/>
      <c r="J25" s="1009"/>
      <c r="K25" s="1009"/>
      <c r="L25" s="1009"/>
      <c r="M25" s="1009"/>
      <c r="N25" s="1009"/>
      <c r="O25" s="1009"/>
      <c r="P25" s="1009"/>
      <c r="Q25" s="1009"/>
      <c r="R25" s="1009"/>
      <c r="S25" s="1009"/>
      <c r="T25" s="1009"/>
      <c r="U25" s="1009"/>
      <c r="V25" s="1009"/>
      <c r="W25" s="1009"/>
      <c r="X25" s="1009"/>
      <c r="Y25" s="1009"/>
      <c r="Z25" s="1009"/>
      <c r="AA25" s="1009"/>
      <c r="AB25" s="1009"/>
      <c r="AC25" s="1009"/>
    </row>
    <row r="26" spans="2:29">
      <c r="B26" s="445"/>
      <c r="C26" s="445"/>
      <c r="D26" s="263"/>
      <c r="E26" s="445"/>
      <c r="F26" s="445"/>
      <c r="G26" s="445"/>
      <c r="H26" s="445"/>
      <c r="I26" s="445"/>
      <c r="J26" s="445"/>
      <c r="K26" s="445"/>
      <c r="L26" s="445"/>
      <c r="M26" s="445"/>
      <c r="N26" s="445"/>
      <c r="O26" s="445"/>
      <c r="P26" s="445"/>
      <c r="Q26" s="445"/>
      <c r="R26" s="445"/>
      <c r="S26" s="445" t="s">
        <v>377</v>
      </c>
      <c r="T26" s="263">
        <v>29</v>
      </c>
      <c r="U26" s="263">
        <v>47</v>
      </c>
      <c r="V26" s="263">
        <v>59</v>
      </c>
      <c r="W26" s="263">
        <v>61</v>
      </c>
      <c r="X26" s="263">
        <v>91</v>
      </c>
      <c r="Y26" s="263">
        <v>94</v>
      </c>
      <c r="Z26" s="263">
        <v>95</v>
      </c>
      <c r="AA26" s="445"/>
      <c r="AB26" s="445"/>
      <c r="AC26" s="445"/>
    </row>
    <row r="27" spans="2:29" ht="15">
      <c r="B27" s="445"/>
      <c r="C27" s="968" t="s">
        <v>378</v>
      </c>
      <c r="D27" s="263"/>
      <c r="E27" s="445"/>
      <c r="F27" s="445"/>
      <c r="G27" s="445"/>
      <c r="H27" s="445"/>
      <c r="I27" s="445"/>
      <c r="J27" s="445"/>
      <c r="K27" s="445"/>
      <c r="L27" s="445"/>
      <c r="M27" s="445"/>
      <c r="N27" s="445"/>
      <c r="O27" s="445"/>
      <c r="P27" s="445"/>
      <c r="Q27" s="445"/>
      <c r="R27" s="445"/>
      <c r="S27" s="445"/>
      <c r="T27" s="263" t="s">
        <v>379</v>
      </c>
      <c r="U27" s="263" t="s">
        <v>379</v>
      </c>
      <c r="V27" s="263" t="s">
        <v>158</v>
      </c>
      <c r="W27" s="263" t="s">
        <v>380</v>
      </c>
      <c r="X27" s="263" t="s">
        <v>380</v>
      </c>
      <c r="Y27" s="263" t="s">
        <v>380</v>
      </c>
      <c r="Z27" s="263" t="s">
        <v>380</v>
      </c>
      <c r="AA27" s="445"/>
      <c r="AB27" s="445"/>
      <c r="AC27" s="445"/>
    </row>
    <row r="28" spans="2:29" ht="105">
      <c r="B28" s="445"/>
      <c r="C28" s="1036"/>
      <c r="D28" s="1045"/>
      <c r="E28" s="1044" t="s">
        <v>381</v>
      </c>
      <c r="F28" s="1043" t="s">
        <v>382</v>
      </c>
      <c r="G28" s="1043"/>
      <c r="H28" s="1042" t="s">
        <v>383</v>
      </c>
      <c r="I28" s="1041" t="s">
        <v>384</v>
      </c>
      <c r="J28" s="1041" t="s">
        <v>385</v>
      </c>
      <c r="K28" s="1040" t="s">
        <v>386</v>
      </c>
      <c r="L28" s="1040" t="s">
        <v>387</v>
      </c>
      <c r="M28" s="1040" t="s">
        <v>388</v>
      </c>
      <c r="N28" s="1040" t="s">
        <v>389</v>
      </c>
      <c r="O28" s="1040" t="s">
        <v>390</v>
      </c>
      <c r="P28" s="1040" t="s">
        <v>391</v>
      </c>
      <c r="Q28" s="1040" t="s">
        <v>392</v>
      </c>
      <c r="R28" s="1040" t="s">
        <v>415</v>
      </c>
      <c r="S28" s="445"/>
      <c r="T28" s="445" t="s">
        <v>393</v>
      </c>
      <c r="U28" s="445" t="s">
        <v>393</v>
      </c>
      <c r="V28" s="445"/>
      <c r="W28" s="445"/>
      <c r="X28" s="445" t="s">
        <v>394</v>
      </c>
      <c r="Y28" s="445" t="s">
        <v>395</v>
      </c>
      <c r="Z28" s="445" t="s">
        <v>396</v>
      </c>
      <c r="AA28" s="445"/>
      <c r="AB28" s="445"/>
      <c r="AC28" s="445"/>
    </row>
    <row r="29" spans="2:29" ht="14">
      <c r="B29" s="445"/>
      <c r="C29" s="272" t="s">
        <v>397</v>
      </c>
      <c r="D29" s="1038"/>
      <c r="E29" s="302" t="s">
        <v>398</v>
      </c>
      <c r="F29" s="1039" t="s">
        <v>399</v>
      </c>
      <c r="G29" s="1039" t="s">
        <v>379</v>
      </c>
      <c r="H29" s="1039" t="s">
        <v>398</v>
      </c>
      <c r="I29" s="1038" t="s">
        <v>400</v>
      </c>
      <c r="J29" s="1037" t="s">
        <v>158</v>
      </c>
      <c r="K29" s="304" t="s">
        <v>380</v>
      </c>
      <c r="L29" s="304" t="s">
        <v>380</v>
      </c>
      <c r="M29" s="304" t="s">
        <v>380</v>
      </c>
      <c r="N29" s="304"/>
      <c r="O29" s="304" t="s">
        <v>380</v>
      </c>
      <c r="P29" s="304" t="s">
        <v>380</v>
      </c>
      <c r="Q29" s="304" t="s">
        <v>158</v>
      </c>
      <c r="R29" s="304" t="s">
        <v>380</v>
      </c>
      <c r="S29" s="445"/>
      <c r="T29" s="445"/>
      <c r="U29" s="445"/>
      <c r="V29" s="445"/>
      <c r="W29" s="445"/>
      <c r="X29" s="445"/>
      <c r="Y29" s="445"/>
      <c r="Z29" s="445"/>
      <c r="AA29" s="445"/>
      <c r="AB29" s="445"/>
      <c r="AC29" s="445"/>
    </row>
    <row r="30" spans="2:29" ht="14">
      <c r="B30" s="445"/>
      <c r="C30" s="1036" t="s">
        <v>401</v>
      </c>
      <c r="D30" s="1035"/>
      <c r="E30" s="1034">
        <v>17</v>
      </c>
      <c r="F30" s="1033">
        <v>72.400000000000006</v>
      </c>
      <c r="G30" s="1032">
        <v>72.400000000000006</v>
      </c>
      <c r="H30" s="1031">
        <v>1.8</v>
      </c>
      <c r="I30" s="1030"/>
      <c r="J30" s="1029">
        <v>0.90400000000000003</v>
      </c>
      <c r="K30" s="1004">
        <v>16.739999999999998</v>
      </c>
      <c r="L30" s="1028">
        <v>5.3000000000000001E-5</v>
      </c>
      <c r="M30" s="1027">
        <v>7.3800000000000004E-2</v>
      </c>
      <c r="N30" s="1026"/>
      <c r="O30" s="1025"/>
      <c r="P30" s="1004">
        <v>7.22</v>
      </c>
      <c r="Q30" s="1024">
        <v>0</v>
      </c>
      <c r="R30" s="1023">
        <v>23.96</v>
      </c>
      <c r="S30" s="445"/>
      <c r="T30" s="445"/>
      <c r="U30" s="445"/>
      <c r="V30" s="445"/>
      <c r="W30" s="445"/>
      <c r="X30" s="445"/>
      <c r="Y30" s="445"/>
      <c r="Z30" s="445"/>
      <c r="AA30" s="445"/>
      <c r="AB30" s="445"/>
      <c r="AC30" s="445"/>
    </row>
    <row r="31" spans="2:29" ht="14">
      <c r="B31" s="445"/>
      <c r="C31" s="448" t="s">
        <v>402</v>
      </c>
      <c r="D31" s="456"/>
      <c r="E31" s="1019">
        <v>19</v>
      </c>
      <c r="F31" s="1019">
        <v>10.6</v>
      </c>
      <c r="G31" s="1018">
        <v>10.6</v>
      </c>
      <c r="H31" s="953">
        <v>1.8</v>
      </c>
      <c r="I31" s="1022"/>
      <c r="J31" s="465">
        <v>0.91400000000000003</v>
      </c>
      <c r="K31" s="459">
        <v>9.26</v>
      </c>
      <c r="L31" s="467">
        <v>4.6999999999999997E-5</v>
      </c>
      <c r="M31" s="468">
        <v>6.6000000000000003E-2</v>
      </c>
      <c r="N31" s="460"/>
      <c r="O31" s="1020"/>
      <c r="P31" s="459">
        <v>9.44</v>
      </c>
      <c r="Q31" s="1016">
        <v>0</v>
      </c>
      <c r="R31" s="466">
        <v>18.7</v>
      </c>
      <c r="S31" s="445"/>
      <c r="T31" s="445"/>
      <c r="U31" s="445"/>
      <c r="V31" s="445"/>
      <c r="W31" s="445"/>
      <c r="X31" s="445"/>
      <c r="Y31" s="445"/>
      <c r="Z31" s="445"/>
      <c r="AA31" s="445"/>
      <c r="AB31" s="445"/>
      <c r="AC31" s="445"/>
    </row>
    <row r="32" spans="2:29" ht="14">
      <c r="B32" s="445"/>
      <c r="C32" s="448" t="s">
        <v>403</v>
      </c>
      <c r="D32" s="456"/>
      <c r="E32" s="1019">
        <v>14.5</v>
      </c>
      <c r="F32" s="1019">
        <v>40.9</v>
      </c>
      <c r="G32" s="1018">
        <v>40.9</v>
      </c>
      <c r="H32" s="953">
        <v>0.53</v>
      </c>
      <c r="I32" s="1017"/>
      <c r="J32" s="465">
        <v>0.96499999999999997</v>
      </c>
      <c r="K32" s="459">
        <v>2.5099999999999998</v>
      </c>
      <c r="L32" s="467">
        <v>1.8E-5</v>
      </c>
      <c r="M32" s="468">
        <v>2.53E-2</v>
      </c>
      <c r="N32" s="460"/>
      <c r="O32" s="1020"/>
      <c r="P32" s="459">
        <v>9.25</v>
      </c>
      <c r="Q32" s="1016">
        <v>0</v>
      </c>
      <c r="R32" s="374">
        <v>11.76</v>
      </c>
      <c r="S32" s="445"/>
      <c r="T32" s="445"/>
      <c r="U32" s="445"/>
      <c r="V32" s="445"/>
      <c r="W32" s="445"/>
      <c r="X32" s="445"/>
      <c r="Y32" s="445"/>
      <c r="Z32" s="445"/>
      <c r="AA32" s="445"/>
      <c r="AB32" s="445"/>
      <c r="AC32" s="445"/>
    </row>
    <row r="33" spans="2:29" ht="14">
      <c r="B33" s="445"/>
      <c r="C33" s="448" t="s">
        <v>404</v>
      </c>
      <c r="D33" s="456"/>
      <c r="E33" s="1019">
        <v>27</v>
      </c>
      <c r="F33" s="1019">
        <v>101.7</v>
      </c>
      <c r="G33" s="1018">
        <v>101.7</v>
      </c>
      <c r="H33" s="953">
        <v>6.23</v>
      </c>
      <c r="I33" s="1017"/>
      <c r="J33" s="465">
        <v>0.81200000000000006</v>
      </c>
      <c r="K33" s="459">
        <v>35.880000000000003</v>
      </c>
      <c r="L33" s="467">
        <v>1.15E-4</v>
      </c>
      <c r="M33" s="468">
        <v>0.161</v>
      </c>
      <c r="N33" s="460"/>
      <c r="O33" s="1020"/>
      <c r="P33" s="459">
        <v>32.61</v>
      </c>
      <c r="Q33" s="1016">
        <v>0</v>
      </c>
      <c r="R33" s="466">
        <v>68.489999999999995</v>
      </c>
      <c r="S33" s="445"/>
      <c r="T33" s="445"/>
      <c r="U33" s="445"/>
      <c r="V33" s="445"/>
      <c r="W33" s="445"/>
      <c r="X33" s="445"/>
      <c r="Y33" s="445"/>
      <c r="Z33" s="445"/>
      <c r="AA33" s="445"/>
      <c r="AB33" s="445"/>
      <c r="AC33" s="445"/>
    </row>
    <row r="34" spans="2:29" ht="14">
      <c r="B34" s="445"/>
      <c r="C34" s="448" t="s">
        <v>635</v>
      </c>
      <c r="D34" s="456"/>
      <c r="E34" s="1019">
        <v>37</v>
      </c>
      <c r="F34" s="1019">
        <v>148.80000000000001</v>
      </c>
      <c r="G34" s="1018">
        <v>148.80000000000001</v>
      </c>
      <c r="H34" s="953">
        <v>9.67</v>
      </c>
      <c r="I34" s="1017"/>
      <c r="J34" s="465">
        <v>0.79300000000000004</v>
      </c>
      <c r="K34" s="459">
        <v>48.61</v>
      </c>
      <c r="L34" s="467">
        <v>0</v>
      </c>
      <c r="M34" s="468">
        <v>0</v>
      </c>
      <c r="N34" s="460"/>
      <c r="O34" s="1020"/>
      <c r="P34" s="459">
        <v>50.6</v>
      </c>
      <c r="Q34" s="1016">
        <v>0</v>
      </c>
      <c r="R34" s="466">
        <v>99.21</v>
      </c>
      <c r="S34" s="445"/>
      <c r="T34" s="445"/>
      <c r="U34" s="445"/>
      <c r="V34" s="445"/>
      <c r="W34" s="445"/>
      <c r="X34" s="445"/>
      <c r="Y34" s="445"/>
      <c r="Z34" s="445"/>
      <c r="AA34" s="445"/>
      <c r="AB34" s="445"/>
      <c r="AC34" s="445"/>
    </row>
    <row r="35" spans="2:29" ht="14">
      <c r="B35" s="445"/>
      <c r="C35" s="448" t="s">
        <v>405</v>
      </c>
      <c r="D35" s="456"/>
      <c r="E35" s="1019">
        <v>39.5</v>
      </c>
      <c r="F35" s="1019">
        <v>69.8</v>
      </c>
      <c r="G35" s="1018">
        <v>69.8</v>
      </c>
      <c r="H35" s="953">
        <v>6.71</v>
      </c>
      <c r="I35" s="1017"/>
      <c r="J35" s="465">
        <v>0.85499999999999998</v>
      </c>
      <c r="K35" s="459">
        <v>13</v>
      </c>
      <c r="L35" s="467">
        <v>7.2999999999999999E-5</v>
      </c>
      <c r="M35" s="468">
        <v>9.4000000000000004E-3</v>
      </c>
      <c r="N35" s="460"/>
      <c r="O35" s="1020"/>
      <c r="P35" s="459">
        <v>0</v>
      </c>
      <c r="Q35" s="1016">
        <v>0</v>
      </c>
      <c r="R35" s="466">
        <v>13</v>
      </c>
      <c r="S35" s="445"/>
      <c r="T35" s="445"/>
      <c r="U35" s="1021">
        <v>4.5999999999999999E-2</v>
      </c>
    </row>
    <row r="36" spans="2:29" ht="14">
      <c r="B36" s="445"/>
      <c r="C36" s="319" t="s">
        <v>406</v>
      </c>
      <c r="D36" s="456"/>
      <c r="E36" s="1019">
        <v>17.399999999999999</v>
      </c>
      <c r="F36" s="1019">
        <v>48.1</v>
      </c>
      <c r="G36" s="1018">
        <v>48.1</v>
      </c>
      <c r="H36" s="953">
        <v>0.67</v>
      </c>
      <c r="I36" s="1017"/>
      <c r="J36" s="465">
        <v>0.96299999999999997</v>
      </c>
      <c r="K36" s="459">
        <v>5.4</v>
      </c>
      <c r="L36" s="467">
        <v>1.9000000000000001E-5</v>
      </c>
      <c r="M36" s="468">
        <v>2.6800000000000001E-2</v>
      </c>
      <c r="N36" s="460"/>
      <c r="O36" s="1020"/>
      <c r="P36" s="459">
        <v>-2.15</v>
      </c>
      <c r="Q36" s="1016">
        <v>0</v>
      </c>
      <c r="R36" s="466">
        <v>3.25</v>
      </c>
      <c r="S36" s="445"/>
      <c r="T36" s="445"/>
      <c r="U36" s="445"/>
    </row>
    <row r="37" spans="2:29" ht="14">
      <c r="B37" s="445"/>
      <c r="C37" s="448" t="s">
        <v>407</v>
      </c>
      <c r="D37" s="456"/>
      <c r="E37" s="1019">
        <v>17.399999999999999</v>
      </c>
      <c r="F37" s="1019">
        <v>65.5</v>
      </c>
      <c r="G37" s="1018">
        <v>65.5</v>
      </c>
      <c r="H37" s="953">
        <v>0.67</v>
      </c>
      <c r="I37" s="1017"/>
      <c r="J37" s="465">
        <v>0.96299999999999997</v>
      </c>
      <c r="K37" s="459">
        <v>5.4</v>
      </c>
      <c r="L37" s="467">
        <v>1.9000000000000001E-5</v>
      </c>
      <c r="M37" s="468">
        <v>2.6800000000000001E-2</v>
      </c>
      <c r="N37" s="460"/>
      <c r="O37" s="1020"/>
      <c r="P37" s="459">
        <v>-2.15</v>
      </c>
      <c r="Q37" s="1016">
        <v>0</v>
      </c>
      <c r="R37" s="466">
        <v>3.25</v>
      </c>
      <c r="S37" s="445"/>
      <c r="T37" s="445"/>
      <c r="U37" s="445"/>
    </row>
    <row r="38" spans="2:29" ht="14">
      <c r="B38" s="445"/>
      <c r="C38" s="448" t="s">
        <v>408</v>
      </c>
      <c r="D38" s="456"/>
      <c r="E38" s="1019">
        <v>1</v>
      </c>
      <c r="F38" s="1019">
        <v>72.5</v>
      </c>
      <c r="G38" s="1018">
        <v>72.5</v>
      </c>
      <c r="H38" s="953">
        <v>0.05</v>
      </c>
      <c r="I38" s="1017"/>
      <c r="J38" s="465">
        <v>0.94899999999999995</v>
      </c>
      <c r="K38" s="459">
        <v>0.26</v>
      </c>
      <c r="L38" s="467">
        <v>2.6999999999999999E-5</v>
      </c>
      <c r="M38" s="468">
        <v>3.7499999999999999E-2</v>
      </c>
      <c r="N38" s="460"/>
      <c r="O38" s="370"/>
      <c r="P38" s="459">
        <v>0</v>
      </c>
      <c r="Q38" s="1016">
        <v>0</v>
      </c>
      <c r="R38" s="466">
        <v>0.26</v>
      </c>
      <c r="S38" s="445"/>
      <c r="T38" s="445"/>
      <c r="U38" s="445"/>
    </row>
    <row r="39" spans="2:29" ht="14">
      <c r="B39" s="445"/>
      <c r="C39" s="448" t="s">
        <v>409</v>
      </c>
      <c r="D39" s="456"/>
      <c r="E39" s="1019">
        <v>1</v>
      </c>
      <c r="F39" s="1019"/>
      <c r="G39" s="1018">
        <v>72.5</v>
      </c>
      <c r="H39" s="953">
        <v>0.05</v>
      </c>
      <c r="I39" s="1017"/>
      <c r="J39" s="465">
        <v>0.94899999999999995</v>
      </c>
      <c r="K39" s="459">
        <v>0.26</v>
      </c>
      <c r="L39" s="467">
        <v>2.6999999999999999E-5</v>
      </c>
      <c r="M39" s="468">
        <v>3.7499999999999999E-2</v>
      </c>
      <c r="N39" s="460"/>
      <c r="O39" s="370"/>
      <c r="P39" s="459">
        <v>0</v>
      </c>
      <c r="Q39" s="1016">
        <v>0</v>
      </c>
      <c r="R39" s="466">
        <v>0.26</v>
      </c>
      <c r="S39" s="445"/>
      <c r="T39" s="445"/>
      <c r="U39" s="445"/>
    </row>
    <row r="40" spans="2:29" ht="14">
      <c r="B40" s="445"/>
      <c r="C40" s="448" t="s">
        <v>410</v>
      </c>
      <c r="D40" s="456"/>
      <c r="E40" s="1019">
        <v>26.5</v>
      </c>
      <c r="F40" s="1019">
        <v>20.2</v>
      </c>
      <c r="G40" s="1018">
        <v>20.2</v>
      </c>
      <c r="H40" s="953">
        <v>2.36</v>
      </c>
      <c r="I40" s="1017"/>
      <c r="J40" s="465">
        <v>0.91800000000000004</v>
      </c>
      <c r="K40" s="459">
        <v>15.32</v>
      </c>
      <c r="L40" s="467">
        <v>4.5000000000000003E-5</v>
      </c>
      <c r="M40" s="468">
        <v>6.2100000000000002E-2</v>
      </c>
      <c r="N40" s="460"/>
      <c r="O40" s="1020"/>
      <c r="P40" s="459">
        <v>0</v>
      </c>
      <c r="Q40" s="1016">
        <v>0</v>
      </c>
      <c r="R40" s="466">
        <v>15.32</v>
      </c>
      <c r="S40" s="445"/>
      <c r="T40" s="445"/>
      <c r="U40" s="445"/>
    </row>
    <row r="41" spans="2:29" ht="14">
      <c r="B41" s="445"/>
      <c r="C41" s="448" t="s">
        <v>411</v>
      </c>
      <c r="D41" s="456"/>
      <c r="E41" s="1019">
        <v>43</v>
      </c>
      <c r="F41" s="1019">
        <v>102.2</v>
      </c>
      <c r="G41" s="1018">
        <v>102.2</v>
      </c>
      <c r="H41" s="953">
        <v>9.08</v>
      </c>
      <c r="I41" s="1017"/>
      <c r="J41" s="465">
        <v>0.82599999999999996</v>
      </c>
      <c r="K41" s="459">
        <v>22.6</v>
      </c>
      <c r="L41" s="467">
        <v>1.06E-4</v>
      </c>
      <c r="M41" s="468">
        <v>0.14729999999999999</v>
      </c>
      <c r="N41" s="460"/>
      <c r="O41" s="1020"/>
      <c r="P41" s="459">
        <v>0</v>
      </c>
      <c r="Q41" s="1016">
        <v>0</v>
      </c>
      <c r="R41" s="466">
        <v>22.6</v>
      </c>
      <c r="S41" s="445"/>
      <c r="T41" s="445"/>
      <c r="U41" s="445"/>
    </row>
    <row r="42" spans="2:29" ht="14">
      <c r="B42" s="445"/>
      <c r="C42" s="448" t="s">
        <v>412</v>
      </c>
      <c r="D42" s="456"/>
      <c r="E42" s="1019">
        <v>0.6</v>
      </c>
      <c r="F42" s="1019">
        <v>47.2</v>
      </c>
      <c r="G42" s="1018">
        <v>47.2</v>
      </c>
      <c r="H42" s="953">
        <v>0</v>
      </c>
      <c r="I42" s="1017"/>
      <c r="J42" s="465">
        <v>1</v>
      </c>
      <c r="K42" s="459">
        <v>3.53</v>
      </c>
      <c r="L42" s="467">
        <v>0</v>
      </c>
      <c r="M42" s="468">
        <v>0</v>
      </c>
      <c r="N42" s="460"/>
      <c r="O42" s="1020"/>
      <c r="P42" s="459">
        <v>0</v>
      </c>
      <c r="Q42" s="1016">
        <v>0</v>
      </c>
      <c r="R42" s="466">
        <v>3.53</v>
      </c>
      <c r="S42" s="445"/>
      <c r="T42" s="445"/>
      <c r="U42" s="445"/>
    </row>
    <row r="43" spans="2:29" ht="14">
      <c r="B43" s="445"/>
      <c r="C43" s="448" t="s">
        <v>413</v>
      </c>
      <c r="D43" s="456"/>
      <c r="E43" s="1019">
        <v>26.8</v>
      </c>
      <c r="F43" s="1019">
        <v>207.6</v>
      </c>
      <c r="G43" s="1018">
        <v>207.6</v>
      </c>
      <c r="H43" s="953">
        <v>4.7699999999999996</v>
      </c>
      <c r="I43" s="1017"/>
      <c r="J43" s="465">
        <v>0.84899999999999998</v>
      </c>
      <c r="K43" s="459">
        <v>24.16</v>
      </c>
      <c r="L43" s="467">
        <v>7.7000000000000001E-5</v>
      </c>
      <c r="M43" s="468">
        <v>9.7999999999999997E-3</v>
      </c>
      <c r="N43" s="460"/>
      <c r="O43" s="370"/>
      <c r="P43" s="459">
        <v>0</v>
      </c>
      <c r="Q43" s="1016">
        <v>0</v>
      </c>
      <c r="R43" s="466">
        <v>24.16</v>
      </c>
      <c r="S43" s="445"/>
      <c r="T43" s="445"/>
      <c r="U43" s="445"/>
    </row>
    <row r="44" spans="2:29" ht="14">
      <c r="B44" s="445"/>
      <c r="C44" s="272" t="s">
        <v>414</v>
      </c>
      <c r="D44" s="320"/>
      <c r="E44" s="1015">
        <v>37</v>
      </c>
      <c r="F44" s="1015">
        <v>162.9</v>
      </c>
      <c r="G44" s="1014">
        <v>162.9</v>
      </c>
      <c r="H44" s="1013">
        <v>11.14</v>
      </c>
      <c r="I44" s="1012"/>
      <c r="J44" s="1011">
        <v>0.76900000000000002</v>
      </c>
      <c r="K44" s="324">
        <v>67.930000000000007</v>
      </c>
      <c r="L44" s="378">
        <v>1.5100000000000001E-4</v>
      </c>
      <c r="M44" s="381">
        <v>0.21010000000000001</v>
      </c>
      <c r="N44" s="325"/>
      <c r="O44" s="371"/>
      <c r="P44" s="324">
        <v>0</v>
      </c>
      <c r="Q44" s="1010">
        <v>0</v>
      </c>
      <c r="R44" s="375">
        <v>67.930000000000007</v>
      </c>
      <c r="S44" s="445"/>
      <c r="T44" s="445"/>
      <c r="U44" s="445"/>
    </row>
    <row r="45" spans="2:29">
      <c r="B45" s="445"/>
      <c r="C45" s="445" t="s">
        <v>636</v>
      </c>
      <c r="D45" s="263"/>
      <c r="E45" s="445"/>
      <c r="F45" s="445"/>
      <c r="G45" s="445"/>
      <c r="H45" s="445"/>
      <c r="I45" s="445"/>
      <c r="J45" s="445"/>
      <c r="K45" s="445"/>
      <c r="L45" s="445"/>
      <c r="M45" s="445"/>
      <c r="N45" s="445"/>
      <c r="O45" s="445"/>
      <c r="P45" s="445"/>
      <c r="Q45" s="445"/>
      <c r="R45" s="445"/>
      <c r="S45" s="445"/>
      <c r="T45" s="445"/>
      <c r="U45" s="445"/>
    </row>
    <row r="46" spans="2:29" ht="14">
      <c r="B46" s="1009"/>
      <c r="C46" s="1009"/>
      <c r="D46" s="1009"/>
      <c r="E46" s="1009"/>
      <c r="F46" s="1009"/>
      <c r="G46" s="1009"/>
      <c r="H46" s="1009"/>
      <c r="I46" s="1009"/>
      <c r="J46" s="1009"/>
      <c r="K46" s="1009"/>
      <c r="L46" s="1009"/>
      <c r="M46" s="1009"/>
      <c r="N46" s="1009"/>
      <c r="O46" s="1009"/>
      <c r="P46" s="1009"/>
      <c r="Q46" s="1009"/>
      <c r="R46" s="1009"/>
      <c r="S46" s="1009"/>
      <c r="T46" s="1009"/>
      <c r="U46" s="1009"/>
    </row>
    <row r="47" spans="2:29" ht="16">
      <c r="B47" s="253" t="s">
        <v>416</v>
      </c>
      <c r="C47" s="253"/>
      <c r="D47" s="253"/>
      <c r="E47" s="253"/>
      <c r="F47" s="253"/>
      <c r="G47" s="253"/>
      <c r="H47" s="253"/>
      <c r="I47" s="253"/>
      <c r="J47" s="253"/>
      <c r="K47" s="253"/>
      <c r="L47" s="253"/>
      <c r="M47" s="253"/>
      <c r="N47" s="253"/>
      <c r="O47" s="253"/>
      <c r="P47" s="253"/>
      <c r="Q47" s="253"/>
      <c r="R47" s="253"/>
      <c r="S47" s="253"/>
      <c r="T47" s="253"/>
      <c r="U47" s="253"/>
    </row>
    <row r="48" spans="2:29" ht="14">
      <c r="B48" s="1009"/>
      <c r="C48" s="1009"/>
      <c r="D48" s="1009"/>
      <c r="E48" s="1009"/>
      <c r="F48" s="1009"/>
      <c r="G48" s="1009"/>
      <c r="H48" s="1009"/>
      <c r="I48" s="1009"/>
      <c r="J48" s="1009"/>
      <c r="K48" s="1009"/>
      <c r="L48" s="1009"/>
      <c r="M48" s="1009"/>
      <c r="N48" s="1009"/>
      <c r="O48" s="1009"/>
      <c r="P48" s="1009"/>
      <c r="Q48" s="1009"/>
      <c r="R48" s="1009"/>
      <c r="S48" s="1009"/>
      <c r="T48" s="1009"/>
      <c r="U48" s="1009"/>
    </row>
    <row r="49" spans="2:21" ht="14">
      <c r="B49" s="975"/>
      <c r="C49" s="975"/>
      <c r="D49" s="975"/>
      <c r="E49" s="975"/>
      <c r="F49" s="975"/>
      <c r="G49" s="975"/>
      <c r="H49" s="975"/>
      <c r="I49" s="975"/>
      <c r="J49" s="975"/>
      <c r="K49" s="975"/>
      <c r="L49" s="975"/>
      <c r="M49" s="975"/>
      <c r="N49" s="975"/>
      <c r="O49" s="975"/>
      <c r="P49" s="975"/>
      <c r="Q49" s="975"/>
      <c r="R49" s="975"/>
      <c r="S49" s="975"/>
      <c r="T49" s="975"/>
      <c r="U49" s="975"/>
    </row>
    <row r="50" spans="2:21" ht="15">
      <c r="B50" s="975"/>
      <c r="C50" s="326" t="s">
        <v>417</v>
      </c>
      <c r="D50" s="975"/>
      <c r="E50" s="975"/>
      <c r="F50" s="975"/>
      <c r="G50" s="975"/>
      <c r="H50" s="975"/>
      <c r="I50" s="326" t="s">
        <v>418</v>
      </c>
      <c r="J50" s="975"/>
      <c r="K50" s="975"/>
      <c r="L50" s="975"/>
      <c r="M50" s="975"/>
      <c r="N50" s="975"/>
      <c r="O50" s="975"/>
      <c r="P50" s="975"/>
      <c r="Q50" s="975"/>
      <c r="R50" s="975"/>
      <c r="S50" s="975"/>
      <c r="T50" s="975"/>
      <c r="U50" s="975"/>
    </row>
    <row r="51" spans="2:21" ht="14">
      <c r="C51" s="987" t="s">
        <v>419</v>
      </c>
      <c r="D51" s="987" t="s">
        <v>6</v>
      </c>
      <c r="E51" s="988" t="s">
        <v>637</v>
      </c>
      <c r="F51" s="988" t="s">
        <v>420</v>
      </c>
      <c r="G51" s="988" t="s">
        <v>421</v>
      </c>
      <c r="H51" s="975"/>
      <c r="I51" s="971"/>
      <c r="J51" s="1008" t="s">
        <v>422</v>
      </c>
      <c r="K51" s="1007" t="s">
        <v>423</v>
      </c>
      <c r="L51" s="975"/>
      <c r="M51" s="975"/>
    </row>
    <row r="52" spans="2:21" ht="14">
      <c r="C52" s="971" t="s">
        <v>401</v>
      </c>
      <c r="D52" s="971" t="s">
        <v>380</v>
      </c>
      <c r="E52" s="1001">
        <v>5.0000000000000002E-5</v>
      </c>
      <c r="F52" s="981">
        <v>7.0000000000000007E-2</v>
      </c>
      <c r="G52" s="990" t="s">
        <v>424</v>
      </c>
      <c r="H52" s="975"/>
      <c r="I52" s="1006" t="s">
        <v>424</v>
      </c>
      <c r="J52" s="1005">
        <v>0.5</v>
      </c>
      <c r="K52" s="1004">
        <v>697.7</v>
      </c>
      <c r="L52" s="975"/>
      <c r="M52" s="985"/>
    </row>
    <row r="53" spans="2:21" ht="14">
      <c r="C53" s="971" t="s">
        <v>402</v>
      </c>
      <c r="D53" s="971" t="s">
        <v>380</v>
      </c>
      <c r="E53" s="1001">
        <v>5.0000000000000002E-5</v>
      </c>
      <c r="F53" s="981">
        <v>7.0000000000000007E-2</v>
      </c>
      <c r="G53" s="990" t="s">
        <v>424</v>
      </c>
      <c r="H53" s="975"/>
      <c r="I53" s="1003" t="s">
        <v>405</v>
      </c>
      <c r="J53" s="331">
        <v>0.43</v>
      </c>
      <c r="K53" s="459">
        <v>55</v>
      </c>
      <c r="L53" s="975"/>
      <c r="M53" s="985"/>
    </row>
    <row r="54" spans="2:21" ht="14">
      <c r="C54" s="971" t="s">
        <v>403</v>
      </c>
      <c r="D54" s="971" t="s">
        <v>380</v>
      </c>
      <c r="E54" s="1001">
        <v>2.0000000000000002E-5</v>
      </c>
      <c r="F54" s="981">
        <v>0.03</v>
      </c>
      <c r="G54" s="990" t="s">
        <v>424</v>
      </c>
      <c r="H54" s="975"/>
      <c r="I54" s="1002" t="s">
        <v>425</v>
      </c>
      <c r="J54" s="332">
        <v>0.5</v>
      </c>
      <c r="K54" s="324">
        <v>697.7</v>
      </c>
      <c r="L54" s="975"/>
      <c r="M54" s="985"/>
    </row>
    <row r="55" spans="2:21" ht="14">
      <c r="C55" s="971" t="s">
        <v>404</v>
      </c>
      <c r="D55" s="971" t="s">
        <v>380</v>
      </c>
      <c r="E55" s="1001">
        <v>1.2E-4</v>
      </c>
      <c r="F55" s="981">
        <v>0.16</v>
      </c>
      <c r="G55" s="990" t="s">
        <v>424</v>
      </c>
      <c r="H55" s="975"/>
      <c r="I55" s="975"/>
      <c r="J55" s="975"/>
      <c r="K55" s="975"/>
      <c r="L55" s="975"/>
      <c r="M55" s="985"/>
    </row>
    <row r="56" spans="2:21" ht="14">
      <c r="C56" s="971" t="s">
        <v>426</v>
      </c>
      <c r="D56" s="971" t="s">
        <v>380</v>
      </c>
      <c r="E56" s="1001"/>
      <c r="F56" s="981"/>
      <c r="G56" s="990"/>
      <c r="H56" s="975"/>
      <c r="I56" s="975"/>
      <c r="J56" s="975"/>
      <c r="K56" s="975"/>
      <c r="L56" s="975"/>
      <c r="M56" s="985"/>
    </row>
    <row r="57" spans="2:21" ht="14">
      <c r="C57" s="971" t="s">
        <v>635</v>
      </c>
      <c r="D57" s="971" t="s">
        <v>380</v>
      </c>
      <c r="E57" s="1001"/>
      <c r="F57" s="981"/>
      <c r="G57" s="990"/>
      <c r="H57" s="975"/>
      <c r="I57" s="975"/>
      <c r="J57" s="975"/>
      <c r="K57" s="975"/>
      <c r="L57" s="975"/>
      <c r="M57" s="985"/>
    </row>
    <row r="58" spans="2:21" ht="14">
      <c r="C58" s="971" t="s">
        <v>405</v>
      </c>
      <c r="D58" s="971" t="s">
        <v>380</v>
      </c>
      <c r="E58" s="1001">
        <v>6.9999999999999994E-5</v>
      </c>
      <c r="F58" s="981">
        <v>0.01</v>
      </c>
      <c r="G58" s="990" t="s">
        <v>405</v>
      </c>
      <c r="H58" s="975"/>
      <c r="I58" s="975"/>
      <c r="J58" s="975"/>
      <c r="K58" s="975"/>
      <c r="L58" s="975"/>
      <c r="M58" s="985"/>
    </row>
    <row r="59" spans="2:21" ht="14">
      <c r="C59" s="971" t="s">
        <v>406</v>
      </c>
      <c r="D59" s="971" t="s">
        <v>380</v>
      </c>
      <c r="E59" s="1001">
        <v>2.0000000000000002E-5</v>
      </c>
      <c r="F59" s="981">
        <v>0.03</v>
      </c>
      <c r="G59" s="990" t="s">
        <v>424</v>
      </c>
      <c r="H59" s="975"/>
      <c r="I59" s="975"/>
      <c r="J59" s="975"/>
      <c r="K59" s="975"/>
      <c r="L59" s="975"/>
      <c r="M59" s="985"/>
    </row>
    <row r="60" spans="2:21" ht="14">
      <c r="C60" s="971" t="s">
        <v>407</v>
      </c>
      <c r="D60" s="971" t="s">
        <v>380</v>
      </c>
      <c r="E60" s="1001">
        <v>2.0000000000000002E-5</v>
      </c>
      <c r="F60" s="981">
        <v>0.03</v>
      </c>
      <c r="G60" s="990" t="s">
        <v>424</v>
      </c>
      <c r="H60" s="975"/>
      <c r="I60" s="975"/>
      <c r="J60" s="975"/>
      <c r="K60" s="975"/>
      <c r="L60" s="975"/>
      <c r="M60" s="985"/>
    </row>
    <row r="61" spans="2:21" ht="14">
      <c r="C61" s="971" t="s">
        <v>408</v>
      </c>
      <c r="D61" s="971" t="s">
        <v>380</v>
      </c>
      <c r="E61" s="1001">
        <v>3.0000000000000001E-5</v>
      </c>
      <c r="F61" s="981">
        <v>0.04</v>
      </c>
      <c r="G61" s="990" t="s">
        <v>424</v>
      </c>
      <c r="H61" s="975"/>
      <c r="I61" s="975"/>
      <c r="J61" s="975"/>
      <c r="K61" s="975"/>
      <c r="L61" s="975"/>
      <c r="M61" s="985"/>
    </row>
    <row r="62" spans="2:21" ht="14">
      <c r="C62" s="971" t="s">
        <v>409</v>
      </c>
      <c r="D62" s="971" t="s">
        <v>380</v>
      </c>
      <c r="E62" s="1001">
        <v>3.0000000000000001E-5</v>
      </c>
      <c r="F62" s="981">
        <v>0.04</v>
      </c>
      <c r="G62" s="990" t="s">
        <v>424</v>
      </c>
      <c r="H62" s="975"/>
      <c r="I62" s="975"/>
      <c r="J62" s="975"/>
      <c r="K62" s="975"/>
      <c r="L62" s="975"/>
      <c r="M62" s="985"/>
    </row>
    <row r="63" spans="2:21" ht="14">
      <c r="C63" s="971" t="s">
        <v>410</v>
      </c>
      <c r="D63" s="971" t="s">
        <v>380</v>
      </c>
      <c r="E63" s="1001">
        <v>4.0000000000000003E-5</v>
      </c>
      <c r="F63" s="981">
        <v>0.06</v>
      </c>
      <c r="G63" s="990" t="s">
        <v>424</v>
      </c>
      <c r="H63" s="975"/>
      <c r="I63" s="975"/>
      <c r="J63" s="975"/>
      <c r="K63" s="975"/>
      <c r="L63" s="975"/>
      <c r="M63" s="985"/>
    </row>
    <row r="64" spans="2:21" ht="14">
      <c r="C64" s="971" t="s">
        <v>411</v>
      </c>
      <c r="D64" s="971" t="s">
        <v>380</v>
      </c>
      <c r="E64" s="1001">
        <v>1.1E-4</v>
      </c>
      <c r="F64" s="981">
        <v>0.15</v>
      </c>
      <c r="G64" s="990" t="s">
        <v>425</v>
      </c>
      <c r="H64" s="975"/>
      <c r="I64" s="975"/>
      <c r="J64" s="975"/>
      <c r="K64" s="975"/>
      <c r="L64" s="975"/>
      <c r="M64" s="985"/>
    </row>
    <row r="65" spans="3:13" ht="14">
      <c r="C65" s="971" t="s">
        <v>412</v>
      </c>
      <c r="D65" s="971" t="s">
        <v>380</v>
      </c>
      <c r="E65" s="1001">
        <v>0</v>
      </c>
      <c r="F65" s="981">
        <v>0</v>
      </c>
      <c r="G65" s="990" t="s">
        <v>424</v>
      </c>
      <c r="H65" s="975"/>
      <c r="I65" s="975"/>
      <c r="J65" s="975"/>
      <c r="K65" s="975"/>
      <c r="L65" s="975"/>
      <c r="M65" s="985"/>
    </row>
    <row r="66" spans="3:13" ht="14">
      <c r="C66" s="971" t="s">
        <v>413</v>
      </c>
      <c r="D66" s="971" t="s">
        <v>380</v>
      </c>
      <c r="E66" s="1001">
        <v>8.0000000000000007E-5</v>
      </c>
      <c r="F66" s="981">
        <v>0.01</v>
      </c>
      <c r="G66" s="990" t="s">
        <v>405</v>
      </c>
      <c r="H66" s="975"/>
      <c r="I66" s="975"/>
      <c r="J66" s="975"/>
      <c r="K66" s="975"/>
      <c r="L66" s="975"/>
      <c r="M66" s="985"/>
    </row>
    <row r="67" spans="3:13" ht="14">
      <c r="C67" s="971" t="s">
        <v>414</v>
      </c>
      <c r="D67" s="971" t="s">
        <v>380</v>
      </c>
      <c r="E67" s="1001">
        <v>1.4999999999999999E-4</v>
      </c>
      <c r="F67" s="981">
        <v>0.21</v>
      </c>
      <c r="G67" s="990" t="s">
        <v>424</v>
      </c>
      <c r="H67" s="975"/>
      <c r="I67" s="975"/>
      <c r="J67" s="975"/>
      <c r="K67" s="975"/>
      <c r="L67" s="975"/>
      <c r="M67" s="985"/>
    </row>
    <row r="68" spans="3:13" ht="14">
      <c r="C68" s="975"/>
      <c r="D68" s="975"/>
      <c r="E68" s="975"/>
      <c r="F68" s="975"/>
      <c r="G68" s="975"/>
      <c r="H68" s="975"/>
      <c r="I68" s="975"/>
      <c r="J68" s="975"/>
      <c r="K68" s="975"/>
    </row>
    <row r="69" spans="3:13" ht="15">
      <c r="C69" s="326" t="s">
        <v>427</v>
      </c>
      <c r="D69" s="975"/>
      <c r="E69" s="975"/>
      <c r="F69" s="975"/>
      <c r="G69" s="975"/>
      <c r="H69" s="975"/>
      <c r="I69" s="975"/>
      <c r="J69" s="975"/>
      <c r="K69" s="975"/>
    </row>
    <row r="70" spans="3:13" ht="14">
      <c r="C70" s="987" t="s">
        <v>419</v>
      </c>
      <c r="D70" s="987" t="s">
        <v>6</v>
      </c>
      <c r="E70" s="987" t="s">
        <v>428</v>
      </c>
      <c r="F70" s="987">
        <v>2015</v>
      </c>
      <c r="G70" s="987">
        <v>2020</v>
      </c>
      <c r="H70" s="987">
        <v>2035</v>
      </c>
      <c r="I70" s="987">
        <v>2050</v>
      </c>
      <c r="J70" s="987" t="s">
        <v>429</v>
      </c>
      <c r="K70" s="987" t="s">
        <v>319</v>
      </c>
    </row>
    <row r="71" spans="3:13" ht="14">
      <c r="C71" s="971" t="s">
        <v>401</v>
      </c>
      <c r="D71" s="971" t="s">
        <v>430</v>
      </c>
      <c r="E71" s="981">
        <v>1.8</v>
      </c>
      <c r="F71" s="990">
        <v>1.8</v>
      </c>
      <c r="G71" s="990">
        <v>1.8</v>
      </c>
      <c r="H71" s="990">
        <v>1.8</v>
      </c>
      <c r="I71" s="990">
        <v>1.8</v>
      </c>
      <c r="J71" s="971"/>
      <c r="K71" s="978" t="s">
        <v>431</v>
      </c>
    </row>
    <row r="72" spans="3:13" ht="14">
      <c r="C72" s="971" t="s">
        <v>402</v>
      </c>
      <c r="D72" s="971" t="s">
        <v>430</v>
      </c>
      <c r="E72" s="981">
        <v>1.8</v>
      </c>
      <c r="F72" s="1000">
        <v>1.8</v>
      </c>
      <c r="G72" s="1000">
        <v>1.8</v>
      </c>
      <c r="H72" s="1000">
        <v>1.8</v>
      </c>
      <c r="I72" s="1000">
        <v>1.8</v>
      </c>
      <c r="J72" s="996" t="s">
        <v>432</v>
      </c>
      <c r="K72" s="999" t="s">
        <v>433</v>
      </c>
    </row>
    <row r="73" spans="3:13" ht="14">
      <c r="C73" s="971" t="s">
        <v>403</v>
      </c>
      <c r="D73" s="971" t="s">
        <v>430</v>
      </c>
      <c r="E73" s="981">
        <v>0.53</v>
      </c>
      <c r="F73" s="990">
        <v>0.53</v>
      </c>
      <c r="G73" s="990">
        <v>0.53</v>
      </c>
      <c r="H73" s="990">
        <v>0.53</v>
      </c>
      <c r="I73" s="990">
        <v>0.53</v>
      </c>
      <c r="J73" s="971"/>
      <c r="K73" s="978" t="s">
        <v>638</v>
      </c>
    </row>
    <row r="74" spans="3:13" ht="14">
      <c r="C74" s="971" t="s">
        <v>404</v>
      </c>
      <c r="D74" s="971" t="s">
        <v>430</v>
      </c>
      <c r="E74" s="981">
        <v>6.23</v>
      </c>
      <c r="F74" s="994">
        <v>6.23</v>
      </c>
      <c r="G74" s="994">
        <v>6.23</v>
      </c>
      <c r="H74" s="994">
        <v>6.23</v>
      </c>
      <c r="I74" s="994">
        <v>6.23</v>
      </c>
      <c r="J74" s="971"/>
      <c r="K74" s="978" t="s">
        <v>638</v>
      </c>
    </row>
    <row r="75" spans="3:13" ht="14">
      <c r="C75" s="971" t="s">
        <v>426</v>
      </c>
      <c r="D75" s="971"/>
      <c r="E75" s="981"/>
      <c r="F75" s="994"/>
      <c r="G75" s="994"/>
      <c r="H75" s="994"/>
      <c r="I75" s="994"/>
      <c r="J75" s="971"/>
      <c r="K75" s="978"/>
    </row>
    <row r="76" spans="3:13" ht="14">
      <c r="C76" s="971" t="s">
        <v>635</v>
      </c>
      <c r="D76" s="971" t="s">
        <v>430</v>
      </c>
      <c r="E76" s="981">
        <v>9.67</v>
      </c>
      <c r="F76" s="994">
        <v>9.67</v>
      </c>
      <c r="G76" s="994">
        <v>9.67</v>
      </c>
      <c r="H76" s="994">
        <v>9.67</v>
      </c>
      <c r="I76" s="994">
        <v>9.67</v>
      </c>
      <c r="J76" s="971" t="s">
        <v>639</v>
      </c>
      <c r="K76" s="978" t="s">
        <v>638</v>
      </c>
    </row>
    <row r="77" spans="3:13" ht="14">
      <c r="C77" s="971" t="s">
        <v>405</v>
      </c>
      <c r="D77" s="971" t="s">
        <v>435</v>
      </c>
      <c r="E77" s="981">
        <v>6.71</v>
      </c>
      <c r="F77" s="990">
        <v>6.71</v>
      </c>
      <c r="G77" s="990">
        <v>6.71</v>
      </c>
      <c r="H77" s="990">
        <v>6.71</v>
      </c>
      <c r="I77" s="990">
        <v>6.71</v>
      </c>
      <c r="J77" s="971" t="s">
        <v>640</v>
      </c>
      <c r="K77" s="978" t="s">
        <v>638</v>
      </c>
    </row>
    <row r="78" spans="3:13" ht="14">
      <c r="C78" s="971" t="s">
        <v>406</v>
      </c>
      <c r="D78" s="971" t="s">
        <v>430</v>
      </c>
      <c r="E78" s="981">
        <v>0.67</v>
      </c>
      <c r="F78" s="994">
        <v>0.67</v>
      </c>
      <c r="G78" s="994">
        <v>0.67</v>
      </c>
      <c r="H78" s="994">
        <v>0.67</v>
      </c>
      <c r="I78" s="994">
        <v>0.67</v>
      </c>
      <c r="J78" s="971" t="s">
        <v>436</v>
      </c>
      <c r="K78" s="978" t="s">
        <v>431</v>
      </c>
    </row>
    <row r="79" spans="3:13" ht="14">
      <c r="C79" s="971" t="s">
        <v>407</v>
      </c>
      <c r="D79" s="971" t="s">
        <v>430</v>
      </c>
      <c r="E79" s="981">
        <v>0.67</v>
      </c>
      <c r="F79" s="995">
        <v>0.67</v>
      </c>
      <c r="G79" s="995">
        <v>0.67</v>
      </c>
      <c r="H79" s="995">
        <v>0.67</v>
      </c>
      <c r="I79" s="995">
        <v>0.67</v>
      </c>
      <c r="J79" s="984" t="s">
        <v>437</v>
      </c>
      <c r="K79" s="986"/>
    </row>
    <row r="80" spans="3:13" ht="14">
      <c r="C80" s="971" t="s">
        <v>408</v>
      </c>
      <c r="D80" s="971" t="s">
        <v>438</v>
      </c>
      <c r="E80" s="981">
        <v>0.05</v>
      </c>
      <c r="F80" s="990">
        <v>0.05</v>
      </c>
      <c r="G80" s="990">
        <v>0.05</v>
      </c>
      <c r="H80" s="990">
        <v>0.05</v>
      </c>
      <c r="I80" s="990">
        <v>0.05</v>
      </c>
      <c r="J80" s="991"/>
      <c r="K80" s="979" t="s">
        <v>641</v>
      </c>
    </row>
    <row r="81" spans="3:23" ht="14">
      <c r="C81" s="971" t="s">
        <v>409</v>
      </c>
      <c r="D81" s="971" t="s">
        <v>438</v>
      </c>
      <c r="E81" s="981">
        <v>0.05</v>
      </c>
      <c r="F81" s="990">
        <v>0.05</v>
      </c>
      <c r="G81" s="990">
        <v>0.05</v>
      </c>
      <c r="H81" s="990">
        <v>0.05</v>
      </c>
      <c r="I81" s="990">
        <v>0.05</v>
      </c>
      <c r="J81" s="991"/>
      <c r="K81" s="979" t="s">
        <v>641</v>
      </c>
    </row>
    <row r="82" spans="3:23" ht="14">
      <c r="C82" s="971" t="s">
        <v>410</v>
      </c>
      <c r="D82" s="971" t="s">
        <v>430</v>
      </c>
      <c r="E82" s="981">
        <v>2.36</v>
      </c>
      <c r="F82" s="994">
        <v>2.36</v>
      </c>
      <c r="G82" s="994">
        <v>2.36</v>
      </c>
      <c r="H82" s="994">
        <v>2.36</v>
      </c>
      <c r="I82" s="994">
        <v>2.36</v>
      </c>
      <c r="J82" s="971"/>
      <c r="K82" s="979" t="s">
        <v>642</v>
      </c>
    </row>
    <row r="83" spans="3:23" ht="14">
      <c r="C83" s="971" t="s">
        <v>411</v>
      </c>
      <c r="D83" s="971" t="s">
        <v>430</v>
      </c>
      <c r="E83" s="981">
        <v>9.08</v>
      </c>
      <c r="F83" s="994">
        <v>9.08</v>
      </c>
      <c r="G83" s="994">
        <v>9.18</v>
      </c>
      <c r="H83" s="994">
        <v>8.8699999999999992</v>
      </c>
      <c r="I83" s="994">
        <v>8.26</v>
      </c>
      <c r="J83" s="971"/>
      <c r="K83" s="978"/>
    </row>
    <row r="84" spans="3:23" ht="14">
      <c r="C84" s="971" t="s">
        <v>412</v>
      </c>
      <c r="D84" s="971" t="s">
        <v>430</v>
      </c>
      <c r="E84" s="981">
        <v>0</v>
      </c>
      <c r="F84" s="998"/>
      <c r="G84" s="998"/>
      <c r="H84" s="998"/>
      <c r="I84" s="998"/>
      <c r="J84" s="971"/>
      <c r="K84" s="978"/>
    </row>
    <row r="85" spans="3:23" ht="14">
      <c r="C85" s="971" t="s">
        <v>413</v>
      </c>
      <c r="D85" s="971" t="s">
        <v>430</v>
      </c>
      <c r="E85" s="981">
        <v>4.7699999999999996</v>
      </c>
      <c r="F85" s="990">
        <v>4.7699999999999996</v>
      </c>
      <c r="G85" s="990">
        <v>4.7699999999999996</v>
      </c>
      <c r="H85" s="990">
        <v>4.7699999999999996</v>
      </c>
      <c r="I85" s="990">
        <v>4.7699999999999996</v>
      </c>
      <c r="J85" s="971" t="s">
        <v>439</v>
      </c>
      <c r="K85" s="979" t="s">
        <v>431</v>
      </c>
      <c r="L85" s="975"/>
      <c r="M85" s="975"/>
      <c r="N85" s="975"/>
      <c r="O85" s="975"/>
      <c r="P85" s="975"/>
      <c r="Q85" s="975"/>
      <c r="R85" s="975"/>
      <c r="S85" s="975"/>
      <c r="T85" s="975"/>
      <c r="U85" s="975"/>
      <c r="V85" s="975"/>
      <c r="W85" s="975"/>
    </row>
    <row r="86" spans="3:23" ht="14">
      <c r="C86" s="971" t="s">
        <v>414</v>
      </c>
      <c r="D86" s="971" t="s">
        <v>430</v>
      </c>
      <c r="E86" s="981">
        <v>11.14</v>
      </c>
      <c r="F86" s="990">
        <v>11.14</v>
      </c>
      <c r="G86" s="990">
        <v>11.14</v>
      </c>
      <c r="H86" s="990">
        <v>11.14</v>
      </c>
      <c r="I86" s="990">
        <v>11.14</v>
      </c>
      <c r="J86" s="971" t="s">
        <v>440</v>
      </c>
      <c r="K86" s="979" t="s">
        <v>431</v>
      </c>
      <c r="L86" s="975"/>
      <c r="M86" s="975"/>
      <c r="N86" s="975"/>
      <c r="O86" s="975"/>
      <c r="P86" s="975"/>
      <c r="Q86" s="975"/>
      <c r="R86" s="975"/>
      <c r="S86" s="975"/>
      <c r="T86" s="975"/>
      <c r="U86" s="975"/>
      <c r="V86" s="975"/>
      <c r="W86" s="975"/>
    </row>
    <row r="87" spans="3:23" ht="14">
      <c r="C87" s="975"/>
      <c r="D87" s="975"/>
      <c r="E87" s="975"/>
      <c r="F87" s="975"/>
      <c r="G87" s="975"/>
      <c r="H87" s="975"/>
      <c r="I87" s="975"/>
      <c r="J87" s="975"/>
      <c r="K87" s="975"/>
      <c r="L87" s="975"/>
      <c r="M87" s="975"/>
      <c r="N87" s="975"/>
      <c r="O87" s="975"/>
      <c r="P87" s="975"/>
      <c r="Q87" s="975"/>
      <c r="R87" s="975"/>
      <c r="S87" s="975"/>
      <c r="T87" s="975"/>
      <c r="U87" s="975"/>
      <c r="V87" s="975"/>
      <c r="W87" s="975"/>
    </row>
    <row r="88" spans="3:23" ht="15">
      <c r="C88" s="326" t="s">
        <v>643</v>
      </c>
      <c r="D88" s="975"/>
      <c r="E88" s="975"/>
      <c r="F88" s="975"/>
      <c r="G88" s="975"/>
      <c r="H88" s="975"/>
      <c r="I88" s="975"/>
      <c r="J88" s="975"/>
      <c r="K88" s="975"/>
      <c r="L88" s="975"/>
      <c r="M88" s="975"/>
      <c r="N88" s="975"/>
      <c r="O88" s="975"/>
      <c r="P88" s="975"/>
      <c r="Q88" s="975"/>
      <c r="R88" s="975"/>
      <c r="S88" s="975"/>
      <c r="T88" s="975"/>
      <c r="U88" s="975"/>
      <c r="V88" s="975"/>
      <c r="W88" s="975"/>
    </row>
    <row r="89" spans="3:23" ht="14">
      <c r="C89" s="987" t="s">
        <v>419</v>
      </c>
      <c r="D89" s="987" t="s">
        <v>6</v>
      </c>
      <c r="E89" s="987" t="s">
        <v>428</v>
      </c>
      <c r="F89" s="987">
        <v>2015</v>
      </c>
      <c r="G89" s="987">
        <v>2020</v>
      </c>
      <c r="H89" s="987">
        <v>2035</v>
      </c>
      <c r="I89" s="987">
        <v>2050</v>
      </c>
      <c r="J89" s="987" t="s">
        <v>429</v>
      </c>
      <c r="K89" s="987" t="s">
        <v>319</v>
      </c>
      <c r="L89" s="975"/>
      <c r="M89" s="975"/>
      <c r="N89" s="975"/>
      <c r="O89" s="975"/>
      <c r="P89" s="975"/>
      <c r="Q89" s="975"/>
      <c r="R89" s="975"/>
      <c r="S89" s="975"/>
      <c r="T89" s="975"/>
      <c r="U89" s="975"/>
      <c r="V89" s="975"/>
      <c r="W89" s="975"/>
    </row>
    <row r="90" spans="3:23" ht="14">
      <c r="C90" s="971" t="s">
        <v>401</v>
      </c>
      <c r="D90" s="971" t="s">
        <v>380</v>
      </c>
      <c r="E90" s="981">
        <v>16.739999999999998</v>
      </c>
      <c r="F90" s="966">
        <v>17</v>
      </c>
      <c r="G90" s="966">
        <v>17</v>
      </c>
      <c r="H90" s="966">
        <v>17</v>
      </c>
      <c r="I90" s="966">
        <v>17</v>
      </c>
      <c r="J90" s="971" t="s">
        <v>434</v>
      </c>
      <c r="K90" s="978" t="s">
        <v>431</v>
      </c>
      <c r="L90" s="975"/>
      <c r="M90" s="975"/>
      <c r="N90" s="975"/>
      <c r="O90" s="975"/>
      <c r="P90" s="975"/>
      <c r="Q90" s="975"/>
      <c r="R90" s="975"/>
      <c r="S90" s="975"/>
      <c r="T90" s="975"/>
      <c r="U90" s="975"/>
      <c r="V90" s="975"/>
      <c r="W90" s="989"/>
    </row>
    <row r="91" spans="3:23" ht="14">
      <c r="C91" s="971" t="s">
        <v>402</v>
      </c>
      <c r="D91" s="971" t="s">
        <v>380</v>
      </c>
      <c r="E91" s="981">
        <v>9.26</v>
      </c>
      <c r="F91" s="997">
        <v>9</v>
      </c>
      <c r="G91" s="997">
        <v>9</v>
      </c>
      <c r="H91" s="997">
        <v>9</v>
      </c>
      <c r="I91" s="997">
        <v>9</v>
      </c>
      <c r="J91" s="996"/>
      <c r="K91" s="978" t="s">
        <v>431</v>
      </c>
      <c r="L91" s="975"/>
      <c r="M91" s="975"/>
      <c r="N91" s="975"/>
      <c r="O91" s="975"/>
      <c r="P91" s="975"/>
      <c r="Q91" s="975"/>
      <c r="R91" s="975"/>
      <c r="S91" s="975"/>
      <c r="T91" s="975"/>
      <c r="U91" s="975"/>
      <c r="V91" s="975"/>
      <c r="W91" s="989"/>
    </row>
    <row r="92" spans="3:23" ht="14">
      <c r="C92" s="971" t="s">
        <v>403</v>
      </c>
      <c r="D92" s="971" t="s">
        <v>380</v>
      </c>
      <c r="E92" s="981">
        <v>2.5099999999999998</v>
      </c>
      <c r="F92" s="990">
        <v>2.5099999999999998</v>
      </c>
      <c r="G92" s="990">
        <v>2.5099999999999998</v>
      </c>
      <c r="H92" s="990">
        <v>2.5099999999999998</v>
      </c>
      <c r="I92" s="990">
        <v>2.5099999999999998</v>
      </c>
      <c r="J92" s="971"/>
      <c r="K92" s="978" t="s">
        <v>638</v>
      </c>
      <c r="L92" s="975"/>
      <c r="M92" s="975"/>
      <c r="N92" s="975"/>
      <c r="O92" s="975"/>
      <c r="P92" s="975"/>
      <c r="Q92" s="975"/>
      <c r="R92" s="975"/>
      <c r="S92" s="975"/>
      <c r="T92" s="975"/>
      <c r="U92" s="975"/>
      <c r="V92" s="975"/>
      <c r="W92" s="989"/>
    </row>
    <row r="93" spans="3:23" ht="14">
      <c r="C93" s="971" t="s">
        <v>404</v>
      </c>
      <c r="D93" s="971" t="s">
        <v>380</v>
      </c>
      <c r="E93" s="981">
        <v>35.880000000000003</v>
      </c>
      <c r="F93" s="994">
        <v>35.880000000000003</v>
      </c>
      <c r="G93" s="994">
        <v>35.880000000000003</v>
      </c>
      <c r="H93" s="994">
        <v>35.880000000000003</v>
      </c>
      <c r="I93" s="994">
        <v>35.880000000000003</v>
      </c>
      <c r="J93" s="971"/>
      <c r="K93" s="978" t="s">
        <v>638</v>
      </c>
      <c r="L93" s="975"/>
      <c r="M93" s="975"/>
      <c r="N93" s="975"/>
      <c r="O93" s="975"/>
      <c r="P93" s="975"/>
      <c r="Q93" s="975"/>
      <c r="R93" s="975"/>
      <c r="S93" s="975"/>
      <c r="T93" s="975"/>
      <c r="U93" s="975"/>
      <c r="V93" s="975"/>
      <c r="W93" s="989"/>
    </row>
    <row r="94" spans="3:23" ht="14">
      <c r="C94" s="971" t="s">
        <v>426</v>
      </c>
      <c r="D94" s="971"/>
      <c r="E94" s="981"/>
      <c r="F94" s="994"/>
      <c r="G94" s="994"/>
      <c r="H94" s="994"/>
      <c r="I94" s="994"/>
      <c r="J94" s="971"/>
      <c r="K94" s="978"/>
      <c r="L94" s="975"/>
      <c r="M94" s="975"/>
      <c r="N94" s="975"/>
      <c r="O94" s="975"/>
      <c r="P94" s="975"/>
      <c r="Q94" s="975"/>
      <c r="R94" s="975"/>
      <c r="S94" s="975"/>
      <c r="T94" s="975"/>
      <c r="U94" s="975"/>
      <c r="V94" s="975"/>
      <c r="W94" s="989"/>
    </row>
    <row r="95" spans="3:23" ht="14">
      <c r="C95" s="971" t="s">
        <v>635</v>
      </c>
      <c r="D95" s="971" t="s">
        <v>380</v>
      </c>
      <c r="E95" s="981">
        <v>48.61</v>
      </c>
      <c r="F95" s="994">
        <v>48.61</v>
      </c>
      <c r="G95" s="994">
        <v>48.61</v>
      </c>
      <c r="H95" s="994">
        <v>48.61</v>
      </c>
      <c r="I95" s="994">
        <v>48.61</v>
      </c>
      <c r="J95" s="971" t="s">
        <v>440</v>
      </c>
      <c r="K95" s="978" t="s">
        <v>638</v>
      </c>
      <c r="L95" s="975"/>
      <c r="M95" s="975"/>
      <c r="N95" s="975"/>
      <c r="O95" s="975"/>
      <c r="P95" s="975"/>
      <c r="Q95" s="975"/>
      <c r="R95" s="975"/>
      <c r="S95" s="975"/>
      <c r="T95" s="975"/>
      <c r="U95" s="975"/>
      <c r="V95" s="975"/>
      <c r="W95" s="989"/>
    </row>
    <row r="96" spans="3:23" ht="14">
      <c r="C96" s="971" t="s">
        <v>405</v>
      </c>
      <c r="D96" s="971" t="s">
        <v>380</v>
      </c>
      <c r="E96" s="981">
        <v>13</v>
      </c>
      <c r="F96" s="994">
        <v>13</v>
      </c>
      <c r="G96" s="994">
        <v>13</v>
      </c>
      <c r="H96" s="994">
        <v>13</v>
      </c>
      <c r="I96" s="994">
        <v>13</v>
      </c>
      <c r="J96" s="971" t="s">
        <v>640</v>
      </c>
      <c r="K96" s="978" t="s">
        <v>638</v>
      </c>
      <c r="L96" s="975"/>
      <c r="M96" s="975"/>
      <c r="N96" s="975"/>
      <c r="O96" s="975"/>
      <c r="P96" s="975"/>
      <c r="Q96" s="975"/>
      <c r="R96" s="975"/>
      <c r="S96" s="975"/>
      <c r="T96" s="975"/>
      <c r="U96" s="975"/>
      <c r="V96" s="975"/>
      <c r="W96" s="989"/>
    </row>
    <row r="97" spans="3:37" ht="14">
      <c r="C97" s="971" t="s">
        <v>406</v>
      </c>
      <c r="D97" s="971" t="s">
        <v>380</v>
      </c>
      <c r="E97" s="981">
        <v>5.4</v>
      </c>
      <c r="F97" s="994">
        <v>5.4</v>
      </c>
      <c r="G97" s="994">
        <v>5.4</v>
      </c>
      <c r="H97" s="994">
        <v>5.4</v>
      </c>
      <c r="I97" s="994">
        <v>5.4</v>
      </c>
      <c r="J97" s="971" t="s">
        <v>436</v>
      </c>
      <c r="K97" s="978" t="s">
        <v>431</v>
      </c>
      <c r="L97" s="975"/>
      <c r="M97" s="975"/>
      <c r="N97" s="975"/>
      <c r="O97" s="975"/>
      <c r="P97" s="975"/>
      <c r="Q97" s="975"/>
      <c r="R97" s="975"/>
      <c r="S97" s="975"/>
      <c r="T97" s="975"/>
      <c r="U97" s="975"/>
      <c r="V97" s="975"/>
      <c r="W97" s="989"/>
    </row>
    <row r="98" spans="3:37" ht="14">
      <c r="C98" s="971" t="s">
        <v>407</v>
      </c>
      <c r="D98" s="971" t="s">
        <v>380</v>
      </c>
      <c r="E98" s="981">
        <v>5.4</v>
      </c>
      <c r="F98" s="995">
        <v>5.4</v>
      </c>
      <c r="G98" s="995">
        <v>5.4</v>
      </c>
      <c r="H98" s="995">
        <v>5.4</v>
      </c>
      <c r="I98" s="995">
        <v>5.4</v>
      </c>
      <c r="J98" s="984" t="s">
        <v>441</v>
      </c>
      <c r="K98" s="986"/>
      <c r="L98" s="975"/>
      <c r="M98" s="975"/>
      <c r="N98" s="975"/>
      <c r="O98" s="975"/>
      <c r="P98" s="975"/>
      <c r="Q98" s="975"/>
      <c r="R98" s="975"/>
      <c r="S98" s="975"/>
      <c r="T98" s="975"/>
      <c r="U98" s="975"/>
      <c r="V98" s="975"/>
      <c r="W98" s="989"/>
    </row>
    <row r="99" spans="3:37" ht="14">
      <c r="C99" s="971" t="s">
        <v>408</v>
      </c>
      <c r="D99" s="971" t="s">
        <v>380</v>
      </c>
      <c r="E99" s="981">
        <v>0.26</v>
      </c>
      <c r="F99" s="981">
        <v>0.26</v>
      </c>
      <c r="G99" s="981">
        <v>0.23</v>
      </c>
      <c r="H99" s="981">
        <v>0.22</v>
      </c>
      <c r="I99" s="981">
        <v>0</v>
      </c>
      <c r="J99" s="991" t="s">
        <v>442</v>
      </c>
      <c r="K99" s="979" t="s">
        <v>641</v>
      </c>
      <c r="L99" s="975"/>
      <c r="M99" s="975"/>
      <c r="N99" s="975"/>
      <c r="O99" s="975"/>
      <c r="P99" s="975"/>
      <c r="Q99" s="975"/>
      <c r="R99" s="975"/>
      <c r="S99" s="975"/>
      <c r="T99" s="975"/>
      <c r="U99" s="975"/>
      <c r="V99" s="975"/>
      <c r="W99" s="989"/>
    </row>
    <row r="100" spans="3:37" ht="14">
      <c r="C100" s="971" t="s">
        <v>409</v>
      </c>
      <c r="D100" s="971" t="s">
        <v>380</v>
      </c>
      <c r="E100" s="981">
        <v>0.26</v>
      </c>
      <c r="F100" s="981">
        <v>0.26</v>
      </c>
      <c r="G100" s="981">
        <v>0.23</v>
      </c>
      <c r="H100" s="981">
        <v>0.22</v>
      </c>
      <c r="I100" s="981">
        <v>0</v>
      </c>
      <c r="J100" s="991" t="s">
        <v>442</v>
      </c>
      <c r="K100" s="979" t="s">
        <v>641</v>
      </c>
      <c r="L100" s="975"/>
      <c r="M100" s="975"/>
      <c r="N100" s="975"/>
      <c r="O100" s="975"/>
      <c r="P100" s="975"/>
      <c r="Q100" s="975"/>
      <c r="R100" s="975"/>
      <c r="S100" s="975"/>
      <c r="T100" s="975"/>
      <c r="U100" s="975"/>
      <c r="V100" s="975"/>
      <c r="W100" s="989"/>
    </row>
    <row r="101" spans="3:37" ht="14">
      <c r="C101" s="971" t="s">
        <v>410</v>
      </c>
      <c r="D101" s="971" t="s">
        <v>380</v>
      </c>
      <c r="E101" s="981">
        <v>15.32</v>
      </c>
      <c r="F101" s="994">
        <v>15.32</v>
      </c>
      <c r="G101" s="994">
        <v>15.32</v>
      </c>
      <c r="H101" s="994">
        <v>15.32</v>
      </c>
      <c r="I101" s="994">
        <v>15.32</v>
      </c>
      <c r="J101" s="971"/>
      <c r="K101" s="979" t="s">
        <v>642</v>
      </c>
      <c r="L101" s="975"/>
      <c r="M101" s="975"/>
      <c r="N101" s="975"/>
      <c r="O101" s="975"/>
      <c r="P101" s="975"/>
      <c r="Q101" s="975"/>
      <c r="R101" s="975"/>
      <c r="S101" s="975"/>
      <c r="T101" s="975"/>
      <c r="U101" s="975"/>
      <c r="V101" s="975"/>
      <c r="W101" s="989"/>
    </row>
    <row r="102" spans="3:37" ht="14">
      <c r="C102" s="971" t="s">
        <v>411</v>
      </c>
      <c r="D102" s="971" t="s">
        <v>380</v>
      </c>
      <c r="E102" s="981">
        <v>22.6</v>
      </c>
      <c r="F102" s="994">
        <v>22.6</v>
      </c>
      <c r="G102" s="994">
        <v>23.19</v>
      </c>
      <c r="H102" s="994">
        <v>21.56</v>
      </c>
      <c r="I102" s="994">
        <v>19.3</v>
      </c>
      <c r="J102" s="971"/>
      <c r="K102" s="978"/>
      <c r="L102" s="975"/>
      <c r="M102" s="975"/>
      <c r="N102" s="975"/>
      <c r="O102" s="975"/>
      <c r="P102" s="975"/>
      <c r="Q102" s="975"/>
      <c r="R102" s="975"/>
      <c r="S102" s="975"/>
      <c r="T102" s="975"/>
      <c r="U102" s="975"/>
      <c r="V102" s="975"/>
      <c r="W102" s="989"/>
      <c r="X102" s="975"/>
      <c r="Y102" s="975"/>
      <c r="Z102" s="975"/>
      <c r="AA102" s="975"/>
      <c r="AB102" s="975"/>
      <c r="AC102" s="975"/>
      <c r="AD102" s="975"/>
      <c r="AE102" s="975"/>
      <c r="AF102" s="975"/>
      <c r="AG102" s="975"/>
      <c r="AH102" s="975"/>
      <c r="AI102" s="975"/>
      <c r="AJ102" s="975"/>
      <c r="AK102" s="975"/>
    </row>
    <row r="103" spans="3:37" ht="14">
      <c r="C103" s="971" t="s">
        <v>412</v>
      </c>
      <c r="D103" s="971" t="s">
        <v>380</v>
      </c>
      <c r="E103" s="981">
        <v>3.53</v>
      </c>
      <c r="F103" s="993">
        <v>3.53</v>
      </c>
      <c r="G103" s="993">
        <v>3.53</v>
      </c>
      <c r="H103" s="993">
        <v>3.53</v>
      </c>
      <c r="I103" s="993">
        <v>3.53</v>
      </c>
      <c r="J103" s="991" t="s">
        <v>443</v>
      </c>
      <c r="K103" s="992"/>
      <c r="L103" s="975"/>
      <c r="M103" s="975"/>
      <c r="N103" s="975"/>
      <c r="O103" s="975"/>
      <c r="P103" s="975"/>
      <c r="Q103" s="975"/>
      <c r="R103" s="975"/>
      <c r="S103" s="975"/>
      <c r="T103" s="975"/>
      <c r="U103" s="975"/>
      <c r="V103" s="975"/>
      <c r="W103" s="989"/>
      <c r="X103" s="975"/>
      <c r="Y103" s="975"/>
      <c r="Z103" s="975"/>
      <c r="AA103" s="975"/>
      <c r="AB103" s="975"/>
      <c r="AC103" s="975"/>
      <c r="AD103" s="975"/>
      <c r="AE103" s="975"/>
      <c r="AF103" s="975"/>
      <c r="AG103" s="975"/>
      <c r="AH103" s="975"/>
      <c r="AI103" s="975"/>
      <c r="AJ103" s="975"/>
      <c r="AK103" s="975"/>
    </row>
    <row r="104" spans="3:37" ht="14">
      <c r="C104" s="971" t="s">
        <v>413</v>
      </c>
      <c r="D104" s="971" t="s">
        <v>380</v>
      </c>
      <c r="E104" s="981">
        <v>24.16</v>
      </c>
      <c r="F104" s="990">
        <v>24.16</v>
      </c>
      <c r="G104" s="990">
        <v>24.16</v>
      </c>
      <c r="H104" s="990">
        <v>24.16</v>
      </c>
      <c r="I104" s="990">
        <v>24.16</v>
      </c>
      <c r="J104" s="991" t="s">
        <v>444</v>
      </c>
      <c r="K104" s="979" t="s">
        <v>431</v>
      </c>
      <c r="L104" s="975"/>
      <c r="M104" s="975"/>
      <c r="N104" s="975"/>
      <c r="O104" s="975"/>
      <c r="P104" s="975"/>
      <c r="Q104" s="975"/>
      <c r="R104" s="975"/>
      <c r="S104" s="975"/>
      <c r="T104" s="975"/>
      <c r="U104" s="975"/>
      <c r="V104" s="975"/>
      <c r="W104" s="985"/>
      <c r="X104" s="975"/>
      <c r="Y104" s="975"/>
      <c r="Z104" s="975"/>
      <c r="AA104" s="975"/>
      <c r="AB104" s="975"/>
      <c r="AC104" s="975"/>
      <c r="AD104" s="975"/>
      <c r="AE104" s="975"/>
      <c r="AF104" s="975"/>
      <c r="AG104" s="975"/>
      <c r="AH104" s="975"/>
      <c r="AI104" s="975"/>
      <c r="AJ104" s="975"/>
      <c r="AK104" s="975"/>
    </row>
    <row r="105" spans="3:37" ht="14">
      <c r="C105" s="971" t="s">
        <v>414</v>
      </c>
      <c r="D105" s="971" t="s">
        <v>380</v>
      </c>
      <c r="E105" s="981">
        <v>67.930000000000007</v>
      </c>
      <c r="F105" s="990">
        <v>67.930000000000007</v>
      </c>
      <c r="G105" s="990">
        <v>67.930000000000007</v>
      </c>
      <c r="H105" s="990">
        <v>67.930000000000007</v>
      </c>
      <c r="I105" s="990">
        <v>67.930000000000007</v>
      </c>
      <c r="J105" s="971" t="s">
        <v>440</v>
      </c>
      <c r="K105" s="979" t="s">
        <v>431</v>
      </c>
      <c r="L105" s="975"/>
      <c r="M105" s="975"/>
      <c r="N105" s="975"/>
      <c r="O105" s="975"/>
      <c r="P105" s="975"/>
      <c r="Q105" s="975"/>
      <c r="R105" s="975"/>
      <c r="S105" s="975"/>
      <c r="T105" s="975"/>
      <c r="U105" s="975"/>
      <c r="V105" s="975"/>
      <c r="W105" s="989"/>
      <c r="X105" s="975"/>
      <c r="Y105" s="975"/>
      <c r="Z105" s="975"/>
      <c r="AA105" s="975"/>
      <c r="AB105" s="975"/>
      <c r="AC105" s="975"/>
      <c r="AD105" s="975"/>
      <c r="AE105" s="975"/>
      <c r="AF105" s="975"/>
      <c r="AG105" s="975"/>
      <c r="AH105" s="975"/>
      <c r="AI105" s="975"/>
      <c r="AJ105" s="975"/>
      <c r="AK105" s="975"/>
    </row>
    <row r="106" spans="3:37" ht="14">
      <c r="C106" s="975"/>
      <c r="D106" s="975"/>
      <c r="E106" s="975"/>
      <c r="F106" s="975"/>
      <c r="G106" s="975"/>
      <c r="H106" s="975"/>
      <c r="I106" s="975"/>
      <c r="J106" s="975"/>
      <c r="K106" s="975"/>
      <c r="L106" s="975"/>
      <c r="M106" s="975"/>
      <c r="N106" s="975"/>
      <c r="O106" s="975"/>
      <c r="P106" s="975"/>
      <c r="Q106" s="975"/>
      <c r="R106" s="975"/>
      <c r="S106" s="975"/>
      <c r="T106" s="975"/>
      <c r="U106" s="975"/>
      <c r="V106" s="975"/>
      <c r="W106" s="975"/>
      <c r="X106" s="975"/>
      <c r="Y106" s="975"/>
      <c r="Z106" s="975"/>
      <c r="AA106" s="975"/>
      <c r="AB106" s="975"/>
      <c r="AC106" s="975"/>
      <c r="AD106" s="975"/>
      <c r="AE106" s="975"/>
      <c r="AF106" s="975"/>
      <c r="AG106" s="975"/>
      <c r="AH106" s="975"/>
      <c r="AI106" s="975"/>
      <c r="AJ106" s="975"/>
      <c r="AK106" s="975"/>
    </row>
    <row r="107" spans="3:37" ht="15">
      <c r="C107" s="326" t="s">
        <v>445</v>
      </c>
      <c r="D107" s="975"/>
      <c r="E107" s="975"/>
      <c r="F107" s="975"/>
      <c r="G107" s="975" t="s">
        <v>446</v>
      </c>
      <c r="H107" s="975" t="s">
        <v>446</v>
      </c>
      <c r="I107" s="975" t="s">
        <v>447</v>
      </c>
      <c r="J107" s="975" t="s">
        <v>447</v>
      </c>
      <c r="K107" s="975" t="s">
        <v>448</v>
      </c>
      <c r="L107" s="975"/>
      <c r="M107" s="975"/>
      <c r="N107" s="975"/>
      <c r="O107" s="975"/>
      <c r="P107" s="975"/>
      <c r="Q107" s="975"/>
      <c r="R107" s="975"/>
      <c r="S107" s="975"/>
      <c r="T107" s="975"/>
      <c r="U107" s="975"/>
      <c r="V107" s="975"/>
      <c r="W107" s="975"/>
      <c r="X107" s="975"/>
      <c r="Y107" s="975"/>
      <c r="Z107" s="975"/>
      <c r="AA107" s="975"/>
      <c r="AB107" s="975"/>
      <c r="AC107" s="975"/>
      <c r="AD107" s="975"/>
      <c r="AE107" s="975"/>
      <c r="AF107" s="975"/>
      <c r="AG107" s="975"/>
      <c r="AH107" s="975"/>
      <c r="AI107" s="975"/>
      <c r="AJ107" s="975"/>
      <c r="AK107" s="975"/>
    </row>
    <row r="108" spans="3:37" ht="15">
      <c r="C108" s="987" t="s">
        <v>419</v>
      </c>
      <c r="D108" s="987" t="s">
        <v>6</v>
      </c>
      <c r="E108" s="987" t="s">
        <v>428</v>
      </c>
      <c r="F108" s="987" t="s">
        <v>449</v>
      </c>
      <c r="G108" s="988" t="s">
        <v>450</v>
      </c>
      <c r="H108" s="988" t="s">
        <v>451</v>
      </c>
      <c r="I108" s="987" t="s">
        <v>450</v>
      </c>
      <c r="J108" s="987" t="s">
        <v>451</v>
      </c>
      <c r="K108" s="987" t="s">
        <v>450</v>
      </c>
      <c r="L108" s="987" t="s">
        <v>451</v>
      </c>
      <c r="M108" s="987" t="s">
        <v>429</v>
      </c>
      <c r="N108" s="987" t="s">
        <v>319</v>
      </c>
      <c r="O108" s="975"/>
      <c r="P108" s="975"/>
      <c r="Q108" s="975"/>
      <c r="R108" s="975"/>
      <c r="S108" s="975"/>
      <c r="T108" s="975"/>
      <c r="U108" s="975"/>
      <c r="V108" s="975"/>
      <c r="W108" s="975"/>
      <c r="X108" s="975"/>
      <c r="Y108" s="975"/>
      <c r="Z108" s="975"/>
      <c r="AA108" s="326"/>
      <c r="AB108" s="975"/>
      <c r="AC108" s="975"/>
      <c r="AD108" s="975"/>
      <c r="AE108" s="975"/>
      <c r="AF108" s="975"/>
      <c r="AG108" s="975"/>
      <c r="AH108" s="975"/>
      <c r="AI108" s="975"/>
      <c r="AJ108" s="975"/>
      <c r="AK108" s="975"/>
    </row>
    <row r="109" spans="3:37" ht="14">
      <c r="C109" s="971" t="s">
        <v>401</v>
      </c>
      <c r="D109" s="971" t="s">
        <v>452</v>
      </c>
      <c r="E109" s="981">
        <v>9.2799999999999994</v>
      </c>
      <c r="F109" s="966">
        <v>0</v>
      </c>
      <c r="G109" s="966">
        <v>21</v>
      </c>
      <c r="H109" s="966">
        <v>154</v>
      </c>
      <c r="I109" s="979">
        <v>87</v>
      </c>
      <c r="J109" s="979">
        <v>329</v>
      </c>
      <c r="K109" s="979">
        <v>9</v>
      </c>
      <c r="L109" s="979">
        <v>21</v>
      </c>
      <c r="M109" s="971"/>
      <c r="N109" s="978" t="s">
        <v>453</v>
      </c>
      <c r="O109" s="975"/>
      <c r="P109" s="975"/>
      <c r="Q109" s="975"/>
      <c r="R109" s="975"/>
      <c r="S109" s="975"/>
      <c r="T109" s="975"/>
      <c r="U109" s="975"/>
      <c r="V109" s="975"/>
      <c r="W109" s="975"/>
      <c r="X109" s="975"/>
      <c r="Y109" s="975"/>
      <c r="Z109" s="975"/>
      <c r="AA109" s="445"/>
      <c r="AB109" s="445"/>
      <c r="AC109" s="445"/>
      <c r="AD109" s="445"/>
      <c r="AE109" s="445"/>
      <c r="AF109" s="445"/>
      <c r="AG109" s="975"/>
      <c r="AH109" s="975"/>
      <c r="AI109" s="975"/>
      <c r="AJ109" s="975"/>
      <c r="AK109" s="975"/>
    </row>
    <row r="110" spans="3:37" ht="14">
      <c r="C110" s="971" t="s">
        <v>402</v>
      </c>
      <c r="D110" s="971" t="s">
        <v>452</v>
      </c>
      <c r="E110" s="981">
        <v>8.94</v>
      </c>
      <c r="F110" s="966">
        <v>0</v>
      </c>
      <c r="G110" s="984">
        <v>21</v>
      </c>
      <c r="H110" s="984">
        <v>154</v>
      </c>
      <c r="I110" s="984">
        <v>87</v>
      </c>
      <c r="J110" s="984">
        <v>329</v>
      </c>
      <c r="K110" s="979">
        <v>9</v>
      </c>
      <c r="L110" s="979">
        <v>36</v>
      </c>
      <c r="M110" s="971"/>
      <c r="N110" s="986" t="s">
        <v>454</v>
      </c>
      <c r="O110" s="975"/>
      <c r="P110" s="975"/>
      <c r="Q110" s="975"/>
      <c r="R110" s="975"/>
      <c r="S110" s="975"/>
      <c r="T110" s="975"/>
      <c r="U110" s="975"/>
      <c r="V110" s="975"/>
      <c r="W110" s="975"/>
      <c r="X110" s="975"/>
      <c r="Y110" s="975"/>
      <c r="Z110" s="975"/>
      <c r="AA110" s="445"/>
      <c r="AB110" s="975"/>
      <c r="AC110" s="975"/>
      <c r="AD110" s="975"/>
      <c r="AE110" s="975"/>
      <c r="AF110" s="975"/>
      <c r="AG110" s="975"/>
      <c r="AH110" s="975"/>
      <c r="AI110" s="975"/>
      <c r="AJ110" s="975"/>
      <c r="AK110" s="975"/>
    </row>
    <row r="111" spans="3:37" ht="14">
      <c r="C111" s="971" t="s">
        <v>403</v>
      </c>
      <c r="D111" s="971" t="s">
        <v>452</v>
      </c>
      <c r="E111" s="981">
        <v>0</v>
      </c>
      <c r="F111" s="966">
        <v>0</v>
      </c>
      <c r="G111" s="966">
        <v>6</v>
      </c>
      <c r="H111" s="966">
        <v>6</v>
      </c>
      <c r="I111" s="979">
        <v>-4</v>
      </c>
      <c r="J111" s="979">
        <v>-4</v>
      </c>
      <c r="K111" s="984">
        <v>0</v>
      </c>
      <c r="L111" s="984"/>
      <c r="M111" s="971"/>
      <c r="N111" s="978" t="s">
        <v>455</v>
      </c>
      <c r="O111" s="975"/>
      <c r="P111" s="975"/>
      <c r="Q111" s="975"/>
      <c r="R111" s="975"/>
      <c r="S111" s="975"/>
      <c r="T111" s="975"/>
      <c r="U111" s="975"/>
      <c r="V111" s="975"/>
      <c r="W111" s="975"/>
      <c r="X111" s="975"/>
      <c r="Y111" s="975"/>
      <c r="Z111" s="975"/>
      <c r="AA111" s="445"/>
      <c r="AB111" s="975"/>
      <c r="AC111" s="975"/>
      <c r="AD111" s="975"/>
      <c r="AE111" s="975"/>
      <c r="AF111" s="975"/>
      <c r="AG111" s="975"/>
      <c r="AH111" s="975"/>
      <c r="AI111" s="975"/>
      <c r="AJ111" s="975"/>
      <c r="AK111" s="975"/>
    </row>
    <row r="112" spans="3:37" ht="14">
      <c r="C112" s="971" t="s">
        <v>404</v>
      </c>
      <c r="D112" s="971" t="s">
        <v>452</v>
      </c>
      <c r="E112" s="981">
        <v>33.049999999999997</v>
      </c>
      <c r="F112" s="966">
        <v>0</v>
      </c>
      <c r="G112" s="966">
        <v>22</v>
      </c>
      <c r="H112" s="966">
        <v>180</v>
      </c>
      <c r="I112" s="979">
        <v>97</v>
      </c>
      <c r="J112" s="979">
        <v>339</v>
      </c>
      <c r="K112" s="979">
        <v>33</v>
      </c>
      <c r="L112" s="979">
        <v>35</v>
      </c>
      <c r="M112" s="971"/>
      <c r="N112" s="978" t="s">
        <v>453</v>
      </c>
      <c r="O112" s="975"/>
      <c r="P112" s="975"/>
      <c r="Q112" s="975"/>
      <c r="R112" s="975"/>
      <c r="S112" s="975"/>
      <c r="T112" s="975"/>
      <c r="U112" s="975"/>
      <c r="V112" s="975"/>
      <c r="W112" s="975"/>
      <c r="X112" s="975"/>
      <c r="Y112" s="985"/>
      <c r="Z112" s="975"/>
      <c r="AA112" s="445"/>
      <c r="AB112" s="975"/>
      <c r="AC112" s="975"/>
      <c r="AD112" s="975"/>
      <c r="AE112" s="975"/>
      <c r="AF112" s="975"/>
      <c r="AG112" s="975"/>
      <c r="AH112" s="975"/>
      <c r="AI112" s="975"/>
      <c r="AJ112" s="975"/>
      <c r="AK112" s="975"/>
    </row>
    <row r="113" spans="3:37" ht="14">
      <c r="C113" s="971" t="s">
        <v>426</v>
      </c>
      <c r="D113" s="971"/>
      <c r="E113" s="981">
        <v>0</v>
      </c>
      <c r="F113" s="966"/>
      <c r="G113" s="966"/>
      <c r="H113" s="966"/>
      <c r="I113" s="979"/>
      <c r="J113" s="979"/>
      <c r="K113" s="979"/>
      <c r="L113" s="979"/>
      <c r="M113" s="971"/>
      <c r="N113" s="978"/>
      <c r="O113" s="975"/>
      <c r="P113" s="975"/>
      <c r="Q113" s="975"/>
      <c r="R113" s="975"/>
      <c r="S113" s="975"/>
      <c r="T113" s="975"/>
      <c r="U113" s="975"/>
      <c r="V113" s="975"/>
      <c r="W113" s="975"/>
      <c r="X113" s="975"/>
      <c r="Y113" s="985"/>
      <c r="Z113" s="975"/>
      <c r="AA113" s="445"/>
      <c r="AB113" s="975"/>
      <c r="AC113" s="975"/>
      <c r="AD113" s="975"/>
      <c r="AE113" s="975"/>
      <c r="AF113" s="975"/>
      <c r="AG113" s="975"/>
      <c r="AH113" s="975"/>
      <c r="AI113" s="975"/>
      <c r="AJ113" s="975"/>
      <c r="AK113" s="975"/>
    </row>
    <row r="114" spans="3:37" ht="14">
      <c r="C114" s="971"/>
      <c r="D114" s="971"/>
      <c r="E114" s="981"/>
      <c r="F114" s="966"/>
      <c r="G114" s="966"/>
      <c r="H114" s="966"/>
      <c r="I114" s="979"/>
      <c r="J114" s="979"/>
      <c r="K114" s="979"/>
      <c r="L114" s="979"/>
      <c r="M114" s="971"/>
      <c r="N114" s="978"/>
      <c r="O114" s="975"/>
      <c r="P114" s="975"/>
      <c r="Q114" s="975"/>
      <c r="R114" s="975"/>
      <c r="S114" s="975"/>
      <c r="T114" s="975"/>
      <c r="U114" s="975"/>
      <c r="V114" s="975"/>
      <c r="W114" s="975"/>
      <c r="X114" s="975"/>
      <c r="Y114" s="985"/>
      <c r="Z114" s="975"/>
      <c r="AA114" s="445"/>
      <c r="AB114" s="975"/>
      <c r="AC114" s="975"/>
      <c r="AD114" s="975"/>
      <c r="AE114" s="975"/>
      <c r="AF114" s="975"/>
      <c r="AG114" s="975"/>
      <c r="AH114" s="975"/>
      <c r="AI114" s="975"/>
      <c r="AJ114" s="975"/>
      <c r="AK114" s="975"/>
    </row>
    <row r="115" spans="3:37" ht="14">
      <c r="C115" s="971" t="s">
        <v>405</v>
      </c>
      <c r="D115" s="971" t="s">
        <v>452</v>
      </c>
      <c r="E115" s="981">
        <v>0</v>
      </c>
      <c r="F115" s="966">
        <v>0</v>
      </c>
      <c r="G115" s="982"/>
      <c r="H115" s="982"/>
      <c r="I115" s="982"/>
      <c r="J115" s="982"/>
      <c r="K115" s="982"/>
      <c r="L115" s="982"/>
      <c r="M115" s="982" t="s">
        <v>456</v>
      </c>
      <c r="N115" s="983"/>
      <c r="O115" s="975"/>
      <c r="P115" s="975"/>
      <c r="Q115" s="975"/>
      <c r="R115" s="975"/>
      <c r="S115" s="975"/>
      <c r="T115" s="975"/>
      <c r="U115" s="975"/>
      <c r="V115" s="975"/>
      <c r="W115" s="975"/>
      <c r="X115" s="975"/>
      <c r="Y115" s="985"/>
      <c r="Z115" s="975"/>
      <c r="AA115" s="445"/>
      <c r="AB115" s="975"/>
      <c r="AC115" s="975"/>
      <c r="AD115" s="975"/>
      <c r="AE115" s="975"/>
      <c r="AF115" s="975"/>
      <c r="AG115" s="975"/>
      <c r="AH115" s="975"/>
      <c r="AI115" s="975"/>
      <c r="AJ115" s="975"/>
      <c r="AK115" s="975"/>
    </row>
    <row r="116" spans="3:37" ht="14">
      <c r="C116" s="971" t="s">
        <v>406</v>
      </c>
      <c r="D116" s="971" t="s">
        <v>452</v>
      </c>
      <c r="E116" s="981">
        <v>0</v>
      </c>
      <c r="F116" s="966">
        <v>0</v>
      </c>
      <c r="G116" s="984">
        <v>-17</v>
      </c>
      <c r="H116" s="984">
        <v>-17</v>
      </c>
      <c r="I116" s="979">
        <v>-17</v>
      </c>
      <c r="J116" s="979">
        <v>-17</v>
      </c>
      <c r="K116" s="984">
        <v>0</v>
      </c>
      <c r="L116" s="984">
        <v>0</v>
      </c>
      <c r="M116" s="971"/>
      <c r="N116" s="978" t="s">
        <v>455</v>
      </c>
      <c r="O116" s="975"/>
      <c r="P116" s="975"/>
      <c r="Q116" s="975"/>
      <c r="R116" s="975"/>
      <c r="S116" s="975"/>
      <c r="T116" s="975"/>
      <c r="U116" s="975"/>
      <c r="V116" s="975"/>
      <c r="W116" s="975"/>
      <c r="X116" s="975"/>
      <c r="Y116" s="975"/>
      <c r="Z116" s="975"/>
      <c r="AA116" s="445"/>
      <c r="AB116" s="975"/>
      <c r="AC116" s="975"/>
      <c r="AD116" s="975"/>
      <c r="AE116" s="975"/>
      <c r="AF116" s="975"/>
      <c r="AG116" s="975"/>
      <c r="AH116" s="975"/>
      <c r="AI116" s="975"/>
      <c r="AJ116" s="975"/>
      <c r="AK116" s="975"/>
    </row>
    <row r="117" spans="3:37" ht="14">
      <c r="C117" s="971" t="s">
        <v>407</v>
      </c>
      <c r="D117" s="971" t="s">
        <v>452</v>
      </c>
      <c r="E117" s="981">
        <v>0</v>
      </c>
      <c r="F117" s="966">
        <v>0</v>
      </c>
      <c r="G117" s="984">
        <v>-17</v>
      </c>
      <c r="H117" s="984">
        <v>-17</v>
      </c>
      <c r="I117" s="984">
        <v>-17</v>
      </c>
      <c r="J117" s="984">
        <v>-17</v>
      </c>
      <c r="K117" s="984">
        <v>0</v>
      </c>
      <c r="L117" s="984">
        <v>0</v>
      </c>
      <c r="M117" s="971"/>
      <c r="N117" s="978" t="s">
        <v>457</v>
      </c>
      <c r="O117" s="975"/>
      <c r="P117" s="975"/>
      <c r="Q117" s="975"/>
      <c r="R117" s="975"/>
      <c r="S117" s="975"/>
      <c r="T117" s="975"/>
      <c r="U117" s="975"/>
      <c r="V117" s="975"/>
      <c r="W117" s="975"/>
      <c r="X117" s="975"/>
      <c r="Y117" s="975"/>
      <c r="Z117" s="975"/>
      <c r="AA117" s="445"/>
      <c r="AB117" s="975"/>
      <c r="AC117" s="975"/>
      <c r="AD117" s="975"/>
      <c r="AE117" s="975"/>
      <c r="AF117" s="975"/>
      <c r="AG117" s="975"/>
      <c r="AH117" s="975"/>
      <c r="AI117" s="975"/>
      <c r="AJ117" s="975"/>
      <c r="AK117" s="975"/>
    </row>
    <row r="118" spans="3:37" ht="14">
      <c r="C118" s="971" t="s">
        <v>408</v>
      </c>
      <c r="D118" s="971" t="s">
        <v>452</v>
      </c>
      <c r="E118" s="981">
        <v>0</v>
      </c>
      <c r="F118" s="966">
        <v>0</v>
      </c>
      <c r="G118" s="982"/>
      <c r="H118" s="982"/>
      <c r="I118" s="982"/>
      <c r="J118" s="982"/>
      <c r="K118" s="982"/>
      <c r="L118" s="982"/>
      <c r="M118" s="982" t="s">
        <v>456</v>
      </c>
      <c r="N118" s="983"/>
      <c r="O118" s="975"/>
      <c r="P118" s="975"/>
      <c r="Q118" s="975"/>
      <c r="R118" s="975"/>
      <c r="S118" s="975"/>
      <c r="T118" s="975"/>
      <c r="U118" s="975"/>
      <c r="V118" s="975"/>
      <c r="W118" s="975"/>
      <c r="X118" s="975"/>
      <c r="Y118" s="975"/>
      <c r="Z118" s="975"/>
      <c r="AA118" s="445"/>
      <c r="AB118" s="975"/>
      <c r="AC118" s="975"/>
      <c r="AD118" s="975"/>
      <c r="AE118" s="975"/>
      <c r="AF118" s="975"/>
      <c r="AG118" s="975"/>
      <c r="AH118" s="975"/>
      <c r="AI118" s="975"/>
      <c r="AJ118" s="975"/>
      <c r="AK118" s="975"/>
    </row>
    <row r="119" spans="3:37" ht="14">
      <c r="C119" s="971" t="s">
        <v>409</v>
      </c>
      <c r="D119" s="971" t="s">
        <v>452</v>
      </c>
      <c r="E119" s="981">
        <v>0</v>
      </c>
      <c r="F119" s="966">
        <v>0</v>
      </c>
      <c r="G119" s="982"/>
      <c r="H119" s="982"/>
      <c r="I119" s="982"/>
      <c r="J119" s="982"/>
      <c r="K119" s="982"/>
      <c r="L119" s="982"/>
      <c r="M119" s="982" t="s">
        <v>456</v>
      </c>
      <c r="N119" s="983"/>
      <c r="O119" s="975"/>
      <c r="P119" s="975"/>
      <c r="Q119" s="975"/>
      <c r="R119" s="975"/>
      <c r="S119" s="975"/>
      <c r="T119" s="975"/>
      <c r="U119" s="975"/>
      <c r="V119" s="975"/>
      <c r="W119" s="975"/>
      <c r="X119" s="975"/>
      <c r="Y119" s="975"/>
      <c r="Z119" s="975"/>
      <c r="AA119" s="445"/>
      <c r="AB119" s="975"/>
      <c r="AC119" s="975"/>
      <c r="AD119" s="975"/>
      <c r="AE119" s="975"/>
      <c r="AF119" s="975"/>
      <c r="AG119" s="975"/>
      <c r="AH119" s="975"/>
      <c r="AI119" s="975"/>
      <c r="AJ119" s="975"/>
      <c r="AK119" s="975"/>
    </row>
    <row r="120" spans="3:37" ht="14">
      <c r="C120" s="971" t="s">
        <v>410</v>
      </c>
      <c r="D120" s="971" t="s">
        <v>452</v>
      </c>
      <c r="E120" s="981">
        <v>0</v>
      </c>
      <c r="F120" s="966">
        <v>0</v>
      </c>
      <c r="G120" s="982"/>
      <c r="H120" s="982"/>
      <c r="I120" s="982"/>
      <c r="J120" s="982"/>
      <c r="K120" s="982"/>
      <c r="L120" s="982"/>
      <c r="M120" s="982" t="s">
        <v>456</v>
      </c>
      <c r="N120" s="983"/>
      <c r="O120" s="975"/>
      <c r="P120" s="975"/>
      <c r="Q120" s="975"/>
      <c r="R120" s="975"/>
      <c r="S120" s="975"/>
      <c r="T120" s="975"/>
      <c r="U120" s="975"/>
      <c r="V120" s="975"/>
      <c r="W120" s="975"/>
      <c r="X120" s="975"/>
      <c r="Y120" s="975"/>
      <c r="Z120" s="975"/>
      <c r="AA120" s="445"/>
      <c r="AB120" s="975"/>
      <c r="AC120" s="975"/>
      <c r="AD120" s="975"/>
      <c r="AE120" s="975"/>
      <c r="AF120" s="975"/>
      <c r="AG120" s="975"/>
      <c r="AH120" s="975"/>
      <c r="AI120" s="975"/>
      <c r="AJ120" s="975"/>
      <c r="AK120" s="975"/>
    </row>
    <row r="121" spans="3:37" ht="14">
      <c r="C121" s="971" t="s">
        <v>411</v>
      </c>
      <c r="D121" s="971" t="s">
        <v>452</v>
      </c>
      <c r="E121" s="981">
        <v>0</v>
      </c>
      <c r="F121" s="966">
        <v>0</v>
      </c>
      <c r="G121" s="982"/>
      <c r="H121" s="982"/>
      <c r="I121" s="982"/>
      <c r="J121" s="982"/>
      <c r="K121" s="982"/>
      <c r="L121" s="982"/>
      <c r="M121" s="982" t="s">
        <v>456</v>
      </c>
      <c r="N121" s="983"/>
      <c r="O121" s="975"/>
      <c r="P121" s="975"/>
      <c r="Q121" s="975"/>
      <c r="R121" s="975"/>
      <c r="S121" s="975"/>
      <c r="T121" s="975"/>
      <c r="U121" s="975"/>
      <c r="V121" s="975"/>
      <c r="W121" s="975"/>
      <c r="X121" s="975"/>
      <c r="Y121" s="975"/>
      <c r="Z121" s="975"/>
      <c r="AA121" s="445"/>
      <c r="AB121" s="975"/>
      <c r="AC121" s="975"/>
      <c r="AD121" s="975"/>
      <c r="AE121" s="975"/>
      <c r="AF121" s="975"/>
      <c r="AG121" s="975"/>
      <c r="AH121" s="975"/>
      <c r="AI121" s="975"/>
      <c r="AJ121" s="975"/>
      <c r="AK121" s="975"/>
    </row>
    <row r="122" spans="3:37" ht="14">
      <c r="C122" s="971" t="s">
        <v>412</v>
      </c>
      <c r="D122" s="971" t="s">
        <v>452</v>
      </c>
      <c r="E122" s="981">
        <v>0</v>
      </c>
      <c r="F122" s="966">
        <v>0</v>
      </c>
      <c r="G122" s="982"/>
      <c r="H122" s="982"/>
      <c r="I122" s="982"/>
      <c r="J122" s="982"/>
      <c r="K122" s="982"/>
      <c r="L122" s="982"/>
      <c r="M122" s="971" t="s">
        <v>458</v>
      </c>
      <c r="N122" s="971"/>
      <c r="O122" s="975"/>
      <c r="P122" s="975"/>
      <c r="Q122" s="975"/>
      <c r="R122" s="975"/>
      <c r="S122" s="975"/>
      <c r="T122" s="975"/>
      <c r="U122" s="975"/>
      <c r="V122" s="975"/>
      <c r="W122" s="975"/>
      <c r="X122" s="975"/>
      <c r="Y122" s="975"/>
      <c r="Z122" s="975"/>
      <c r="AA122" s="445"/>
      <c r="AB122" s="975"/>
      <c r="AC122" s="975"/>
      <c r="AD122" s="975"/>
      <c r="AE122" s="975"/>
      <c r="AF122" s="975"/>
      <c r="AG122" s="975"/>
      <c r="AH122" s="975"/>
      <c r="AI122" s="975"/>
      <c r="AJ122" s="975"/>
      <c r="AK122" s="975"/>
    </row>
    <row r="123" spans="3:37" ht="14">
      <c r="C123" s="971" t="s">
        <v>413</v>
      </c>
      <c r="D123" s="971" t="s">
        <v>452</v>
      </c>
      <c r="E123" s="981">
        <v>0</v>
      </c>
      <c r="F123" s="966">
        <v>0</v>
      </c>
      <c r="G123" s="966">
        <v>18</v>
      </c>
      <c r="H123" s="966">
        <v>71</v>
      </c>
      <c r="I123" s="980">
        <v>18</v>
      </c>
      <c r="J123" s="980">
        <v>71</v>
      </c>
      <c r="K123" s="979">
        <v>0</v>
      </c>
      <c r="L123" s="979">
        <v>0</v>
      </c>
      <c r="M123" s="971"/>
      <c r="N123" s="978" t="s">
        <v>453</v>
      </c>
      <c r="O123" s="975"/>
      <c r="P123" s="975"/>
      <c r="Q123" s="975"/>
      <c r="R123" s="975"/>
      <c r="S123" s="975"/>
      <c r="T123" s="975"/>
      <c r="U123" s="975"/>
      <c r="V123" s="975"/>
      <c r="W123" s="975"/>
      <c r="X123" s="975"/>
      <c r="Y123" s="975"/>
      <c r="Z123" s="975"/>
      <c r="AA123" s="975"/>
      <c r="AB123" s="975"/>
      <c r="AC123" s="975"/>
      <c r="AD123" s="975"/>
      <c r="AE123" s="975"/>
      <c r="AF123" s="975"/>
      <c r="AG123" s="975"/>
      <c r="AH123" s="975"/>
      <c r="AI123" s="975"/>
      <c r="AJ123" s="975"/>
      <c r="AK123" s="975"/>
    </row>
    <row r="124" spans="3:37" ht="14">
      <c r="C124" s="971" t="s">
        <v>414</v>
      </c>
      <c r="D124" s="971" t="s">
        <v>452</v>
      </c>
      <c r="E124" s="981">
        <v>0</v>
      </c>
      <c r="F124" s="966">
        <v>0</v>
      </c>
      <c r="G124" s="966">
        <v>19</v>
      </c>
      <c r="H124" s="966">
        <v>160</v>
      </c>
      <c r="I124" s="980">
        <v>19</v>
      </c>
      <c r="J124" s="980">
        <v>160</v>
      </c>
      <c r="K124" s="979">
        <v>0</v>
      </c>
      <c r="L124" s="979">
        <v>0</v>
      </c>
      <c r="M124" s="971"/>
      <c r="N124" s="978" t="s">
        <v>453</v>
      </c>
      <c r="O124" s="975"/>
      <c r="P124" s="975"/>
      <c r="Q124" s="975"/>
      <c r="R124" s="975"/>
      <c r="S124" s="975"/>
      <c r="T124" s="975"/>
      <c r="U124" s="975"/>
      <c r="V124" s="975"/>
      <c r="W124" s="975"/>
      <c r="X124" s="975"/>
      <c r="Y124" s="975"/>
      <c r="Z124" s="975"/>
      <c r="AA124" s="975"/>
      <c r="AB124" s="975"/>
      <c r="AC124" s="975"/>
      <c r="AD124" s="975"/>
      <c r="AE124" s="975"/>
      <c r="AF124" s="975"/>
      <c r="AG124" s="975"/>
      <c r="AH124" s="975"/>
      <c r="AI124" s="975"/>
      <c r="AJ124" s="975"/>
      <c r="AK124" s="975"/>
    </row>
    <row r="125" spans="3:37" ht="14">
      <c r="C125" s="975" t="s">
        <v>459</v>
      </c>
      <c r="D125" s="975"/>
      <c r="E125" s="975"/>
      <c r="F125" s="975"/>
      <c r="G125" s="975"/>
      <c r="H125" s="975"/>
      <c r="I125" s="975"/>
      <c r="J125" s="975"/>
      <c r="K125" s="975"/>
      <c r="L125" s="975"/>
      <c r="M125" s="975"/>
      <c r="N125" s="975"/>
      <c r="O125" s="975"/>
      <c r="P125" s="975"/>
      <c r="Q125" s="975"/>
      <c r="R125" s="975"/>
      <c r="S125" s="975"/>
      <c r="T125" s="975"/>
      <c r="U125" s="975"/>
      <c r="V125" s="975"/>
      <c r="W125" s="975"/>
      <c r="X125" s="975"/>
      <c r="Y125" s="975"/>
      <c r="Z125" s="975"/>
      <c r="AA125" s="975"/>
      <c r="AB125" s="975"/>
      <c r="AC125" s="975"/>
      <c r="AD125" s="975"/>
      <c r="AE125" s="975"/>
      <c r="AF125" s="975"/>
      <c r="AG125" s="975"/>
      <c r="AH125" s="975"/>
      <c r="AI125" s="975"/>
      <c r="AJ125" s="975"/>
      <c r="AK125" s="975"/>
    </row>
    <row r="126" spans="3:37" ht="14">
      <c r="C126" s="975"/>
      <c r="D126" s="975"/>
      <c r="E126" s="975"/>
      <c r="F126" s="975"/>
      <c r="G126" s="975"/>
      <c r="H126" s="975"/>
      <c r="I126" s="975"/>
      <c r="J126" s="975"/>
      <c r="K126" s="975"/>
      <c r="L126" s="975"/>
      <c r="M126" s="975"/>
      <c r="N126" s="975"/>
      <c r="O126" s="975"/>
      <c r="P126" s="975"/>
      <c r="Q126" s="975"/>
      <c r="R126" s="975"/>
      <c r="S126" s="975"/>
      <c r="T126" s="975"/>
      <c r="U126" s="975"/>
      <c r="V126" s="975"/>
      <c r="W126" s="975"/>
      <c r="X126" s="975"/>
      <c r="Y126" s="975"/>
      <c r="Z126" s="975"/>
      <c r="AA126" s="975"/>
      <c r="AB126" s="975"/>
      <c r="AC126" s="975"/>
      <c r="AD126" s="975"/>
      <c r="AE126" s="975"/>
      <c r="AF126" s="975"/>
      <c r="AG126" s="975"/>
      <c r="AH126" s="975"/>
      <c r="AI126" s="975"/>
      <c r="AJ126" s="975"/>
      <c r="AK126" s="975"/>
    </row>
    <row r="127" spans="3:37" ht="14">
      <c r="C127" s="977" t="s">
        <v>460</v>
      </c>
      <c r="D127" s="975"/>
      <c r="E127" s="975"/>
      <c r="F127" s="975"/>
      <c r="G127" s="975"/>
      <c r="H127" s="975"/>
      <c r="I127" s="975"/>
      <c r="J127" s="975"/>
      <c r="K127" s="975"/>
      <c r="L127" s="975"/>
      <c r="M127" s="975"/>
      <c r="N127" s="975"/>
      <c r="O127" s="975"/>
      <c r="P127" s="975"/>
      <c r="Q127" s="975"/>
      <c r="R127" s="975"/>
      <c r="S127" s="975"/>
      <c r="T127" s="975"/>
      <c r="U127" s="975"/>
      <c r="V127" s="975"/>
      <c r="W127" s="975"/>
      <c r="X127" s="975"/>
      <c r="Y127" s="975"/>
      <c r="Z127" s="975"/>
      <c r="AA127" s="975"/>
      <c r="AB127" s="975"/>
      <c r="AC127" s="975"/>
      <c r="AD127" s="975"/>
      <c r="AE127" s="975"/>
      <c r="AF127" s="975"/>
      <c r="AG127" s="975"/>
      <c r="AH127" s="975"/>
      <c r="AI127" s="975"/>
      <c r="AJ127" s="975"/>
      <c r="AK127" s="975"/>
    </row>
    <row r="128" spans="3:37" ht="14">
      <c r="C128" s="971" t="s">
        <v>461</v>
      </c>
      <c r="D128" s="971" t="s">
        <v>452</v>
      </c>
      <c r="E128" s="976">
        <v>29</v>
      </c>
      <c r="F128" s="342" t="s">
        <v>462</v>
      </c>
      <c r="G128" s="975"/>
      <c r="H128" s="975"/>
      <c r="I128" s="975"/>
      <c r="J128" s="975"/>
      <c r="K128" s="975"/>
      <c r="L128" s="975"/>
      <c r="M128" s="975"/>
      <c r="N128" s="975"/>
      <c r="O128" s="975"/>
      <c r="P128" s="975"/>
      <c r="Q128" s="975"/>
      <c r="R128" s="975"/>
      <c r="S128" s="975"/>
      <c r="T128" s="975"/>
      <c r="U128" s="975"/>
      <c r="V128" s="975"/>
      <c r="W128" s="975"/>
      <c r="X128" s="975"/>
      <c r="Y128" s="975"/>
      <c r="Z128" s="975"/>
      <c r="AA128" s="975"/>
      <c r="AB128" s="975"/>
      <c r="AC128" s="975"/>
      <c r="AD128" s="975"/>
      <c r="AE128" s="975"/>
      <c r="AF128" s="975"/>
      <c r="AG128" s="975"/>
      <c r="AH128" s="975"/>
      <c r="AI128" s="975"/>
      <c r="AJ128" s="975"/>
      <c r="AK128" s="975"/>
    </row>
    <row r="129" spans="3:37" ht="14">
      <c r="C129" s="971" t="s">
        <v>364</v>
      </c>
      <c r="D129" s="971" t="s">
        <v>452</v>
      </c>
      <c r="E129" s="976">
        <v>29</v>
      </c>
      <c r="F129" s="342" t="s">
        <v>462</v>
      </c>
      <c r="G129" s="975"/>
      <c r="H129" s="975"/>
      <c r="I129" s="975"/>
      <c r="J129" s="975"/>
      <c r="K129" s="975"/>
      <c r="L129" s="975"/>
      <c r="M129" s="975"/>
      <c r="N129" s="975"/>
      <c r="O129" s="975"/>
      <c r="P129" s="975"/>
      <c r="Q129" s="975"/>
      <c r="R129" s="975"/>
      <c r="S129" s="975"/>
      <c r="T129" s="975"/>
      <c r="U129" s="975"/>
      <c r="V129" s="975"/>
      <c r="W129" s="975"/>
      <c r="X129" s="975"/>
      <c r="Y129" s="975"/>
      <c r="Z129" s="975"/>
      <c r="AA129" s="975"/>
      <c r="AB129" s="975"/>
      <c r="AC129" s="975"/>
      <c r="AD129" s="975"/>
      <c r="AE129" s="975"/>
      <c r="AF129" s="975"/>
      <c r="AG129" s="975"/>
      <c r="AH129" s="975"/>
      <c r="AI129" s="975"/>
      <c r="AJ129" s="975"/>
      <c r="AK129" s="975"/>
    </row>
    <row r="130" spans="3:37" ht="14">
      <c r="C130" s="971" t="s">
        <v>357</v>
      </c>
      <c r="D130" s="971" t="s">
        <v>452</v>
      </c>
      <c r="E130" s="976">
        <v>16.7</v>
      </c>
      <c r="F130" s="342" t="s">
        <v>463</v>
      </c>
      <c r="G130" s="975"/>
      <c r="H130" s="975"/>
      <c r="I130" s="975"/>
      <c r="J130" s="975"/>
      <c r="K130" s="975"/>
      <c r="L130" s="975"/>
      <c r="M130" s="975"/>
      <c r="N130" s="975"/>
      <c r="O130" s="975"/>
      <c r="P130" s="975"/>
      <c r="Q130" s="975"/>
      <c r="R130" s="975"/>
      <c r="S130" s="975"/>
      <c r="T130" s="975"/>
      <c r="U130" s="975"/>
      <c r="V130" s="975"/>
      <c r="W130" s="975"/>
      <c r="X130" s="975"/>
      <c r="Y130" s="975"/>
      <c r="Z130" s="975"/>
      <c r="AA130" s="975"/>
      <c r="AB130" s="975"/>
      <c r="AC130" s="975"/>
      <c r="AD130" s="975"/>
      <c r="AE130" s="975"/>
      <c r="AF130" s="975"/>
      <c r="AG130" s="975"/>
      <c r="AH130" s="975"/>
      <c r="AI130" s="975"/>
      <c r="AJ130" s="975"/>
      <c r="AK130" s="975"/>
    </row>
    <row r="131" spans="3:37" ht="14">
      <c r="C131" s="975"/>
      <c r="D131" s="975"/>
      <c r="E131" s="975"/>
      <c r="F131" s="975"/>
      <c r="G131" s="975"/>
      <c r="H131" s="975"/>
      <c r="I131" s="975"/>
      <c r="J131" s="975"/>
      <c r="K131" s="975"/>
      <c r="L131" s="975"/>
      <c r="M131" s="975"/>
      <c r="N131" s="975"/>
      <c r="O131" s="975"/>
      <c r="P131" s="975"/>
      <c r="Q131" s="975"/>
      <c r="R131" s="975"/>
      <c r="S131" s="975"/>
      <c r="T131" s="975"/>
      <c r="U131" s="975"/>
      <c r="V131" s="975"/>
      <c r="W131" s="975"/>
      <c r="X131" s="975"/>
      <c r="Y131" s="975"/>
      <c r="Z131" s="975"/>
      <c r="AA131" s="975"/>
      <c r="AB131" s="975"/>
      <c r="AC131" s="975"/>
      <c r="AD131" s="975"/>
      <c r="AE131" s="975"/>
      <c r="AF131" s="975"/>
      <c r="AG131" s="975"/>
      <c r="AH131" s="975"/>
      <c r="AI131" s="975"/>
      <c r="AJ131" s="975"/>
      <c r="AK131" s="975"/>
    </row>
    <row r="132" spans="3:37" ht="15">
      <c r="C132" s="968" t="s">
        <v>464</v>
      </c>
      <c r="D132" s="263"/>
      <c r="E132" s="445"/>
      <c r="F132" s="445"/>
      <c r="G132" s="445"/>
      <c r="H132" s="445"/>
      <c r="I132" s="445"/>
      <c r="J132" s="445"/>
      <c r="K132" s="445"/>
      <c r="L132" s="445"/>
      <c r="M132" s="445"/>
      <c r="N132" s="445"/>
      <c r="O132" s="445"/>
      <c r="P132" s="445"/>
      <c r="Q132" s="445"/>
      <c r="R132" s="445"/>
      <c r="S132" s="445"/>
      <c r="T132" s="445"/>
      <c r="U132" s="445"/>
      <c r="V132" s="445"/>
      <c r="W132" s="445"/>
      <c r="X132" s="445"/>
      <c r="Y132" s="445"/>
      <c r="Z132" s="445"/>
      <c r="AA132" s="445"/>
      <c r="AB132" s="445"/>
      <c r="AC132" s="445"/>
      <c r="AD132" s="445"/>
      <c r="AE132" s="445"/>
      <c r="AF132" s="445"/>
      <c r="AG132" s="445"/>
      <c r="AH132" s="445"/>
      <c r="AI132" s="445"/>
      <c r="AJ132" s="445"/>
      <c r="AK132" s="445"/>
    </row>
    <row r="133" spans="3:37" ht="14">
      <c r="C133" s="971"/>
      <c r="D133" s="971" t="s">
        <v>465</v>
      </c>
      <c r="E133" s="971" t="s">
        <v>428</v>
      </c>
      <c r="F133" s="971">
        <v>2012</v>
      </c>
      <c r="G133" s="971">
        <v>2020</v>
      </c>
      <c r="H133" s="971">
        <v>2035</v>
      </c>
      <c r="I133" s="971">
        <v>2050</v>
      </c>
      <c r="J133" s="445"/>
      <c r="K133" s="445"/>
      <c r="L133" s="445"/>
      <c r="M133" s="445"/>
      <c r="N133" s="445"/>
      <c r="O133" s="445"/>
      <c r="P133" s="445"/>
      <c r="Q133" s="445"/>
      <c r="R133" s="445"/>
      <c r="S133" s="445"/>
      <c r="T133" s="445"/>
      <c r="U133" s="445"/>
      <c r="V133" s="445"/>
      <c r="W133" s="445"/>
      <c r="X133" s="445"/>
      <c r="Y133" s="445"/>
      <c r="Z133" s="445"/>
      <c r="AA133" s="445"/>
      <c r="AB133" s="445"/>
      <c r="AC133" s="445"/>
      <c r="AD133" s="445"/>
      <c r="AE133" s="445"/>
      <c r="AF133" s="445"/>
      <c r="AG133" s="445"/>
      <c r="AH133" s="445"/>
      <c r="AI133" s="445"/>
      <c r="AJ133" s="445"/>
      <c r="AK133" s="445"/>
    </row>
    <row r="134" spans="3:37" ht="14">
      <c r="C134" s="962" t="s">
        <v>466</v>
      </c>
      <c r="D134" s="962" t="s">
        <v>379</v>
      </c>
      <c r="E134" s="962">
        <v>-11</v>
      </c>
      <c r="F134" s="974">
        <v>-11.2</v>
      </c>
      <c r="G134" s="974">
        <v>-11.2</v>
      </c>
      <c r="H134" s="974">
        <v>16.2</v>
      </c>
      <c r="I134" s="974">
        <v>13.4</v>
      </c>
      <c r="J134" s="445"/>
      <c r="K134" s="445"/>
      <c r="L134" s="445"/>
      <c r="M134" s="445"/>
      <c r="N134" s="445"/>
      <c r="O134" s="445"/>
      <c r="P134" s="445"/>
      <c r="Q134" s="445"/>
      <c r="R134" s="445"/>
      <c r="S134" s="445"/>
      <c r="T134" s="445"/>
      <c r="U134" s="445"/>
      <c r="V134" s="445"/>
      <c r="W134" s="445"/>
      <c r="X134" s="445"/>
      <c r="Y134" s="445"/>
      <c r="Z134" s="445"/>
      <c r="AA134" s="445"/>
      <c r="AB134" s="445"/>
      <c r="AC134" s="445"/>
      <c r="AD134" s="445"/>
      <c r="AE134" s="445"/>
      <c r="AF134" s="445"/>
      <c r="AG134" s="445"/>
      <c r="AH134" s="445"/>
      <c r="AI134" s="445"/>
      <c r="AJ134" s="445"/>
      <c r="AK134" s="445"/>
    </row>
    <row r="135" spans="3:37" ht="14">
      <c r="C135" s="962" t="s">
        <v>71</v>
      </c>
      <c r="D135" s="962" t="s">
        <v>379</v>
      </c>
      <c r="E135" s="962">
        <v>-11</v>
      </c>
      <c r="F135" s="973">
        <v>-11.2</v>
      </c>
      <c r="G135" s="973">
        <v>-11.2</v>
      </c>
      <c r="H135" s="973">
        <v>16.2</v>
      </c>
      <c r="I135" s="973">
        <v>13.4</v>
      </c>
      <c r="J135" s="445" t="s">
        <v>467</v>
      </c>
    </row>
    <row r="136" spans="3:37">
      <c r="C136" s="445"/>
      <c r="D136" s="263"/>
      <c r="E136" s="445"/>
      <c r="F136" s="445"/>
      <c r="G136" s="445"/>
      <c r="H136" s="445"/>
      <c r="I136" s="445"/>
      <c r="J136" s="445"/>
    </row>
    <row r="137" spans="3:37" ht="15">
      <c r="C137" s="968" t="s">
        <v>468</v>
      </c>
      <c r="D137" s="263"/>
      <c r="E137" s="445"/>
      <c r="F137" s="445"/>
      <c r="G137" s="445"/>
      <c r="H137" s="445"/>
      <c r="I137" s="445"/>
      <c r="J137" s="445"/>
    </row>
    <row r="138" spans="3:37" ht="14">
      <c r="C138" s="971"/>
      <c r="D138" s="972">
        <v>2020</v>
      </c>
      <c r="E138" s="972">
        <v>2035</v>
      </c>
      <c r="F138" s="972">
        <v>2040</v>
      </c>
      <c r="G138" s="972">
        <v>2050</v>
      </c>
      <c r="H138" s="445"/>
      <c r="I138" s="445"/>
      <c r="J138" s="445"/>
    </row>
    <row r="139" spans="3:37" ht="14">
      <c r="C139" s="971" t="s">
        <v>469</v>
      </c>
      <c r="D139" s="969">
        <v>8.99</v>
      </c>
      <c r="E139" s="969">
        <v>30.75</v>
      </c>
      <c r="F139" s="969">
        <v>26.9</v>
      </c>
      <c r="G139" s="970">
        <v>13.42</v>
      </c>
      <c r="H139" s="445"/>
      <c r="I139" s="445"/>
      <c r="J139" s="445"/>
    </row>
    <row r="140" spans="3:37" ht="14">
      <c r="C140" s="971" t="s">
        <v>470</v>
      </c>
      <c r="D140" s="969">
        <v>13.78</v>
      </c>
      <c r="E140" s="969">
        <v>30.69</v>
      </c>
      <c r="F140" s="970">
        <v>16.16</v>
      </c>
      <c r="G140" s="969">
        <v>0.33</v>
      </c>
      <c r="H140" s="445"/>
      <c r="I140" s="445"/>
      <c r="J140" s="445"/>
    </row>
    <row r="141" spans="3:37" ht="14">
      <c r="C141" s="971" t="s">
        <v>471</v>
      </c>
      <c r="D141" s="969">
        <v>-15.42</v>
      </c>
      <c r="E141" s="969">
        <v>-2.35</v>
      </c>
      <c r="F141" s="969">
        <v>4.63</v>
      </c>
      <c r="G141" s="969">
        <v>5.84</v>
      </c>
      <c r="H141" s="445"/>
      <c r="I141" s="445"/>
      <c r="J141" s="445"/>
    </row>
    <row r="142" spans="3:37" ht="14">
      <c r="C142" s="971" t="s">
        <v>472</v>
      </c>
      <c r="D142" s="970">
        <v>-11.24</v>
      </c>
      <c r="E142" s="969">
        <v>-3.52</v>
      </c>
      <c r="F142" s="969">
        <v>-3.65</v>
      </c>
      <c r="G142" s="969">
        <v>-1.79</v>
      </c>
      <c r="H142" s="445"/>
      <c r="I142" s="445"/>
      <c r="J142" s="445"/>
    </row>
    <row r="143" spans="3:37">
      <c r="C143" s="445" t="s">
        <v>473</v>
      </c>
      <c r="D143" s="263"/>
      <c r="E143" s="445"/>
      <c r="F143" s="445"/>
      <c r="G143" s="445"/>
      <c r="H143" s="445"/>
      <c r="I143" s="445"/>
      <c r="J143" s="445"/>
    </row>
    <row r="144" spans="3:37">
      <c r="C144" s="445"/>
      <c r="D144" s="263"/>
      <c r="E144" s="445"/>
      <c r="F144" s="445"/>
      <c r="G144" s="445"/>
      <c r="H144" s="445"/>
      <c r="I144" s="445"/>
      <c r="J144" s="445"/>
    </row>
    <row r="145" spans="2:10" ht="14">
      <c r="C145" s="257"/>
      <c r="D145" s="257"/>
      <c r="E145" s="257"/>
      <c r="F145" s="257"/>
      <c r="G145" s="257"/>
      <c r="H145" s="257"/>
      <c r="I145" s="445"/>
      <c r="J145" s="445"/>
    </row>
    <row r="146" spans="2:10" ht="15">
      <c r="C146" s="968" t="s">
        <v>474</v>
      </c>
      <c r="D146" s="257"/>
      <c r="E146" s="257"/>
      <c r="F146" s="257"/>
      <c r="G146" s="257"/>
      <c r="H146" s="257"/>
      <c r="I146" s="445"/>
      <c r="J146" s="445"/>
    </row>
    <row r="147" spans="2:10" ht="14">
      <c r="C147" s="962"/>
      <c r="D147" s="962"/>
      <c r="E147" s="962"/>
      <c r="F147" s="962"/>
      <c r="G147" s="962"/>
      <c r="H147" s="962"/>
      <c r="I147" s="445"/>
      <c r="J147" s="445"/>
    </row>
    <row r="148" spans="2:10" ht="14">
      <c r="C148" s="962"/>
      <c r="D148" s="962"/>
      <c r="E148" s="967" t="s">
        <v>475</v>
      </c>
      <c r="F148" s="967"/>
      <c r="G148" s="962" t="s">
        <v>476</v>
      </c>
      <c r="H148" s="962" t="s">
        <v>477</v>
      </c>
      <c r="I148" s="445"/>
      <c r="J148" s="445"/>
    </row>
    <row r="149" spans="2:10" ht="14">
      <c r="C149" s="962"/>
      <c r="D149" s="962" t="s">
        <v>478</v>
      </c>
      <c r="E149" s="962" t="s">
        <v>479</v>
      </c>
      <c r="F149" s="962" t="s">
        <v>480</v>
      </c>
      <c r="G149" s="962" t="s">
        <v>481</v>
      </c>
      <c r="H149" s="962" t="s">
        <v>481</v>
      </c>
      <c r="I149" s="445"/>
      <c r="J149" s="445"/>
    </row>
    <row r="150" spans="2:10" ht="14">
      <c r="C150" s="962" t="s">
        <v>482</v>
      </c>
      <c r="D150" s="962" t="s">
        <v>483</v>
      </c>
      <c r="E150" s="966">
        <v>210</v>
      </c>
      <c r="F150" s="966">
        <v>-32</v>
      </c>
      <c r="G150" s="965">
        <v>-5.0000000000000001E-3</v>
      </c>
      <c r="H150" s="965">
        <v>0</v>
      </c>
      <c r="I150" s="445"/>
      <c r="J150" s="445"/>
    </row>
    <row r="151" spans="2:10" ht="14">
      <c r="B151" s="445"/>
      <c r="C151" s="962" t="s">
        <v>484</v>
      </c>
      <c r="D151" s="962" t="s">
        <v>483</v>
      </c>
      <c r="E151" s="966">
        <v>342</v>
      </c>
      <c r="F151" s="966">
        <v>100</v>
      </c>
      <c r="G151" s="965">
        <v>0</v>
      </c>
      <c r="H151" s="965">
        <v>0</v>
      </c>
      <c r="I151" s="445"/>
    </row>
    <row r="152" spans="2:10" ht="14">
      <c r="B152" s="445"/>
      <c r="C152" s="962" t="s">
        <v>485</v>
      </c>
      <c r="D152" s="962" t="s">
        <v>483</v>
      </c>
      <c r="E152" s="966">
        <v>346</v>
      </c>
      <c r="F152" s="966">
        <v>104</v>
      </c>
      <c r="G152" s="965">
        <v>2.1999999999999999E-2</v>
      </c>
      <c r="H152" s="965">
        <v>7.0000000000000001E-3</v>
      </c>
      <c r="I152" s="445"/>
    </row>
    <row r="153" spans="2:10" ht="14">
      <c r="B153" s="445"/>
      <c r="C153" s="962" t="s">
        <v>486</v>
      </c>
      <c r="D153" s="962" t="s">
        <v>483</v>
      </c>
      <c r="E153" s="966">
        <v>333</v>
      </c>
      <c r="F153" s="966">
        <v>91</v>
      </c>
      <c r="G153" s="965">
        <v>2.7E-2</v>
      </c>
      <c r="H153" s="965">
        <v>6.0000000000000001E-3</v>
      </c>
      <c r="I153" s="445"/>
    </row>
    <row r="154" spans="2:10" ht="14">
      <c r="B154" s="445"/>
      <c r="C154" s="962" t="s">
        <v>487</v>
      </c>
      <c r="D154" s="962" t="s">
        <v>483</v>
      </c>
      <c r="E154" s="966">
        <v>323</v>
      </c>
      <c r="F154" s="966">
        <v>80</v>
      </c>
      <c r="G154" s="965">
        <v>8.9999999999999993E-3</v>
      </c>
      <c r="H154" s="965">
        <v>-4.2999999999999997E-2</v>
      </c>
      <c r="I154" s="445"/>
    </row>
    <row r="155" spans="2:10" ht="14">
      <c r="B155" s="445"/>
      <c r="C155" s="962" t="s">
        <v>488</v>
      </c>
      <c r="D155" s="962" t="s">
        <v>483</v>
      </c>
      <c r="E155" s="966">
        <v>368</v>
      </c>
      <c r="F155" s="966">
        <v>126</v>
      </c>
      <c r="G155" s="965">
        <v>0.06</v>
      </c>
      <c r="H155" s="965">
        <v>-6.0000000000000001E-3</v>
      </c>
      <c r="I155" s="445"/>
    </row>
    <row r="156" spans="2:10" ht="14">
      <c r="B156" s="445"/>
      <c r="C156" s="962" t="s">
        <v>489</v>
      </c>
      <c r="D156" s="962" t="s">
        <v>490</v>
      </c>
      <c r="E156" s="964">
        <v>1.63</v>
      </c>
      <c r="F156" s="964">
        <v>1.63</v>
      </c>
      <c r="G156" s="963">
        <v>1.2E-2</v>
      </c>
      <c r="H156" s="963">
        <v>3.0000000000000001E-3</v>
      </c>
      <c r="I156" s="445"/>
    </row>
    <row r="157" spans="2:10" ht="14">
      <c r="B157" s="445"/>
      <c r="C157" s="962" t="s">
        <v>357</v>
      </c>
      <c r="D157" s="962" t="s">
        <v>491</v>
      </c>
      <c r="E157" s="961">
        <v>346</v>
      </c>
      <c r="F157" s="961">
        <v>104</v>
      </c>
      <c r="G157" s="960">
        <v>2.1999999999999999E-2</v>
      </c>
      <c r="H157" s="960">
        <v>7.0000000000000001E-3</v>
      </c>
      <c r="I157" s="445" t="s">
        <v>492</v>
      </c>
    </row>
    <row r="158" spans="2:10" ht="14">
      <c r="B158" s="445"/>
      <c r="C158" s="962" t="s">
        <v>493</v>
      </c>
      <c r="D158" s="962" t="s">
        <v>491</v>
      </c>
      <c r="E158" s="961">
        <v>368</v>
      </c>
      <c r="F158" s="961">
        <v>126</v>
      </c>
      <c r="G158" s="960">
        <v>0.06</v>
      </c>
      <c r="H158" s="960">
        <v>-6.0000000000000001E-3</v>
      </c>
      <c r="I158" s="445" t="s">
        <v>494</v>
      </c>
    </row>
    <row r="159" spans="2:10">
      <c r="B159" s="445"/>
      <c r="C159" s="445" t="s">
        <v>495</v>
      </c>
      <c r="D159" s="263"/>
      <c r="E159" s="445"/>
      <c r="F159" s="445"/>
      <c r="G159" s="445"/>
      <c r="H159" s="445"/>
      <c r="I159" s="445"/>
    </row>
    <row r="161" spans="2:21" ht="21">
      <c r="B161" s="251" t="s">
        <v>502</v>
      </c>
      <c r="C161" s="250"/>
      <c r="D161" s="250"/>
      <c r="E161" s="250"/>
      <c r="F161" s="250"/>
      <c r="G161" s="250"/>
      <c r="H161" s="250"/>
      <c r="I161" s="250"/>
      <c r="J161" s="250"/>
      <c r="K161" s="250"/>
      <c r="L161" s="250"/>
      <c r="M161" s="250"/>
      <c r="N161" s="250"/>
      <c r="O161" s="250"/>
      <c r="P161" s="250"/>
      <c r="Q161" s="250"/>
      <c r="R161" s="250"/>
      <c r="S161" s="250"/>
      <c r="T161" s="250"/>
      <c r="U161" s="250"/>
    </row>
    <row r="162" spans="2:21">
      <c r="B162" s="249" t="s">
        <v>503</v>
      </c>
      <c r="C162" s="249"/>
      <c r="D162" s="249"/>
      <c r="E162" s="249"/>
      <c r="F162" s="249"/>
      <c r="G162" s="249"/>
      <c r="H162" s="249"/>
      <c r="I162" s="249"/>
      <c r="J162" s="249"/>
      <c r="K162" s="249"/>
      <c r="L162" s="249"/>
      <c r="M162" s="249"/>
      <c r="N162" s="249"/>
      <c r="O162" s="249"/>
      <c r="P162" s="249"/>
      <c r="Q162" s="249"/>
      <c r="R162" s="249"/>
      <c r="S162" s="249"/>
      <c r="T162" s="249"/>
      <c r="U162" s="249"/>
    </row>
    <row r="163" spans="2:21" ht="14" thickBot="1">
      <c r="B163" s="249"/>
      <c r="C163" s="249"/>
      <c r="D163" s="249"/>
      <c r="E163" s="249" t="s">
        <v>504</v>
      </c>
      <c r="F163" s="249"/>
      <c r="G163" s="249"/>
      <c r="H163" s="249"/>
      <c r="I163" s="249"/>
      <c r="J163" s="249"/>
      <c r="K163" s="249"/>
      <c r="L163" s="249" t="s">
        <v>505</v>
      </c>
      <c r="M163" s="249"/>
      <c r="N163" s="249"/>
      <c r="O163" s="249"/>
      <c r="P163" s="249"/>
      <c r="Q163" s="249"/>
      <c r="R163" s="249"/>
      <c r="S163" s="249"/>
      <c r="T163" s="249"/>
      <c r="U163" s="249"/>
    </row>
    <row r="164" spans="2:21">
      <c r="B164" s="249"/>
      <c r="C164" s="248" t="s">
        <v>506</v>
      </c>
      <c r="D164" s="247" t="s">
        <v>104</v>
      </c>
      <c r="E164" s="247">
        <v>2015</v>
      </c>
      <c r="F164" s="247">
        <v>2020</v>
      </c>
      <c r="G164" s="247">
        <v>2035</v>
      </c>
      <c r="H164" s="247">
        <v>2050</v>
      </c>
      <c r="I164" s="247" t="s">
        <v>507</v>
      </c>
      <c r="J164" s="247" t="s">
        <v>508</v>
      </c>
      <c r="K164" s="247" t="s">
        <v>509</v>
      </c>
      <c r="L164" s="247" t="s">
        <v>510</v>
      </c>
      <c r="M164" s="247" t="s">
        <v>511</v>
      </c>
      <c r="N164" s="247">
        <v>2015</v>
      </c>
      <c r="O164" s="247">
        <v>2020</v>
      </c>
      <c r="P164" s="247">
        <v>2035</v>
      </c>
      <c r="Q164" s="247">
        <v>2050</v>
      </c>
      <c r="R164" s="959" t="s">
        <v>428</v>
      </c>
      <c r="S164" s="247" t="s">
        <v>512</v>
      </c>
      <c r="T164" s="246" t="s">
        <v>513</v>
      </c>
      <c r="U164" s="249"/>
    </row>
    <row r="165" spans="2:21" ht="14">
      <c r="B165" s="249"/>
      <c r="C165" s="245" t="s">
        <v>514</v>
      </c>
      <c r="D165" s="249" t="s">
        <v>515</v>
      </c>
      <c r="E165" s="275">
        <v>55.2</v>
      </c>
      <c r="F165" s="275">
        <v>78.900000000000006</v>
      </c>
      <c r="G165" s="275">
        <v>314.39999999999998</v>
      </c>
      <c r="H165" s="951">
        <v>314.39999999999998</v>
      </c>
      <c r="I165" s="463">
        <v>2015</v>
      </c>
      <c r="J165" s="949">
        <v>1</v>
      </c>
      <c r="K165" s="949">
        <v>1</v>
      </c>
      <c r="L165" s="948">
        <v>1</v>
      </c>
      <c r="M165" s="947">
        <v>0</v>
      </c>
      <c r="N165" s="946">
        <v>55.2</v>
      </c>
      <c r="O165" s="946">
        <v>78.900000000000006</v>
      </c>
      <c r="P165" s="946">
        <v>314.39999999999998</v>
      </c>
      <c r="Q165" s="946">
        <v>314.39999999999998</v>
      </c>
      <c r="R165" s="946">
        <v>55.2</v>
      </c>
      <c r="S165" s="249"/>
      <c r="T165" s="470" t="s">
        <v>644</v>
      </c>
      <c r="U165" s="249"/>
    </row>
    <row r="166" spans="2:21" ht="14">
      <c r="B166" s="249"/>
      <c r="C166" s="245" t="s">
        <v>516</v>
      </c>
      <c r="D166" s="249" t="s">
        <v>517</v>
      </c>
      <c r="E166" s="275">
        <v>266.10000000000002</v>
      </c>
      <c r="F166" s="958">
        <v>331.2</v>
      </c>
      <c r="G166" s="958">
        <v>573.1</v>
      </c>
      <c r="H166" s="951">
        <v>573.1</v>
      </c>
      <c r="I166" s="463">
        <v>2015</v>
      </c>
      <c r="J166" s="949">
        <v>1</v>
      </c>
      <c r="K166" s="949">
        <v>1</v>
      </c>
      <c r="L166" s="948">
        <v>1</v>
      </c>
      <c r="M166" s="947">
        <v>0</v>
      </c>
      <c r="N166" s="946">
        <v>266.10000000000002</v>
      </c>
      <c r="O166" s="946">
        <v>331.2</v>
      </c>
      <c r="P166" s="946">
        <v>573.1</v>
      </c>
      <c r="Q166" s="946">
        <v>573.1</v>
      </c>
      <c r="R166" s="946">
        <v>266.10000000000002</v>
      </c>
      <c r="S166" s="957"/>
      <c r="T166" s="470" t="s">
        <v>644</v>
      </c>
      <c r="U166" s="249"/>
    </row>
    <row r="167" spans="2:21" ht="14">
      <c r="B167" s="249"/>
      <c r="C167" s="245" t="s">
        <v>518</v>
      </c>
      <c r="D167" s="249" t="s">
        <v>517</v>
      </c>
      <c r="E167" s="275">
        <v>445.5</v>
      </c>
      <c r="F167" s="958">
        <v>513.29999999999995</v>
      </c>
      <c r="G167" s="958">
        <v>769.9</v>
      </c>
      <c r="H167" s="951">
        <v>769.9</v>
      </c>
      <c r="I167" s="463">
        <v>2015</v>
      </c>
      <c r="J167" s="949">
        <v>1</v>
      </c>
      <c r="K167" s="949">
        <v>1</v>
      </c>
      <c r="L167" s="948">
        <v>1</v>
      </c>
      <c r="M167" s="947">
        <v>0</v>
      </c>
      <c r="N167" s="946">
        <v>445.5</v>
      </c>
      <c r="O167" s="946">
        <v>513.29999999999995</v>
      </c>
      <c r="P167" s="946">
        <v>769.9</v>
      </c>
      <c r="Q167" s="946">
        <v>769.9</v>
      </c>
      <c r="R167" s="946">
        <v>445.5</v>
      </c>
      <c r="S167" s="957"/>
      <c r="T167" s="470" t="s">
        <v>644</v>
      </c>
      <c r="U167" s="249"/>
    </row>
    <row r="168" spans="2:21" ht="14">
      <c r="B168" s="249"/>
      <c r="C168" s="245" t="s">
        <v>519</v>
      </c>
      <c r="D168" s="249" t="s">
        <v>379</v>
      </c>
      <c r="E168" s="275">
        <v>72</v>
      </c>
      <c r="F168" s="275">
        <v>73.3</v>
      </c>
      <c r="G168" s="275">
        <v>78.3</v>
      </c>
      <c r="H168" s="951">
        <v>78.3</v>
      </c>
      <c r="I168" s="463">
        <v>2015</v>
      </c>
      <c r="J168" s="949">
        <v>1</v>
      </c>
      <c r="K168" s="949">
        <v>1</v>
      </c>
      <c r="L168" s="948">
        <v>1</v>
      </c>
      <c r="M168" s="947">
        <v>0</v>
      </c>
      <c r="N168" s="946">
        <v>72</v>
      </c>
      <c r="O168" s="946">
        <v>73.3</v>
      </c>
      <c r="P168" s="946">
        <v>78.3</v>
      </c>
      <c r="Q168" s="946">
        <v>78.3</v>
      </c>
      <c r="R168" s="946">
        <v>72</v>
      </c>
      <c r="S168" s="249"/>
      <c r="T168" s="470" t="s">
        <v>644</v>
      </c>
      <c r="U168" s="249"/>
    </row>
    <row r="169" spans="2:21" ht="14">
      <c r="B169" s="249"/>
      <c r="C169" s="245" t="s">
        <v>520</v>
      </c>
      <c r="D169" s="249" t="s">
        <v>517</v>
      </c>
      <c r="E169" s="275">
        <v>485.5</v>
      </c>
      <c r="F169" s="958">
        <v>553.29999999999995</v>
      </c>
      <c r="G169" s="958">
        <v>809.9</v>
      </c>
      <c r="H169" s="951">
        <v>809.9</v>
      </c>
      <c r="I169" s="463">
        <v>2015</v>
      </c>
      <c r="J169" s="949">
        <v>1</v>
      </c>
      <c r="K169" s="949">
        <v>1</v>
      </c>
      <c r="L169" s="948">
        <v>1</v>
      </c>
      <c r="M169" s="947">
        <v>0</v>
      </c>
      <c r="N169" s="946">
        <v>485.5</v>
      </c>
      <c r="O169" s="946">
        <v>553.29999999999995</v>
      </c>
      <c r="P169" s="946">
        <v>809.9</v>
      </c>
      <c r="Q169" s="946">
        <v>809.9</v>
      </c>
      <c r="R169" s="946">
        <v>485.5</v>
      </c>
      <c r="S169" s="957"/>
      <c r="T169" s="470" t="s">
        <v>644</v>
      </c>
      <c r="U169" s="249"/>
    </row>
    <row r="170" spans="2:21" ht="14">
      <c r="B170" s="249"/>
      <c r="C170" s="238" t="s">
        <v>521</v>
      </c>
      <c r="D170" s="249" t="s">
        <v>379</v>
      </c>
      <c r="E170" s="275">
        <v>102.2</v>
      </c>
      <c r="F170" s="275">
        <v>119.9</v>
      </c>
      <c r="G170" s="275">
        <v>135.30000000000001</v>
      </c>
      <c r="H170" s="951">
        <v>135.30000000000001</v>
      </c>
      <c r="I170" s="463">
        <v>2015</v>
      </c>
      <c r="J170" s="949">
        <v>1</v>
      </c>
      <c r="K170" s="949">
        <v>1</v>
      </c>
      <c r="L170" s="948">
        <v>1</v>
      </c>
      <c r="M170" s="947">
        <v>0</v>
      </c>
      <c r="N170" s="946">
        <v>102.2</v>
      </c>
      <c r="O170" s="946">
        <v>119.9</v>
      </c>
      <c r="P170" s="946">
        <v>135.30000000000001</v>
      </c>
      <c r="Q170" s="946">
        <v>135.30000000000001</v>
      </c>
      <c r="R170" s="946">
        <v>102.2</v>
      </c>
      <c r="S170" s="249"/>
      <c r="T170" s="470" t="s">
        <v>644</v>
      </c>
      <c r="U170" s="249"/>
    </row>
    <row r="171" spans="2:21" ht="14">
      <c r="B171" s="249"/>
      <c r="C171" s="245" t="s">
        <v>522</v>
      </c>
      <c r="D171" s="249" t="s">
        <v>379</v>
      </c>
      <c r="E171" s="275">
        <v>20.2</v>
      </c>
      <c r="F171" s="275">
        <v>24.9</v>
      </c>
      <c r="G171" s="275">
        <v>25.8</v>
      </c>
      <c r="H171" s="951">
        <v>25.8</v>
      </c>
      <c r="I171" s="463">
        <v>2015</v>
      </c>
      <c r="J171" s="949">
        <v>1</v>
      </c>
      <c r="K171" s="949">
        <v>1</v>
      </c>
      <c r="L171" s="948">
        <v>1</v>
      </c>
      <c r="M171" s="956">
        <v>0</v>
      </c>
      <c r="N171" s="946">
        <v>20.2</v>
      </c>
      <c r="O171" s="946">
        <v>24.9</v>
      </c>
      <c r="P171" s="946">
        <v>25.8</v>
      </c>
      <c r="Q171" s="946">
        <v>25.8</v>
      </c>
      <c r="R171" s="946">
        <v>20.2</v>
      </c>
      <c r="S171" s="249"/>
      <c r="T171" s="470" t="s">
        <v>644</v>
      </c>
      <c r="U171" s="249"/>
    </row>
    <row r="172" spans="2:21" ht="14">
      <c r="B172" s="249"/>
      <c r="C172" s="245" t="s">
        <v>523</v>
      </c>
      <c r="D172" s="249" t="s">
        <v>379</v>
      </c>
      <c r="E172" s="275">
        <v>69.8</v>
      </c>
      <c r="F172" s="275">
        <v>71.099999999999994</v>
      </c>
      <c r="G172" s="275">
        <v>76.099999999999994</v>
      </c>
      <c r="H172" s="951">
        <v>76.099999999999994</v>
      </c>
      <c r="I172" s="463">
        <v>2015</v>
      </c>
      <c r="J172" s="949">
        <v>1</v>
      </c>
      <c r="K172" s="949">
        <v>1</v>
      </c>
      <c r="L172" s="948">
        <v>1</v>
      </c>
      <c r="M172" s="947">
        <v>0</v>
      </c>
      <c r="N172" s="946">
        <v>69.8</v>
      </c>
      <c r="O172" s="946">
        <v>71.099999999999994</v>
      </c>
      <c r="P172" s="946">
        <v>76.099999999999994</v>
      </c>
      <c r="Q172" s="946">
        <v>76.099999999999994</v>
      </c>
      <c r="R172" s="946">
        <v>69.8</v>
      </c>
      <c r="S172" s="249"/>
      <c r="T172" s="470" t="s">
        <v>644</v>
      </c>
      <c r="U172" s="249"/>
    </row>
    <row r="173" spans="2:21" ht="14">
      <c r="B173" s="249"/>
      <c r="C173" s="238" t="s">
        <v>524</v>
      </c>
      <c r="D173" s="249" t="s">
        <v>379</v>
      </c>
      <c r="E173" s="275">
        <v>119.6</v>
      </c>
      <c r="F173" s="275">
        <v>138.4</v>
      </c>
      <c r="G173" s="275">
        <v>154.6</v>
      </c>
      <c r="H173" s="951">
        <v>154.6</v>
      </c>
      <c r="I173" s="463">
        <v>2015</v>
      </c>
      <c r="J173" s="949">
        <v>1</v>
      </c>
      <c r="K173" s="949">
        <v>1</v>
      </c>
      <c r="L173" s="948">
        <v>1</v>
      </c>
      <c r="M173" s="947">
        <v>0</v>
      </c>
      <c r="N173" s="946">
        <v>119.6</v>
      </c>
      <c r="O173" s="946">
        <v>138.4</v>
      </c>
      <c r="P173" s="946">
        <v>154.6</v>
      </c>
      <c r="Q173" s="946">
        <v>154.6</v>
      </c>
      <c r="R173" s="946">
        <v>119.6</v>
      </c>
      <c r="S173" s="249"/>
      <c r="T173" s="470" t="s">
        <v>644</v>
      </c>
      <c r="U173" s="249"/>
    </row>
    <row r="174" spans="2:21" ht="14">
      <c r="B174" s="249"/>
      <c r="C174" s="238" t="s">
        <v>525</v>
      </c>
      <c r="D174" s="249" t="s">
        <v>379</v>
      </c>
      <c r="E174" s="275">
        <v>118.5</v>
      </c>
      <c r="F174" s="275">
        <v>137.19999999999999</v>
      </c>
      <c r="G174" s="275">
        <v>153.4</v>
      </c>
      <c r="H174" s="951">
        <v>153.4</v>
      </c>
      <c r="I174" s="463">
        <v>2015</v>
      </c>
      <c r="J174" s="949">
        <v>1</v>
      </c>
      <c r="K174" s="949">
        <v>1</v>
      </c>
      <c r="L174" s="948">
        <v>1</v>
      </c>
      <c r="M174" s="947">
        <v>0</v>
      </c>
      <c r="N174" s="946">
        <v>118.5</v>
      </c>
      <c r="O174" s="946">
        <v>137.19999999999999</v>
      </c>
      <c r="P174" s="946">
        <v>153.4</v>
      </c>
      <c r="Q174" s="946">
        <v>153.4</v>
      </c>
      <c r="R174" s="946">
        <v>118.5</v>
      </c>
      <c r="S174" s="249"/>
      <c r="T174" s="470" t="s">
        <v>644</v>
      </c>
      <c r="U174" s="249"/>
    </row>
    <row r="175" spans="2:21" ht="14">
      <c r="B175" s="249"/>
      <c r="C175" s="238" t="s">
        <v>526</v>
      </c>
      <c r="D175" s="249" t="s">
        <v>379</v>
      </c>
      <c r="E175" s="275">
        <v>115.7</v>
      </c>
      <c r="F175" s="275">
        <v>134.4</v>
      </c>
      <c r="G175" s="275">
        <v>150.6</v>
      </c>
      <c r="H175" s="951">
        <v>150.6</v>
      </c>
      <c r="I175" s="463">
        <v>2015</v>
      </c>
      <c r="J175" s="949">
        <v>1</v>
      </c>
      <c r="K175" s="949">
        <v>1</v>
      </c>
      <c r="L175" s="948">
        <v>1</v>
      </c>
      <c r="M175" s="947">
        <v>0</v>
      </c>
      <c r="N175" s="946">
        <v>115.7</v>
      </c>
      <c r="O175" s="946">
        <v>134.4</v>
      </c>
      <c r="P175" s="946">
        <v>150.6</v>
      </c>
      <c r="Q175" s="946">
        <v>150.6</v>
      </c>
      <c r="R175" s="946">
        <v>115.7</v>
      </c>
      <c r="S175" s="249"/>
      <c r="T175" s="470" t="s">
        <v>644</v>
      </c>
      <c r="U175" s="249"/>
    </row>
    <row r="176" spans="2:21" ht="14">
      <c r="B176" s="249"/>
      <c r="C176" s="238" t="s">
        <v>527</v>
      </c>
      <c r="D176" s="249" t="s">
        <v>379</v>
      </c>
      <c r="E176" s="275">
        <v>89.8</v>
      </c>
      <c r="F176" s="275">
        <v>108.5</v>
      </c>
      <c r="G176" s="275">
        <v>124.7</v>
      </c>
      <c r="H176" s="951">
        <v>124.7</v>
      </c>
      <c r="I176" s="463">
        <v>2015</v>
      </c>
      <c r="J176" s="949">
        <v>1</v>
      </c>
      <c r="K176" s="949">
        <v>1</v>
      </c>
      <c r="L176" s="948">
        <v>1</v>
      </c>
      <c r="M176" s="947">
        <v>0</v>
      </c>
      <c r="N176" s="946">
        <v>89.8</v>
      </c>
      <c r="O176" s="946">
        <v>108.5</v>
      </c>
      <c r="P176" s="946">
        <v>124.7</v>
      </c>
      <c r="Q176" s="946">
        <v>124.7</v>
      </c>
      <c r="R176" s="946">
        <v>89.8</v>
      </c>
      <c r="S176" s="249"/>
      <c r="T176" s="470" t="s">
        <v>644</v>
      </c>
      <c r="U176" s="249"/>
    </row>
    <row r="177" spans="2:21" ht="14">
      <c r="B177" s="249"/>
      <c r="C177" s="245" t="s">
        <v>528</v>
      </c>
      <c r="D177" s="249" t="s">
        <v>379</v>
      </c>
      <c r="E177" s="275">
        <v>34.799999999999997</v>
      </c>
      <c r="F177" s="275">
        <v>34.799999999999997</v>
      </c>
      <c r="G177" s="275">
        <v>34.799999999999997</v>
      </c>
      <c r="H177" s="951">
        <v>34.799999999999997</v>
      </c>
      <c r="I177" s="463">
        <v>2015</v>
      </c>
      <c r="J177" s="949">
        <v>1</v>
      </c>
      <c r="K177" s="949">
        <v>1</v>
      </c>
      <c r="L177" s="948">
        <v>1</v>
      </c>
      <c r="M177" s="956">
        <v>0</v>
      </c>
      <c r="N177" s="946">
        <v>34.799999999999997</v>
      </c>
      <c r="O177" s="946">
        <v>34.799999999999997</v>
      </c>
      <c r="P177" s="946">
        <v>34.799999999999997</v>
      </c>
      <c r="Q177" s="946">
        <v>34.799999999999997</v>
      </c>
      <c r="R177" s="946">
        <v>34.799999999999997</v>
      </c>
      <c r="S177" s="249"/>
      <c r="T177" s="470" t="s">
        <v>644</v>
      </c>
      <c r="U177" s="249"/>
    </row>
    <row r="178" spans="2:21" ht="14">
      <c r="B178" s="249"/>
      <c r="C178" s="245" t="s">
        <v>529</v>
      </c>
      <c r="D178" s="249" t="s">
        <v>379</v>
      </c>
      <c r="E178" s="275">
        <v>28.7</v>
      </c>
      <c r="F178" s="275">
        <v>28.7</v>
      </c>
      <c r="G178" s="275">
        <v>28.7</v>
      </c>
      <c r="H178" s="951">
        <v>28.7</v>
      </c>
      <c r="I178" s="463">
        <v>2015</v>
      </c>
      <c r="J178" s="949">
        <v>1</v>
      </c>
      <c r="K178" s="949">
        <v>1</v>
      </c>
      <c r="L178" s="948">
        <v>1</v>
      </c>
      <c r="M178" s="956">
        <v>0</v>
      </c>
      <c r="N178" s="946">
        <v>28.7</v>
      </c>
      <c r="O178" s="946">
        <v>28.7</v>
      </c>
      <c r="P178" s="946">
        <v>28.7</v>
      </c>
      <c r="Q178" s="946">
        <v>28.7</v>
      </c>
      <c r="R178" s="946">
        <v>28.7</v>
      </c>
      <c r="S178" s="249"/>
      <c r="T178" s="470" t="s">
        <v>644</v>
      </c>
      <c r="U178" s="249"/>
    </row>
    <row r="179" spans="2:21" ht="14">
      <c r="B179" s="249"/>
      <c r="C179" s="245" t="s">
        <v>530</v>
      </c>
      <c r="D179" s="249" t="s">
        <v>379</v>
      </c>
      <c r="E179" s="275">
        <v>2.2000000000000002</v>
      </c>
      <c r="F179" s="275">
        <v>2.2000000000000002</v>
      </c>
      <c r="G179" s="275">
        <v>2.2000000000000002</v>
      </c>
      <c r="H179" s="951">
        <v>2.2000000000000002</v>
      </c>
      <c r="I179" s="463">
        <v>2015</v>
      </c>
      <c r="J179" s="949">
        <v>1</v>
      </c>
      <c r="K179" s="949">
        <v>1</v>
      </c>
      <c r="L179" s="948">
        <v>1</v>
      </c>
      <c r="M179" s="956">
        <v>0</v>
      </c>
      <c r="N179" s="946">
        <v>2.2000000000000002</v>
      </c>
      <c r="O179" s="946">
        <v>2.2000000000000002</v>
      </c>
      <c r="P179" s="946">
        <v>2.2000000000000002</v>
      </c>
      <c r="Q179" s="946">
        <v>2.2000000000000002</v>
      </c>
      <c r="R179" s="946">
        <v>2.2000000000000002</v>
      </c>
      <c r="S179" s="249"/>
      <c r="T179" s="470" t="s">
        <v>644</v>
      </c>
      <c r="U179" s="249"/>
    </row>
    <row r="180" spans="2:21" ht="14">
      <c r="B180" s="249"/>
      <c r="C180" s="245" t="s">
        <v>531</v>
      </c>
      <c r="D180" s="249" t="s">
        <v>379</v>
      </c>
      <c r="E180" s="280">
        <v>61</v>
      </c>
      <c r="F180" s="280">
        <v>61.7</v>
      </c>
      <c r="G180" s="280">
        <v>65.8</v>
      </c>
      <c r="H180" s="951">
        <v>65.8</v>
      </c>
      <c r="I180" s="463">
        <v>2015</v>
      </c>
      <c r="J180" s="949">
        <v>1</v>
      </c>
      <c r="K180" s="949">
        <v>1</v>
      </c>
      <c r="L180" s="948">
        <v>1</v>
      </c>
      <c r="M180" s="947">
        <v>0</v>
      </c>
      <c r="N180" s="946">
        <v>61</v>
      </c>
      <c r="O180" s="946">
        <v>61.7</v>
      </c>
      <c r="P180" s="946">
        <v>65.8</v>
      </c>
      <c r="Q180" s="946">
        <v>65.8</v>
      </c>
      <c r="R180" s="946">
        <v>61</v>
      </c>
      <c r="S180" s="249" t="s">
        <v>532</v>
      </c>
      <c r="T180" s="470" t="s">
        <v>644</v>
      </c>
      <c r="U180" s="249"/>
    </row>
    <row r="181" spans="2:21" ht="14">
      <c r="B181" s="249"/>
      <c r="C181" s="245" t="s">
        <v>533</v>
      </c>
      <c r="D181" s="249" t="s">
        <v>379</v>
      </c>
      <c r="E181" s="280">
        <v>49.8</v>
      </c>
      <c r="F181" s="280">
        <v>50.6</v>
      </c>
      <c r="G181" s="280">
        <v>54.7</v>
      </c>
      <c r="H181" s="951">
        <v>54.7</v>
      </c>
      <c r="I181" s="463">
        <v>2015</v>
      </c>
      <c r="J181" s="949">
        <v>1</v>
      </c>
      <c r="K181" s="949">
        <v>1</v>
      </c>
      <c r="L181" s="948">
        <v>1</v>
      </c>
      <c r="M181" s="947">
        <v>0</v>
      </c>
      <c r="N181" s="946">
        <v>49.8</v>
      </c>
      <c r="O181" s="946">
        <v>50.6</v>
      </c>
      <c r="P181" s="946">
        <v>54.7</v>
      </c>
      <c r="Q181" s="946">
        <v>54.7</v>
      </c>
      <c r="R181" s="946">
        <v>49.8</v>
      </c>
      <c r="S181" s="249" t="s">
        <v>532</v>
      </c>
      <c r="T181" s="470" t="s">
        <v>644</v>
      </c>
      <c r="U181" s="249"/>
    </row>
    <row r="182" spans="2:21" ht="14">
      <c r="B182" s="249"/>
      <c r="C182" s="245" t="s">
        <v>534</v>
      </c>
      <c r="D182" s="249" t="s">
        <v>379</v>
      </c>
      <c r="E182" s="275">
        <v>7</v>
      </c>
      <c r="F182" s="275">
        <v>7</v>
      </c>
      <c r="G182" s="275">
        <v>7</v>
      </c>
      <c r="H182" s="951">
        <v>7</v>
      </c>
      <c r="I182" s="463">
        <v>2015</v>
      </c>
      <c r="J182" s="949">
        <v>1</v>
      </c>
      <c r="K182" s="949">
        <v>1</v>
      </c>
      <c r="L182" s="948">
        <v>1</v>
      </c>
      <c r="M182" s="956">
        <v>0</v>
      </c>
      <c r="N182" s="946">
        <v>7</v>
      </c>
      <c r="O182" s="946">
        <v>7</v>
      </c>
      <c r="P182" s="946">
        <v>7</v>
      </c>
      <c r="Q182" s="946">
        <v>7</v>
      </c>
      <c r="R182" s="946">
        <v>7</v>
      </c>
      <c r="S182" s="249"/>
      <c r="T182" s="470" t="s">
        <v>644</v>
      </c>
      <c r="U182" s="249"/>
    </row>
    <row r="183" spans="2:21" ht="14">
      <c r="B183" s="249"/>
      <c r="C183" s="245" t="s">
        <v>535</v>
      </c>
      <c r="D183" s="249" t="s">
        <v>379</v>
      </c>
      <c r="E183" s="275">
        <v>30.2</v>
      </c>
      <c r="F183" s="275">
        <v>30.2</v>
      </c>
      <c r="G183" s="275">
        <v>30.2</v>
      </c>
      <c r="H183" s="951">
        <v>30.2</v>
      </c>
      <c r="I183" s="463">
        <v>2015</v>
      </c>
      <c r="J183" s="949">
        <v>1</v>
      </c>
      <c r="K183" s="949">
        <v>1</v>
      </c>
      <c r="L183" s="948">
        <v>1</v>
      </c>
      <c r="M183" s="956">
        <v>0</v>
      </c>
      <c r="N183" s="946">
        <v>30.2</v>
      </c>
      <c r="O183" s="946">
        <v>30.2</v>
      </c>
      <c r="P183" s="946">
        <v>30.2</v>
      </c>
      <c r="Q183" s="946">
        <v>30.2</v>
      </c>
      <c r="R183" s="946">
        <v>30.2</v>
      </c>
      <c r="S183" s="249"/>
      <c r="T183" s="470" t="s">
        <v>644</v>
      </c>
      <c r="U183" s="249"/>
    </row>
    <row r="184" spans="2:21" ht="14">
      <c r="B184" s="249"/>
      <c r="C184" s="245" t="s">
        <v>68</v>
      </c>
      <c r="D184" s="249" t="s">
        <v>379</v>
      </c>
      <c r="E184" s="955">
        <v>143.69999999999999</v>
      </c>
      <c r="F184" s="955">
        <v>146.4</v>
      </c>
      <c r="G184" s="955">
        <v>156.80000000000001</v>
      </c>
      <c r="H184" s="955">
        <v>156.80000000000001</v>
      </c>
      <c r="I184" s="463">
        <v>2015</v>
      </c>
      <c r="J184" s="949">
        <v>1</v>
      </c>
      <c r="K184" s="949">
        <v>1</v>
      </c>
      <c r="L184" s="948">
        <v>1</v>
      </c>
      <c r="M184" s="947">
        <v>0</v>
      </c>
      <c r="N184" s="946">
        <v>143.69999999999999</v>
      </c>
      <c r="O184" s="946">
        <v>146.4</v>
      </c>
      <c r="P184" s="946">
        <v>156.80000000000001</v>
      </c>
      <c r="Q184" s="946">
        <v>156.80000000000001</v>
      </c>
      <c r="R184" s="946">
        <v>143.69999999999999</v>
      </c>
      <c r="S184" s="249" t="s">
        <v>536</v>
      </c>
      <c r="T184" s="470"/>
      <c r="U184" s="249"/>
    </row>
    <row r="185" spans="2:21" ht="14">
      <c r="B185" s="249"/>
      <c r="C185" s="245" t="s">
        <v>537</v>
      </c>
      <c r="D185" s="249" t="s">
        <v>379</v>
      </c>
      <c r="E185" s="275">
        <v>67</v>
      </c>
      <c r="F185" s="275">
        <v>66.2</v>
      </c>
      <c r="G185" s="275">
        <v>73.3</v>
      </c>
      <c r="H185" s="951">
        <v>73.3</v>
      </c>
      <c r="I185" s="463">
        <v>2011</v>
      </c>
      <c r="J185" s="949">
        <v>1</v>
      </c>
      <c r="K185" s="949">
        <v>1.0640000000000001</v>
      </c>
      <c r="L185" s="948">
        <v>1.0640000000000001</v>
      </c>
      <c r="M185" s="947">
        <v>0</v>
      </c>
      <c r="N185" s="946">
        <v>71.3</v>
      </c>
      <c r="O185" s="946">
        <v>70.400000000000006</v>
      </c>
      <c r="P185" s="946">
        <v>78</v>
      </c>
      <c r="Q185" s="946">
        <v>78</v>
      </c>
      <c r="R185" s="946">
        <v>71.3</v>
      </c>
      <c r="S185" s="249" t="s">
        <v>538</v>
      </c>
      <c r="T185" s="470" t="s">
        <v>645</v>
      </c>
      <c r="U185" s="249"/>
    </row>
    <row r="186" spans="2:21" ht="14">
      <c r="B186" s="249"/>
      <c r="C186" s="245" t="s">
        <v>401</v>
      </c>
      <c r="D186" s="249" t="s">
        <v>379</v>
      </c>
      <c r="E186" s="383">
        <v>69.7</v>
      </c>
      <c r="F186" s="383">
        <v>76.8</v>
      </c>
      <c r="G186" s="383">
        <v>77</v>
      </c>
      <c r="H186" s="383">
        <v>77</v>
      </c>
      <c r="I186" s="463">
        <v>2013</v>
      </c>
      <c r="J186" s="949">
        <v>1</v>
      </c>
      <c r="K186" s="949">
        <v>1.038</v>
      </c>
      <c r="L186" s="948">
        <v>1.038</v>
      </c>
      <c r="M186" s="947">
        <v>0</v>
      </c>
      <c r="N186" s="946">
        <v>72.400000000000006</v>
      </c>
      <c r="O186" s="946">
        <v>79.7</v>
      </c>
      <c r="P186" s="946">
        <v>79.900000000000006</v>
      </c>
      <c r="Q186" s="946">
        <v>79.900000000000006</v>
      </c>
      <c r="R186" s="946">
        <v>72.400000000000006</v>
      </c>
      <c r="S186" s="952" t="s">
        <v>539</v>
      </c>
      <c r="T186" s="470" t="s">
        <v>646</v>
      </c>
      <c r="U186" s="249"/>
    </row>
    <row r="187" spans="2:21" ht="14">
      <c r="B187" s="249"/>
      <c r="C187" s="245" t="s">
        <v>402</v>
      </c>
      <c r="D187" s="249" t="s">
        <v>379</v>
      </c>
      <c r="E187" s="384">
        <v>10.3</v>
      </c>
      <c r="F187" s="384">
        <v>10.3</v>
      </c>
      <c r="G187" s="384">
        <v>10.3</v>
      </c>
      <c r="H187" s="384">
        <v>10.3</v>
      </c>
      <c r="I187" s="463">
        <v>2014</v>
      </c>
      <c r="J187" s="949">
        <v>1</v>
      </c>
      <c r="K187" s="949">
        <v>1.0249999999999999</v>
      </c>
      <c r="L187" s="948">
        <v>1.0249999999999999</v>
      </c>
      <c r="M187" s="947">
        <v>0</v>
      </c>
      <c r="N187" s="946">
        <v>10.6</v>
      </c>
      <c r="O187" s="946">
        <v>10.6</v>
      </c>
      <c r="P187" s="946">
        <v>10.6</v>
      </c>
      <c r="Q187" s="946">
        <v>10.6</v>
      </c>
      <c r="R187" s="946">
        <v>10.6</v>
      </c>
      <c r="S187" s="952"/>
      <c r="T187" s="470" t="s">
        <v>540</v>
      </c>
      <c r="U187" s="249"/>
    </row>
    <row r="188" spans="2:21" ht="14">
      <c r="B188" s="249"/>
      <c r="C188" s="245" t="s">
        <v>403</v>
      </c>
      <c r="D188" s="249" t="s">
        <v>379</v>
      </c>
      <c r="E188" s="951">
        <v>38.6</v>
      </c>
      <c r="F188" s="951">
        <v>41.2</v>
      </c>
      <c r="G188" s="951">
        <v>46.9</v>
      </c>
      <c r="H188" s="951">
        <v>51.9</v>
      </c>
      <c r="I188" s="463">
        <v>2012</v>
      </c>
      <c r="J188" s="949">
        <v>1</v>
      </c>
      <c r="K188" s="949">
        <v>1.0589999999999999</v>
      </c>
      <c r="L188" s="948">
        <v>1.0589999999999999</v>
      </c>
      <c r="M188" s="947"/>
      <c r="N188" s="946">
        <v>40.9</v>
      </c>
      <c r="O188" s="946">
        <v>43.6</v>
      </c>
      <c r="P188" s="946">
        <v>49.6</v>
      </c>
      <c r="Q188" s="946">
        <v>55</v>
      </c>
      <c r="R188" s="946">
        <v>40.9</v>
      </c>
      <c r="S188" s="952"/>
      <c r="T188" s="470" t="s">
        <v>647</v>
      </c>
      <c r="U188" s="249"/>
    </row>
    <row r="189" spans="2:21" ht="14">
      <c r="B189" s="249"/>
      <c r="C189" s="245" t="s">
        <v>404</v>
      </c>
      <c r="D189" s="249" t="s">
        <v>379</v>
      </c>
      <c r="E189" s="469">
        <v>101.7</v>
      </c>
      <c r="F189" s="469">
        <v>112.5</v>
      </c>
      <c r="G189" s="469">
        <v>118.1</v>
      </c>
      <c r="H189" s="469">
        <v>118.1</v>
      </c>
      <c r="I189" s="463">
        <v>2015</v>
      </c>
      <c r="J189" s="949">
        <v>1</v>
      </c>
      <c r="K189" s="949">
        <v>1</v>
      </c>
      <c r="L189" s="948">
        <v>1</v>
      </c>
      <c r="M189" s="947"/>
      <c r="N189" s="946">
        <v>101.7</v>
      </c>
      <c r="O189" s="946">
        <v>112.5</v>
      </c>
      <c r="P189" s="946">
        <v>118.1</v>
      </c>
      <c r="Q189" s="946">
        <v>118.1</v>
      </c>
      <c r="R189" s="946">
        <v>101.7</v>
      </c>
      <c r="S189" s="952" t="s">
        <v>541</v>
      </c>
      <c r="T189" s="470" t="s">
        <v>646</v>
      </c>
      <c r="U189" s="249"/>
    </row>
    <row r="190" spans="2:21" ht="14">
      <c r="B190" s="249"/>
      <c r="C190" s="245" t="s">
        <v>426</v>
      </c>
      <c r="D190" s="249" t="s">
        <v>379</v>
      </c>
      <c r="E190" s="469">
        <v>91.8</v>
      </c>
      <c r="F190" s="469">
        <v>102.2</v>
      </c>
      <c r="G190" s="469">
        <v>114.4</v>
      </c>
      <c r="H190" s="469">
        <v>114.4</v>
      </c>
      <c r="I190" s="463">
        <v>2015</v>
      </c>
      <c r="J190" s="949">
        <v>1</v>
      </c>
      <c r="K190" s="949">
        <v>1</v>
      </c>
      <c r="L190" s="948">
        <v>1</v>
      </c>
      <c r="M190" s="947"/>
      <c r="N190" s="946">
        <v>91.8</v>
      </c>
      <c r="O190" s="946">
        <v>102.2</v>
      </c>
      <c r="P190" s="946">
        <v>114.4</v>
      </c>
      <c r="Q190" s="946">
        <v>114.4</v>
      </c>
      <c r="R190" s="946">
        <v>91.8</v>
      </c>
      <c r="S190" s="952"/>
      <c r="T190" s="470"/>
      <c r="U190" s="249"/>
    </row>
    <row r="191" spans="2:21" ht="14">
      <c r="B191" s="249"/>
      <c r="C191" s="245" t="s">
        <v>635</v>
      </c>
      <c r="D191" s="249" t="s">
        <v>379</v>
      </c>
      <c r="E191" s="469">
        <v>148.80000000000001</v>
      </c>
      <c r="F191" s="469">
        <v>176.4</v>
      </c>
      <c r="G191" s="469">
        <v>187.5</v>
      </c>
      <c r="H191" s="469">
        <v>187.5</v>
      </c>
      <c r="I191" s="463">
        <v>2015</v>
      </c>
      <c r="J191" s="949">
        <v>1</v>
      </c>
      <c r="K191" s="949">
        <v>1</v>
      </c>
      <c r="L191" s="948">
        <v>1</v>
      </c>
      <c r="M191" s="947">
        <v>0</v>
      </c>
      <c r="N191" s="946">
        <v>148.80000000000001</v>
      </c>
      <c r="O191" s="946">
        <v>176.4</v>
      </c>
      <c r="P191" s="946">
        <v>187.5</v>
      </c>
      <c r="Q191" s="946">
        <v>187.5</v>
      </c>
      <c r="R191" s="946">
        <v>148.80000000000001</v>
      </c>
      <c r="S191" s="952"/>
      <c r="T191" s="470" t="s">
        <v>648</v>
      </c>
      <c r="U191" s="249"/>
    </row>
    <row r="192" spans="2:21" ht="14">
      <c r="B192" s="249"/>
      <c r="C192" s="245" t="s">
        <v>406</v>
      </c>
      <c r="D192" s="249" t="s">
        <v>379</v>
      </c>
      <c r="E192" s="951">
        <v>45.4</v>
      </c>
      <c r="F192" s="951">
        <v>48.4</v>
      </c>
      <c r="G192" s="951">
        <v>55.1</v>
      </c>
      <c r="H192" s="951">
        <v>61.1</v>
      </c>
      <c r="I192" s="463">
        <v>2012</v>
      </c>
      <c r="J192" s="949">
        <v>1</v>
      </c>
      <c r="K192" s="949">
        <v>1.0589999999999999</v>
      </c>
      <c r="L192" s="948">
        <v>1.0589999999999999</v>
      </c>
      <c r="M192" s="947"/>
      <c r="N192" s="946">
        <v>48.1</v>
      </c>
      <c r="O192" s="946">
        <v>51.3</v>
      </c>
      <c r="P192" s="946">
        <v>58.4</v>
      </c>
      <c r="Q192" s="946">
        <v>64.7</v>
      </c>
      <c r="R192" s="946">
        <v>48.1</v>
      </c>
      <c r="S192" s="952" t="s">
        <v>542</v>
      </c>
      <c r="T192" s="470" t="s">
        <v>647</v>
      </c>
      <c r="U192" s="249"/>
    </row>
    <row r="193" spans="2:21" ht="14">
      <c r="B193" s="249"/>
      <c r="C193" s="245" t="s">
        <v>407</v>
      </c>
      <c r="D193" s="249" t="s">
        <v>379</v>
      </c>
      <c r="E193" s="954">
        <v>61.8</v>
      </c>
      <c r="F193" s="954">
        <v>63.3</v>
      </c>
      <c r="G193" s="954">
        <v>67.8</v>
      </c>
      <c r="H193" s="954">
        <v>71.5</v>
      </c>
      <c r="I193" s="463">
        <v>2012</v>
      </c>
      <c r="J193" s="949">
        <v>1</v>
      </c>
      <c r="K193" s="949">
        <v>1.0589999999999999</v>
      </c>
      <c r="L193" s="948">
        <v>1.0589999999999999</v>
      </c>
      <c r="M193" s="947"/>
      <c r="N193" s="946">
        <v>65.5</v>
      </c>
      <c r="O193" s="946">
        <v>67.099999999999994</v>
      </c>
      <c r="P193" s="946">
        <v>71.8</v>
      </c>
      <c r="Q193" s="946">
        <v>75.7</v>
      </c>
      <c r="R193" s="946">
        <v>65.5</v>
      </c>
      <c r="S193" s="952" t="s">
        <v>542</v>
      </c>
      <c r="T193" s="470" t="s">
        <v>647</v>
      </c>
      <c r="U193" s="249"/>
    </row>
    <row r="194" spans="2:21" ht="14">
      <c r="B194" s="249"/>
      <c r="C194" s="245" t="s">
        <v>408</v>
      </c>
      <c r="D194" s="249" t="s">
        <v>379</v>
      </c>
      <c r="E194" s="953">
        <v>72.5</v>
      </c>
      <c r="F194" s="953">
        <v>91.24</v>
      </c>
      <c r="G194" s="953">
        <v>157.88999999999999</v>
      </c>
      <c r="H194" s="953">
        <v>157.88999999999999</v>
      </c>
      <c r="I194" s="463">
        <v>2015</v>
      </c>
      <c r="J194" s="949">
        <v>1</v>
      </c>
      <c r="K194" s="949">
        <v>1</v>
      </c>
      <c r="L194" s="948">
        <v>1</v>
      </c>
      <c r="M194" s="947"/>
      <c r="N194" s="946">
        <v>72.5</v>
      </c>
      <c r="O194" s="946">
        <v>91.2</v>
      </c>
      <c r="P194" s="946">
        <v>157.9</v>
      </c>
      <c r="Q194" s="946">
        <v>157.9</v>
      </c>
      <c r="R194" s="946">
        <v>72.5</v>
      </c>
      <c r="S194" s="952"/>
      <c r="T194" s="470" t="s">
        <v>645</v>
      </c>
      <c r="U194" s="249"/>
    </row>
    <row r="195" spans="2:21" ht="14">
      <c r="B195" s="249"/>
      <c r="C195" s="245" t="s">
        <v>409</v>
      </c>
      <c r="D195" s="249" t="s">
        <v>379</v>
      </c>
      <c r="E195" s="953">
        <v>72.5</v>
      </c>
      <c r="F195" s="953">
        <v>91.24</v>
      </c>
      <c r="G195" s="953">
        <v>157.88999999999999</v>
      </c>
      <c r="H195" s="953">
        <v>157.88999999999999</v>
      </c>
      <c r="I195" s="463">
        <v>2015</v>
      </c>
      <c r="J195" s="949">
        <v>1</v>
      </c>
      <c r="K195" s="949">
        <v>1</v>
      </c>
      <c r="L195" s="948">
        <v>1</v>
      </c>
      <c r="M195" s="947"/>
      <c r="N195" s="946">
        <v>72.5</v>
      </c>
      <c r="O195" s="946">
        <v>91.2</v>
      </c>
      <c r="P195" s="946">
        <v>157.9</v>
      </c>
      <c r="Q195" s="946">
        <v>157.9</v>
      </c>
      <c r="R195" s="946">
        <v>72.5</v>
      </c>
      <c r="S195" s="952" t="s">
        <v>543</v>
      </c>
      <c r="T195" s="470" t="s">
        <v>645</v>
      </c>
      <c r="U195" s="249"/>
    </row>
    <row r="196" spans="2:21" ht="14">
      <c r="B196" s="249"/>
      <c r="C196" s="245" t="s">
        <v>412</v>
      </c>
      <c r="D196" s="249" t="s">
        <v>379</v>
      </c>
      <c r="E196" s="387">
        <v>44.31</v>
      </c>
      <c r="F196" s="387">
        <v>44.31</v>
      </c>
      <c r="G196" s="387">
        <v>44.31</v>
      </c>
      <c r="H196" s="387">
        <v>44.31</v>
      </c>
      <c r="I196" s="463">
        <v>2011</v>
      </c>
      <c r="J196" s="949">
        <v>1</v>
      </c>
      <c r="K196" s="949">
        <v>1.0640000000000001</v>
      </c>
      <c r="L196" s="948">
        <v>1.0640000000000001</v>
      </c>
      <c r="M196" s="947"/>
      <c r="N196" s="946">
        <v>47.2</v>
      </c>
      <c r="O196" s="946">
        <v>47.2</v>
      </c>
      <c r="P196" s="946">
        <v>47.2</v>
      </c>
      <c r="Q196" s="946">
        <v>47.2</v>
      </c>
      <c r="R196" s="946">
        <v>47.2</v>
      </c>
      <c r="S196" s="952"/>
      <c r="T196" s="390" t="s">
        <v>649</v>
      </c>
      <c r="U196" s="249"/>
    </row>
    <row r="197" spans="2:21" ht="14">
      <c r="B197" s="249"/>
      <c r="C197" s="245" t="s">
        <v>413</v>
      </c>
      <c r="D197" s="249" t="s">
        <v>379</v>
      </c>
      <c r="E197" s="384">
        <v>187</v>
      </c>
      <c r="F197" s="384">
        <v>186.2</v>
      </c>
      <c r="G197" s="384">
        <v>205</v>
      </c>
      <c r="H197" s="384">
        <v>205</v>
      </c>
      <c r="I197" s="463">
        <v>2010</v>
      </c>
      <c r="J197" s="949">
        <v>1</v>
      </c>
      <c r="K197" s="949">
        <v>1.1100000000000001</v>
      </c>
      <c r="L197" s="948">
        <v>1.1100000000000001</v>
      </c>
      <c r="M197" s="947"/>
      <c r="N197" s="946">
        <v>207.6</v>
      </c>
      <c r="O197" s="946">
        <v>206.6</v>
      </c>
      <c r="P197" s="946">
        <v>227.6</v>
      </c>
      <c r="Q197" s="946">
        <v>227.6</v>
      </c>
      <c r="R197" s="946">
        <v>207.6</v>
      </c>
      <c r="S197" s="952" t="s">
        <v>544</v>
      </c>
      <c r="T197" s="390" t="s">
        <v>650</v>
      </c>
      <c r="U197" s="249"/>
    </row>
    <row r="198" spans="2:21" ht="14">
      <c r="B198" s="249"/>
      <c r="C198" s="245" t="s">
        <v>414</v>
      </c>
      <c r="D198" s="249" t="s">
        <v>379</v>
      </c>
      <c r="E198" s="384">
        <v>146.80000000000001</v>
      </c>
      <c r="F198" s="384">
        <v>146.1</v>
      </c>
      <c r="G198" s="384">
        <v>160.9</v>
      </c>
      <c r="H198" s="384">
        <v>160.9</v>
      </c>
      <c r="I198" s="463">
        <v>2010</v>
      </c>
      <c r="J198" s="949">
        <v>1</v>
      </c>
      <c r="K198" s="949">
        <v>1.1100000000000001</v>
      </c>
      <c r="L198" s="948">
        <v>1.1100000000000001</v>
      </c>
      <c r="M198" s="947"/>
      <c r="N198" s="946">
        <v>162.9</v>
      </c>
      <c r="O198" s="946">
        <v>162.19999999999999</v>
      </c>
      <c r="P198" s="946">
        <v>178.6</v>
      </c>
      <c r="Q198" s="946">
        <v>178.6</v>
      </c>
      <c r="R198" s="946">
        <v>162.9</v>
      </c>
      <c r="S198" s="952" t="s">
        <v>544</v>
      </c>
      <c r="T198" s="390" t="s">
        <v>650</v>
      </c>
      <c r="U198" s="249"/>
    </row>
    <row r="199" spans="2:21" ht="14">
      <c r="B199" s="249"/>
      <c r="C199" s="245" t="s">
        <v>364</v>
      </c>
      <c r="D199" s="249" t="s">
        <v>379</v>
      </c>
      <c r="E199" s="469">
        <v>80</v>
      </c>
      <c r="F199" s="469">
        <v>94.8</v>
      </c>
      <c r="G199" s="469">
        <v>100.8</v>
      </c>
      <c r="H199" s="469">
        <v>100.8</v>
      </c>
      <c r="I199" s="463">
        <v>2013</v>
      </c>
      <c r="J199" s="949">
        <v>1</v>
      </c>
      <c r="K199" s="949">
        <v>1.038</v>
      </c>
      <c r="L199" s="948">
        <v>1.038</v>
      </c>
      <c r="M199" s="947"/>
      <c r="N199" s="946">
        <v>83.1</v>
      </c>
      <c r="O199" s="946">
        <v>98.5</v>
      </c>
      <c r="P199" s="946">
        <v>104.7</v>
      </c>
      <c r="Q199" s="946">
        <v>104.7</v>
      </c>
      <c r="R199" s="946">
        <v>83.1</v>
      </c>
      <c r="S199" s="249"/>
      <c r="T199" s="236"/>
      <c r="U199" s="249"/>
    </row>
    <row r="200" spans="2:21" ht="14">
      <c r="B200" s="249"/>
      <c r="C200" s="245" t="s">
        <v>545</v>
      </c>
      <c r="D200" s="249" t="s">
        <v>546</v>
      </c>
      <c r="E200" s="384">
        <v>0</v>
      </c>
      <c r="F200" s="384">
        <v>0</v>
      </c>
      <c r="G200" s="384">
        <v>0</v>
      </c>
      <c r="H200" s="384">
        <v>0</v>
      </c>
      <c r="I200" s="463">
        <v>2010</v>
      </c>
      <c r="J200" s="949">
        <v>1</v>
      </c>
      <c r="K200" s="949">
        <v>1.1100000000000001</v>
      </c>
      <c r="L200" s="948">
        <v>1.1100000000000001</v>
      </c>
      <c r="M200" s="947"/>
      <c r="N200" s="946">
        <v>0.1</v>
      </c>
      <c r="O200" s="946">
        <v>0.1</v>
      </c>
      <c r="P200" s="946">
        <v>0.1</v>
      </c>
      <c r="Q200" s="946">
        <v>0.1</v>
      </c>
      <c r="R200" s="948">
        <v>5.2999999999999999E-2</v>
      </c>
      <c r="S200" s="249"/>
      <c r="T200" s="390" t="s">
        <v>556</v>
      </c>
      <c r="U200" s="249"/>
    </row>
    <row r="201" spans="2:21" ht="14">
      <c r="B201" s="249"/>
      <c r="C201" s="245" t="s">
        <v>547</v>
      </c>
      <c r="D201" s="249" t="s">
        <v>546</v>
      </c>
      <c r="E201" s="384">
        <v>0</v>
      </c>
      <c r="F201" s="384">
        <v>0</v>
      </c>
      <c r="G201" s="384">
        <v>0</v>
      </c>
      <c r="H201" s="384">
        <v>0</v>
      </c>
      <c r="I201" s="463">
        <v>2010</v>
      </c>
      <c r="J201" s="949">
        <v>1</v>
      </c>
      <c r="K201" s="949">
        <v>1.1100000000000001</v>
      </c>
      <c r="L201" s="948">
        <v>1.1100000000000001</v>
      </c>
      <c r="M201" s="947"/>
      <c r="N201" s="946">
        <v>0.1</v>
      </c>
      <c r="O201" s="946">
        <v>0.1</v>
      </c>
      <c r="P201" s="946">
        <v>0.1</v>
      </c>
      <c r="Q201" s="946">
        <v>0.1</v>
      </c>
      <c r="R201" s="948">
        <v>5.2999999999999999E-2</v>
      </c>
      <c r="S201" s="249"/>
      <c r="T201" s="390" t="s">
        <v>556</v>
      </c>
      <c r="U201" s="249"/>
    </row>
    <row r="202" spans="2:21" ht="14">
      <c r="B202" s="249"/>
      <c r="C202" s="245" t="s">
        <v>548</v>
      </c>
      <c r="D202" s="249" t="s">
        <v>546</v>
      </c>
      <c r="E202" s="384">
        <v>0</v>
      </c>
      <c r="F202" s="384">
        <v>0</v>
      </c>
      <c r="G202" s="384">
        <v>0</v>
      </c>
      <c r="H202" s="384">
        <v>0</v>
      </c>
      <c r="I202" s="463">
        <v>2010</v>
      </c>
      <c r="J202" s="949">
        <v>1</v>
      </c>
      <c r="K202" s="949">
        <v>1.1100000000000001</v>
      </c>
      <c r="L202" s="948">
        <v>1.1100000000000001</v>
      </c>
      <c r="M202" s="947"/>
      <c r="N202" s="946">
        <v>0</v>
      </c>
      <c r="O202" s="946">
        <v>0</v>
      </c>
      <c r="P202" s="946">
        <v>0</v>
      </c>
      <c r="Q202" s="946">
        <v>0</v>
      </c>
      <c r="R202" s="948">
        <v>0.02</v>
      </c>
      <c r="S202" s="249"/>
      <c r="T202" s="390" t="s">
        <v>556</v>
      </c>
      <c r="U202" s="249"/>
    </row>
    <row r="203" spans="2:21" ht="14">
      <c r="B203" s="249"/>
      <c r="C203" s="245" t="s">
        <v>549</v>
      </c>
      <c r="D203" s="249" t="s">
        <v>546</v>
      </c>
      <c r="E203" s="384">
        <v>0.1</v>
      </c>
      <c r="F203" s="384">
        <v>0.1</v>
      </c>
      <c r="G203" s="384">
        <v>0.1</v>
      </c>
      <c r="H203" s="384">
        <v>0.1</v>
      </c>
      <c r="I203" s="463">
        <v>2010</v>
      </c>
      <c r="J203" s="949">
        <v>1</v>
      </c>
      <c r="K203" s="949">
        <v>1.1100000000000001</v>
      </c>
      <c r="L203" s="948">
        <v>1.1100000000000001</v>
      </c>
      <c r="M203" s="947"/>
      <c r="N203" s="946">
        <v>0.1</v>
      </c>
      <c r="O203" s="946">
        <v>0.1</v>
      </c>
      <c r="P203" s="946">
        <v>0.1</v>
      </c>
      <c r="Q203" s="946">
        <v>0.1</v>
      </c>
      <c r="R203" s="948">
        <v>0.108</v>
      </c>
      <c r="S203" s="249"/>
      <c r="T203" s="390" t="s">
        <v>556</v>
      </c>
      <c r="U203" s="249"/>
    </row>
    <row r="204" spans="2:21" ht="14">
      <c r="B204" s="249"/>
      <c r="C204" s="245" t="s">
        <v>550</v>
      </c>
      <c r="D204" s="249" t="s">
        <v>546</v>
      </c>
      <c r="E204" s="384">
        <v>0</v>
      </c>
      <c r="F204" s="384">
        <v>0</v>
      </c>
      <c r="G204" s="384">
        <v>0</v>
      </c>
      <c r="H204" s="384">
        <v>0</v>
      </c>
      <c r="I204" s="463">
        <v>2010</v>
      </c>
      <c r="J204" s="949">
        <v>1</v>
      </c>
      <c r="K204" s="949">
        <v>1.1100000000000001</v>
      </c>
      <c r="L204" s="948">
        <v>1.1100000000000001</v>
      </c>
      <c r="M204" s="947"/>
      <c r="N204" s="946">
        <v>0</v>
      </c>
      <c r="O204" s="946">
        <v>0</v>
      </c>
      <c r="P204" s="946">
        <v>0</v>
      </c>
      <c r="Q204" s="946">
        <v>0</v>
      </c>
      <c r="R204" s="948">
        <v>0</v>
      </c>
      <c r="S204" s="249"/>
      <c r="T204" s="390" t="s">
        <v>556</v>
      </c>
      <c r="U204" s="249"/>
    </row>
    <row r="205" spans="2:21" ht="14">
      <c r="B205" s="249"/>
      <c r="C205" s="245" t="s">
        <v>551</v>
      </c>
      <c r="D205" s="249" t="s">
        <v>546</v>
      </c>
      <c r="E205" s="384">
        <v>0</v>
      </c>
      <c r="F205" s="384">
        <v>0</v>
      </c>
      <c r="G205" s="384">
        <v>0</v>
      </c>
      <c r="H205" s="384">
        <v>0</v>
      </c>
      <c r="I205" s="463">
        <v>2010</v>
      </c>
      <c r="J205" s="949">
        <v>1</v>
      </c>
      <c r="K205" s="949">
        <v>1.1100000000000001</v>
      </c>
      <c r="L205" s="948">
        <v>1.1100000000000001</v>
      </c>
      <c r="M205" s="947"/>
      <c r="N205" s="946">
        <v>0</v>
      </c>
      <c r="O205" s="946">
        <v>0</v>
      </c>
      <c r="P205" s="946">
        <v>0</v>
      </c>
      <c r="Q205" s="946">
        <v>0</v>
      </c>
      <c r="R205" s="948">
        <v>0</v>
      </c>
      <c r="S205" s="249"/>
      <c r="T205" s="390" t="s">
        <v>556</v>
      </c>
      <c r="U205" s="249"/>
    </row>
    <row r="206" spans="2:21" ht="14">
      <c r="B206" s="249"/>
      <c r="C206" s="245" t="s">
        <v>552</v>
      </c>
      <c r="D206" s="249" t="s">
        <v>546</v>
      </c>
      <c r="E206" s="384">
        <v>0</v>
      </c>
      <c r="F206" s="384">
        <v>0</v>
      </c>
      <c r="G206" s="384">
        <v>0</v>
      </c>
      <c r="H206" s="384">
        <v>0</v>
      </c>
      <c r="I206" s="463">
        <v>2010</v>
      </c>
      <c r="J206" s="949">
        <v>1</v>
      </c>
      <c r="K206" s="949">
        <v>1.1100000000000001</v>
      </c>
      <c r="L206" s="948">
        <v>1.1100000000000001</v>
      </c>
      <c r="M206" s="947"/>
      <c r="N206" s="946">
        <v>0</v>
      </c>
      <c r="O206" s="946">
        <v>0</v>
      </c>
      <c r="P206" s="946">
        <v>0</v>
      </c>
      <c r="Q206" s="946">
        <v>0</v>
      </c>
      <c r="R206" s="948">
        <v>0</v>
      </c>
      <c r="S206" s="249"/>
      <c r="T206" s="390" t="s">
        <v>556</v>
      </c>
      <c r="U206" s="249"/>
    </row>
    <row r="207" spans="2:21" ht="14">
      <c r="B207" s="249"/>
      <c r="C207" s="245" t="s">
        <v>553</v>
      </c>
      <c r="D207" s="249" t="s">
        <v>546</v>
      </c>
      <c r="E207" s="384">
        <v>0</v>
      </c>
      <c r="F207" s="384">
        <v>0</v>
      </c>
      <c r="G207" s="384">
        <v>0</v>
      </c>
      <c r="H207" s="384">
        <v>0</v>
      </c>
      <c r="I207" s="463">
        <v>2010</v>
      </c>
      <c r="J207" s="949">
        <v>1</v>
      </c>
      <c r="K207" s="949">
        <v>1.1100000000000001</v>
      </c>
      <c r="L207" s="948">
        <v>1.1100000000000001</v>
      </c>
      <c r="M207" s="947"/>
      <c r="N207" s="946">
        <v>0</v>
      </c>
      <c r="O207" s="946">
        <v>0</v>
      </c>
      <c r="P207" s="946">
        <v>0</v>
      </c>
      <c r="Q207" s="946">
        <v>0</v>
      </c>
      <c r="R207" s="948">
        <v>0</v>
      </c>
      <c r="S207" s="249"/>
      <c r="T207" s="390" t="s">
        <v>556</v>
      </c>
      <c r="U207" s="249"/>
    </row>
    <row r="208" spans="2:21" ht="14">
      <c r="B208" s="249"/>
      <c r="C208" s="245" t="s">
        <v>651</v>
      </c>
      <c r="D208" s="249" t="s">
        <v>379</v>
      </c>
      <c r="E208" s="275">
        <v>467.1</v>
      </c>
      <c r="F208" s="275">
        <v>287.89999999999998</v>
      </c>
      <c r="G208" s="275">
        <v>355.4</v>
      </c>
      <c r="H208" s="951">
        <v>357.4</v>
      </c>
      <c r="I208" s="950">
        <v>2015</v>
      </c>
      <c r="J208" s="949">
        <v>1</v>
      </c>
      <c r="K208" s="949">
        <v>1</v>
      </c>
      <c r="L208" s="948">
        <v>1</v>
      </c>
      <c r="M208" s="947"/>
      <c r="N208" s="946">
        <v>467.1</v>
      </c>
      <c r="O208" s="946">
        <v>287.89999999999998</v>
      </c>
      <c r="P208" s="946">
        <v>355.4</v>
      </c>
      <c r="Q208" s="946">
        <v>357.4</v>
      </c>
      <c r="R208" s="946">
        <v>467.1</v>
      </c>
      <c r="S208" s="249"/>
      <c r="T208" s="236" t="s">
        <v>652</v>
      </c>
      <c r="U208" s="249"/>
    </row>
    <row r="209" spans="2:21" ht="14">
      <c r="B209" s="249"/>
      <c r="C209" s="245"/>
      <c r="D209" s="249"/>
      <c r="E209" s="275"/>
      <c r="F209" s="275"/>
      <c r="G209" s="275"/>
      <c r="H209" s="951"/>
      <c r="I209" s="950"/>
      <c r="J209" s="949"/>
      <c r="K209" s="949"/>
      <c r="L209" s="948"/>
      <c r="M209" s="947"/>
      <c r="N209" s="946"/>
      <c r="O209" s="946"/>
      <c r="P209" s="946"/>
      <c r="Q209" s="946"/>
      <c r="R209" s="946"/>
      <c r="S209" s="249"/>
      <c r="T209" s="236"/>
      <c r="U209" s="249"/>
    </row>
    <row r="210" spans="2:21" ht="14">
      <c r="B210" s="249"/>
      <c r="C210" s="245"/>
      <c r="D210" s="249"/>
      <c r="E210" s="275"/>
      <c r="F210" s="275"/>
      <c r="G210" s="275"/>
      <c r="H210" s="951"/>
      <c r="I210" s="950"/>
      <c r="J210" s="949"/>
      <c r="K210" s="949"/>
      <c r="L210" s="948"/>
      <c r="M210" s="947"/>
      <c r="N210" s="946"/>
      <c r="O210" s="946"/>
      <c r="P210" s="946"/>
      <c r="Q210" s="946"/>
      <c r="R210" s="946"/>
      <c r="S210" s="249"/>
      <c r="T210" s="236"/>
      <c r="U210" s="249"/>
    </row>
    <row r="211" spans="2:21" ht="14">
      <c r="B211" s="249"/>
      <c r="C211" s="245"/>
      <c r="D211" s="249"/>
      <c r="E211" s="275"/>
      <c r="F211" s="275"/>
      <c r="G211" s="275"/>
      <c r="H211" s="951"/>
      <c r="I211" s="950"/>
      <c r="J211" s="949"/>
      <c r="K211" s="949"/>
      <c r="L211" s="948"/>
      <c r="M211" s="947"/>
      <c r="N211" s="946"/>
      <c r="O211" s="946"/>
      <c r="P211" s="946"/>
      <c r="Q211" s="946"/>
      <c r="R211" s="946"/>
      <c r="S211" s="249"/>
      <c r="T211" s="236"/>
      <c r="U211" s="249"/>
    </row>
    <row r="212" spans="2:21" ht="14">
      <c r="B212" s="249"/>
      <c r="C212" s="245"/>
      <c r="D212" s="249"/>
      <c r="E212" s="275"/>
      <c r="F212" s="275"/>
      <c r="G212" s="275"/>
      <c r="H212" s="951"/>
      <c r="I212" s="950"/>
      <c r="J212" s="949"/>
      <c r="K212" s="949"/>
      <c r="L212" s="948"/>
      <c r="M212" s="947"/>
      <c r="N212" s="946"/>
      <c r="O212" s="946"/>
      <c r="P212" s="946"/>
      <c r="Q212" s="946"/>
      <c r="R212" s="946"/>
      <c r="S212" s="249"/>
      <c r="T212" s="236"/>
      <c r="U212" s="249"/>
    </row>
    <row r="213" spans="2:21" ht="15" thickBot="1">
      <c r="B213" s="249"/>
      <c r="C213" s="945"/>
      <c r="D213" s="937"/>
      <c r="E213" s="944"/>
      <c r="F213" s="944"/>
      <c r="G213" s="944"/>
      <c r="H213" s="943"/>
      <c r="I213" s="942"/>
      <c r="J213" s="941"/>
      <c r="K213" s="941"/>
      <c r="L213" s="940"/>
      <c r="M213" s="939"/>
      <c r="N213" s="938"/>
      <c r="O213" s="938"/>
      <c r="P213" s="938"/>
      <c r="Q213" s="938"/>
      <c r="R213" s="938"/>
      <c r="S213" s="937"/>
      <c r="T213" s="936"/>
      <c r="U213" s="249"/>
    </row>
    <row r="214" spans="2:21" ht="15" thickBot="1">
      <c r="B214" s="249"/>
      <c r="C214" s="227" t="s">
        <v>554</v>
      </c>
      <c r="D214" s="226"/>
      <c r="E214" s="226">
        <v>1</v>
      </c>
      <c r="F214" s="226"/>
      <c r="G214" s="226"/>
      <c r="H214" s="226"/>
      <c r="I214" s="226">
        <v>2005</v>
      </c>
      <c r="J214" s="268">
        <v>1</v>
      </c>
      <c r="K214" s="268">
        <v>1.2689999999999999</v>
      </c>
      <c r="L214" s="225">
        <v>0.78800000000000003</v>
      </c>
      <c r="M214" s="225"/>
      <c r="N214" s="226"/>
      <c r="O214" s="226"/>
      <c r="P214" s="226"/>
      <c r="Q214" s="226"/>
      <c r="R214" s="226"/>
      <c r="S214" s="936"/>
      <c r="T214" s="249"/>
      <c r="U214" s="249"/>
    </row>
    <row r="215" spans="2:21" ht="14">
      <c r="B215" s="249"/>
      <c r="C215" s="935" t="s">
        <v>555</v>
      </c>
      <c r="D215" s="249"/>
      <c r="E215" s="249"/>
      <c r="F215" s="249"/>
      <c r="G215" s="249"/>
      <c r="H215" s="249"/>
      <c r="I215" s="249"/>
      <c r="J215" s="249"/>
      <c r="K215" s="249"/>
      <c r="L215" s="249"/>
      <c r="M215" s="249"/>
      <c r="N215" s="249"/>
      <c r="O215" s="249"/>
      <c r="P215" s="249"/>
      <c r="Q215" s="249"/>
      <c r="R215" s="249"/>
      <c r="S215" s="249"/>
      <c r="T215" s="249"/>
      <c r="U215" s="249"/>
    </row>
    <row r="216" spans="2:21" ht="14">
      <c r="B216" s="249"/>
      <c r="C216" s="934" t="s">
        <v>653</v>
      </c>
      <c r="D216" s="249"/>
      <c r="E216" s="249"/>
      <c r="F216" s="249"/>
      <c r="G216" s="249"/>
      <c r="H216" s="249"/>
      <c r="I216" s="249"/>
      <c r="J216" s="249"/>
      <c r="K216" s="249"/>
      <c r="L216" s="249"/>
      <c r="M216" s="249"/>
      <c r="N216" s="249"/>
      <c r="O216" s="249"/>
      <c r="P216" s="249"/>
      <c r="Q216" s="249"/>
      <c r="R216" s="249"/>
      <c r="S216" s="249"/>
      <c r="T216" s="249"/>
      <c r="U216" s="24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92D050"/>
  </sheetPr>
  <dimension ref="A3:M232"/>
  <sheetViews>
    <sheetView topLeftCell="A184" zoomScale="80" zoomScaleNormal="80" workbookViewId="0">
      <selection activeCell="E99" sqref="E99"/>
    </sheetView>
  </sheetViews>
  <sheetFormatPr baseColWidth="10" defaultColWidth="8.5" defaultRowHeight="13"/>
  <cols>
    <col min="1" max="1" width="5.5" customWidth="1"/>
    <col min="2" max="2" width="12.5" customWidth="1"/>
    <col min="3" max="3" width="10.5" customWidth="1"/>
    <col min="4" max="4" width="16.83203125" customWidth="1"/>
    <col min="5" max="5" width="42.5" bestFit="1" customWidth="1"/>
    <col min="7" max="7" width="12" customWidth="1"/>
    <col min="8" max="8" width="12.5" customWidth="1"/>
    <col min="9" max="9" width="18.83203125" customWidth="1"/>
    <col min="10" max="10" width="46.1640625" customWidth="1"/>
  </cols>
  <sheetData>
    <row r="3" spans="1:11">
      <c r="B3" s="13" t="s">
        <v>14</v>
      </c>
      <c r="C3" s="14"/>
      <c r="D3" s="15"/>
      <c r="E3" s="15"/>
      <c r="F3" s="15"/>
      <c r="G3" s="15"/>
      <c r="H3" s="15"/>
      <c r="I3" s="15"/>
      <c r="J3" s="15"/>
    </row>
    <row r="4" spans="1:11" ht="15">
      <c r="B4" s="16" t="s">
        <v>15</v>
      </c>
      <c r="C4" s="16" t="s">
        <v>0</v>
      </c>
      <c r="D4" s="16" t="s">
        <v>1</v>
      </c>
      <c r="E4" s="16" t="s">
        <v>2</v>
      </c>
      <c r="F4" s="16" t="s">
        <v>16</v>
      </c>
      <c r="G4" s="16" t="s">
        <v>17</v>
      </c>
      <c r="H4" s="16" t="s">
        <v>18</v>
      </c>
      <c r="I4" s="16" t="s">
        <v>19</v>
      </c>
      <c r="J4" s="16" t="s">
        <v>20</v>
      </c>
    </row>
    <row r="5" spans="1:11" ht="26.25" customHeight="1" thickBot="1">
      <c r="B5" s="17" t="s">
        <v>23</v>
      </c>
      <c r="C5" s="17" t="s">
        <v>24</v>
      </c>
      <c r="D5" s="17" t="s">
        <v>25</v>
      </c>
      <c r="E5" s="17" t="s">
        <v>26</v>
      </c>
      <c r="F5" s="17" t="s">
        <v>27</v>
      </c>
      <c r="G5" s="17" t="s">
        <v>28</v>
      </c>
      <c r="H5" s="17" t="s">
        <v>29</v>
      </c>
      <c r="I5" s="17" t="s">
        <v>30</v>
      </c>
      <c r="J5" s="17" t="s">
        <v>31</v>
      </c>
    </row>
    <row r="6" spans="1:11" s="7" customFormat="1">
      <c r="A6" s="3"/>
      <c r="B6" s="20" t="s">
        <v>61</v>
      </c>
      <c r="C6" s="22"/>
      <c r="D6" s="18" t="str">
        <f>$B$6&amp;Commodities!E6</f>
        <v>IMPPEA</v>
      </c>
      <c r="E6" s="18" t="str">
        <f>"Import technology - "&amp;Commodities!F6</f>
        <v>Import technology - Peat</v>
      </c>
      <c r="F6" s="20" t="s">
        <v>62</v>
      </c>
      <c r="G6" s="18"/>
      <c r="H6" s="20"/>
      <c r="I6" s="20"/>
      <c r="J6" s="20"/>
      <c r="K6" s="3"/>
    </row>
    <row r="7" spans="1:11" s="7" customFormat="1">
      <c r="A7" s="3"/>
      <c r="B7" s="20"/>
      <c r="C7" s="22"/>
      <c r="D7" s="18" t="str">
        <f>$B$6&amp;Commodities!E7</f>
        <v>IMPIWH</v>
      </c>
      <c r="E7" s="18" t="str">
        <f>"Import technology - "&amp;Commodities!F7</f>
        <v xml:space="preserve">Import technology - Industrial waste heat </v>
      </c>
      <c r="F7" s="20" t="s">
        <v>62</v>
      </c>
      <c r="G7" s="18"/>
      <c r="H7" s="20"/>
      <c r="I7" s="20"/>
      <c r="J7" s="20"/>
      <c r="K7" s="3"/>
    </row>
    <row r="8" spans="1:11" s="7" customFormat="1">
      <c r="A8" s="3"/>
      <c r="B8" s="20"/>
      <c r="C8" s="22"/>
      <c r="D8" s="18" t="str">
        <f>$B$6&amp;Commodities!E8</f>
        <v>IMPBFG</v>
      </c>
      <c r="E8" s="18" t="str">
        <f>"Import technology - "&amp;Commodities!F8</f>
        <v>Import technology - Blast furnace gas</v>
      </c>
      <c r="F8" s="20" t="s">
        <v>62</v>
      </c>
      <c r="G8" s="18"/>
      <c r="H8" s="20"/>
      <c r="I8" s="20"/>
      <c r="J8" s="20"/>
      <c r="K8" s="3"/>
    </row>
    <row r="9" spans="1:11" s="7" customFormat="1">
      <c r="A9" s="3"/>
      <c r="B9" s="20"/>
      <c r="C9" s="22"/>
      <c r="D9" s="18" t="str">
        <f>$B$6&amp;Commodities!E9</f>
        <v>IMPAMB</v>
      </c>
      <c r="E9" s="18" t="str">
        <f>"Import technology - "&amp;Commodities!F9</f>
        <v>Import technology - Ambient Temperature for heat pump</v>
      </c>
      <c r="F9" s="20" t="s">
        <v>62</v>
      </c>
      <c r="G9" s="18"/>
      <c r="H9" s="20"/>
      <c r="I9" s="20"/>
      <c r="J9" s="20"/>
      <c r="K9" s="3"/>
    </row>
    <row r="10" spans="1:11" s="7" customFormat="1">
      <c r="A10" s="3"/>
      <c r="B10" s="20"/>
      <c r="C10" s="22"/>
      <c r="D10" s="18" t="str">
        <f>$B$6&amp;Commodities!E10</f>
        <v>IMPURN</v>
      </c>
      <c r="E10" s="18" t="str">
        <f>"Import technology - "&amp;Commodities!F10</f>
        <v>Import technology - Nuclear fuel</v>
      </c>
      <c r="F10" s="20" t="s">
        <v>62</v>
      </c>
      <c r="G10" s="18"/>
      <c r="H10" s="20"/>
      <c r="I10" s="20"/>
      <c r="J10" s="20"/>
      <c r="K10" s="3"/>
    </row>
    <row r="11" spans="1:11" s="7" customFormat="1">
      <c r="A11" s="3"/>
      <c r="B11" s="20"/>
      <c r="C11" s="22"/>
      <c r="D11" s="18" t="str">
        <f>$B$6&amp;Commodities!E11</f>
        <v>IMPBLQ</v>
      </c>
      <c r="E11" s="18" t="str">
        <f>"Import technology - "&amp;Commodities!F11</f>
        <v>Import technology - Black liquor</v>
      </c>
      <c r="F11" s="20" t="s">
        <v>62</v>
      </c>
      <c r="G11" s="18"/>
      <c r="H11" s="20"/>
      <c r="I11" s="20"/>
      <c r="J11" s="20"/>
      <c r="K11" s="3"/>
    </row>
    <row r="12" spans="1:11" s="7" customFormat="1">
      <c r="A12" s="3"/>
      <c r="B12" s="20"/>
      <c r="C12" s="22"/>
      <c r="D12" s="18" t="str">
        <f>$B$6&amp;Commodities!E12</f>
        <v>IMPCOA</v>
      </c>
      <c r="E12" s="18" t="str">
        <f>"Import technology - "&amp;Commodities!F12</f>
        <v>Import technology - Coal</v>
      </c>
      <c r="F12" s="20" t="s">
        <v>62</v>
      </c>
      <c r="G12" s="18"/>
      <c r="H12" s="20"/>
      <c r="I12" s="20"/>
      <c r="J12" s="20"/>
      <c r="K12" s="3"/>
    </row>
    <row r="13" spans="1:11" s="7" customFormat="1">
      <c r="A13" s="3"/>
      <c r="B13" s="20"/>
      <c r="C13" s="22"/>
      <c r="D13" s="18" t="str">
        <f>$B$6&amp;Commodities!E13</f>
        <v>IMPNGA</v>
      </c>
      <c r="E13" s="18" t="str">
        <f>"Import technology - "&amp;Commodities!F13</f>
        <v>Import technology - Natural Gas</v>
      </c>
      <c r="F13" s="20" t="s">
        <v>62</v>
      </c>
      <c r="G13" s="18"/>
      <c r="H13" s="20"/>
      <c r="I13" s="20"/>
      <c r="J13" s="20"/>
      <c r="K13" s="3"/>
    </row>
    <row r="14" spans="1:11" s="7" customFormat="1">
      <c r="A14" s="3"/>
      <c r="B14" s="20"/>
      <c r="C14" s="22"/>
      <c r="D14" s="18" t="str">
        <f>$B$6&amp;Commodities!E14</f>
        <v>IMPCRD</v>
      </c>
      <c r="E14" s="18" t="str">
        <f>"Import technology - "&amp;Commodities!F14</f>
        <v>Import technology - Crude Oil</v>
      </c>
      <c r="F14" s="20" t="s">
        <v>62</v>
      </c>
      <c r="G14" s="18"/>
      <c r="H14" s="20"/>
      <c r="I14" s="20"/>
      <c r="J14" s="20"/>
      <c r="K14" s="3"/>
    </row>
    <row r="15" spans="1:11" s="7" customFormat="1">
      <c r="A15" s="3"/>
      <c r="B15" s="20"/>
      <c r="C15" s="22"/>
      <c r="D15" s="18" t="str">
        <f>$B$6&amp;Commodities!E15</f>
        <v>IMPLPG</v>
      </c>
      <c r="E15" s="18" t="str">
        <f>"Import technology - "&amp;Commodities!F15</f>
        <v>Import technology - Liquid petrol gas</v>
      </c>
      <c r="F15" s="20" t="s">
        <v>62</v>
      </c>
      <c r="G15" s="18"/>
      <c r="H15" s="20"/>
      <c r="I15" s="20"/>
      <c r="J15" s="20"/>
      <c r="K15" s="3"/>
    </row>
    <row r="16" spans="1:11" s="7" customFormat="1">
      <c r="A16" s="3"/>
      <c r="B16" s="20"/>
      <c r="C16" s="22"/>
      <c r="D16" s="18" t="str">
        <f>$B$6&amp;Commodities!E16</f>
        <v>IMPLVN</v>
      </c>
      <c r="E16" s="18" t="str">
        <f>"Import technology - "&amp;Commodities!F16</f>
        <v>Import technology - Naphtha (Petroleoum)</v>
      </c>
      <c r="F16" s="20" t="s">
        <v>62</v>
      </c>
      <c r="G16" s="18"/>
      <c r="H16" s="20"/>
      <c r="I16" s="20"/>
      <c r="J16" s="20"/>
      <c r="K16" s="3"/>
    </row>
    <row r="17" spans="1:11" s="7" customFormat="1">
      <c r="A17" s="3"/>
      <c r="B17" s="20"/>
      <c r="C17" s="22"/>
      <c r="D17" s="18" t="str">
        <f>$B$6&amp;Commodities!E17</f>
        <v>IMPGSL</v>
      </c>
      <c r="E17" s="18" t="str">
        <f>"Import technology - "&amp;Commodities!F17</f>
        <v>Import technology - Gasoline</v>
      </c>
      <c r="F17" s="20" t="s">
        <v>62</v>
      </c>
      <c r="G17" s="18"/>
      <c r="H17" s="20"/>
      <c r="I17" s="20"/>
      <c r="J17" s="20"/>
      <c r="K17" s="3"/>
    </row>
    <row r="18" spans="1:11" s="7" customFormat="1">
      <c r="A18" s="3"/>
      <c r="B18" s="20"/>
      <c r="C18" s="22"/>
      <c r="D18" s="18" t="str">
        <f>$B$6&amp;Commodities!E18</f>
        <v>IMPKER</v>
      </c>
      <c r="E18" s="18" t="str">
        <f>"Import technology - "&amp;Commodities!F18</f>
        <v>Import technology - Kerosene</v>
      </c>
      <c r="F18" s="20" t="s">
        <v>62</v>
      </c>
      <c r="G18" s="18"/>
      <c r="H18" s="20"/>
      <c r="I18" s="20"/>
      <c r="J18" s="20"/>
      <c r="K18" s="3"/>
    </row>
    <row r="19" spans="1:11" s="7" customFormat="1">
      <c r="A19" s="3"/>
      <c r="B19" s="20"/>
      <c r="C19" s="22"/>
      <c r="D19" s="18" t="str">
        <f>$B$6&amp;Commodities!E19</f>
        <v>IMPDSL</v>
      </c>
      <c r="E19" s="18" t="str">
        <f>"Import technology - "&amp;Commodities!F19</f>
        <v>Import technology - Diesel</v>
      </c>
      <c r="F19" s="20" t="s">
        <v>62</v>
      </c>
      <c r="G19" s="18"/>
      <c r="H19" s="20"/>
      <c r="I19" s="20"/>
      <c r="J19" s="20"/>
      <c r="K19" s="3"/>
    </row>
    <row r="20" spans="1:11" s="7" customFormat="1">
      <c r="A20" s="3"/>
      <c r="B20" s="20"/>
      <c r="C20" s="22"/>
      <c r="D20" s="18" t="str">
        <f>$B$6&amp;Commodities!E20</f>
        <v>IMPHFO</v>
      </c>
      <c r="E20" s="18" t="str">
        <f>"Import technology - "&amp;Commodities!F20</f>
        <v>Import technology - Heavy Fuel Oil</v>
      </c>
      <c r="F20" s="20" t="s">
        <v>62</v>
      </c>
      <c r="G20" s="18"/>
      <c r="H20" s="20"/>
      <c r="I20" s="20"/>
      <c r="J20" s="20"/>
      <c r="K20" s="3"/>
    </row>
    <row r="21" spans="1:11" s="7" customFormat="1">
      <c r="A21" s="3"/>
      <c r="B21" s="20"/>
      <c r="C21" s="22"/>
      <c r="D21" s="18" t="str">
        <f>$B$6&amp;Commodities!E21</f>
        <v>IMPMGO</v>
      </c>
      <c r="E21" s="18" t="str">
        <f>"Import technology - "&amp;Commodities!F21</f>
        <v>Import technology - Marine Gas Oil</v>
      </c>
      <c r="F21" s="20" t="s">
        <v>62</v>
      </c>
      <c r="G21" s="18"/>
      <c r="H21" s="20"/>
      <c r="I21" s="20"/>
      <c r="J21" s="20"/>
      <c r="K21" s="3"/>
    </row>
    <row r="22" spans="1:11" s="7" customFormat="1">
      <c r="A22" s="3"/>
      <c r="B22" s="20"/>
      <c r="C22" s="22"/>
      <c r="D22" s="18" t="str">
        <f>$B$6&amp;Commodities!E22</f>
        <v>IMPAGSL</v>
      </c>
      <c r="E22" s="18" t="str">
        <f>"Import technology - "&amp;Commodities!F22</f>
        <v>Import technology - Aviation gasoline</v>
      </c>
      <c r="F22" s="20" t="s">
        <v>62</v>
      </c>
      <c r="G22" s="18"/>
      <c r="H22" s="20"/>
      <c r="I22" s="20"/>
      <c r="J22" s="20"/>
      <c r="K22" s="3"/>
    </row>
    <row r="23" spans="1:11" s="7" customFormat="1">
      <c r="A23" s="3"/>
      <c r="B23" s="20"/>
      <c r="C23" s="22"/>
      <c r="D23" s="18" t="str">
        <f>$B$6&amp;Commodities!E23</f>
        <v>IMPBGA</v>
      </c>
      <c r="E23" s="18" t="str">
        <f>"Import technology - "&amp;Commodities!F23</f>
        <v>Import technology - Biogas</v>
      </c>
      <c r="F23" s="20" t="s">
        <v>62</v>
      </c>
      <c r="G23" s="18"/>
      <c r="H23" s="20"/>
      <c r="I23" s="20"/>
      <c r="J23" s="20"/>
      <c r="K23" s="3"/>
    </row>
    <row r="24" spans="1:11" s="7" customFormat="1">
      <c r="A24" s="3"/>
      <c r="B24" s="20"/>
      <c r="C24" s="22"/>
      <c r="D24" s="18" t="str">
        <f>$B$6&amp;Commodities!E24</f>
        <v>IMPHFB</v>
      </c>
      <c r="E24" s="18" t="str">
        <f>"Import technology - "&amp;Commodities!F24</f>
        <v>Import technology - Heavy Fuel Bio Oil</v>
      </c>
      <c r="F24" s="20" t="s">
        <v>62</v>
      </c>
      <c r="G24" s="18"/>
      <c r="H24" s="20"/>
      <c r="I24" s="20"/>
      <c r="J24" s="20"/>
      <c r="K24" s="3"/>
    </row>
    <row r="25" spans="1:11" s="7" customFormat="1">
      <c r="A25" s="3"/>
      <c r="B25" s="20"/>
      <c r="C25" s="22"/>
      <c r="D25" s="18" t="str">
        <f>$B$6&amp;Commodities!E25</f>
        <v>IMPDDGS</v>
      </c>
      <c r="E25" s="18" t="str">
        <f>"Import technology - "&amp;Commodities!F25</f>
        <v>Import technology - Ethanol</v>
      </c>
      <c r="F25" s="20" t="s">
        <v>62</v>
      </c>
      <c r="G25" s="18"/>
      <c r="H25" s="20"/>
      <c r="I25" s="20"/>
      <c r="J25" s="20"/>
      <c r="K25" s="3"/>
    </row>
    <row r="26" spans="1:11" s="7" customFormat="1">
      <c r="A26" s="3"/>
      <c r="B26" s="20"/>
      <c r="C26" s="22"/>
      <c r="D26" s="18" t="str">
        <f>$B$6&amp;Commodities!E26</f>
        <v>IMPH2</v>
      </c>
      <c r="E26" s="18" t="str">
        <f>"Import technology - "&amp;Commodities!F26</f>
        <v>Import technology - Hydrogen</v>
      </c>
      <c r="F26" s="20" t="s">
        <v>62</v>
      </c>
      <c r="G26" s="18"/>
      <c r="H26" s="20"/>
      <c r="I26" s="20"/>
      <c r="J26" s="20"/>
      <c r="K26" s="3"/>
    </row>
    <row r="27" spans="1:11" s="7" customFormat="1">
      <c r="A27" s="3"/>
      <c r="B27" s="20"/>
      <c r="C27" s="22"/>
      <c r="D27" s="18" t="str">
        <f>$B$6&amp;Commodities!E27</f>
        <v>IMPH2G</v>
      </c>
      <c r="E27" s="18" t="str">
        <f>"Import technology - "&amp;Commodities!F27</f>
        <v>Import technology - Hydrogen Gas</v>
      </c>
      <c r="F27" s="20" t="s">
        <v>62</v>
      </c>
      <c r="G27" s="18"/>
      <c r="H27" s="20"/>
      <c r="I27" s="20"/>
      <c r="J27" s="20"/>
      <c r="K27" s="3"/>
    </row>
    <row r="28" spans="1:11" s="7" customFormat="1">
      <c r="A28" s="3"/>
      <c r="B28" s="20"/>
      <c r="C28" s="22"/>
      <c r="D28" s="18" t="str">
        <f>$B$6&amp;Commodities!E28</f>
        <v>IMPAMM</v>
      </c>
      <c r="E28" s="18" t="str">
        <f>"Import technology - "&amp;Commodities!F28</f>
        <v>Import technology - Ammonia (Liquid)</v>
      </c>
      <c r="F28" s="20" t="s">
        <v>62</v>
      </c>
      <c r="G28" s="18"/>
      <c r="H28" s="20"/>
      <c r="I28" s="20"/>
      <c r="J28" s="20"/>
      <c r="K28" s="3"/>
    </row>
    <row r="29" spans="1:11" s="7" customFormat="1">
      <c r="A29" s="3"/>
      <c r="B29" s="20"/>
      <c r="C29" s="22"/>
      <c r="D29" s="18" t="str">
        <f>$B$6&amp;Commodities!E29</f>
        <v>IMPDME</v>
      </c>
      <c r="E29" s="18" t="str">
        <f>"Import technology - "&amp;Commodities!F29</f>
        <v>Import technology - Dimethyl ether</v>
      </c>
      <c r="F29" s="20" t="s">
        <v>62</v>
      </c>
      <c r="G29" s="18"/>
      <c r="H29" s="20"/>
      <c r="I29" s="20"/>
      <c r="J29" s="20"/>
      <c r="K29" s="3"/>
    </row>
    <row r="30" spans="1:11" s="7" customFormat="1">
      <c r="A30" s="3"/>
      <c r="B30" s="20"/>
      <c r="C30" s="22"/>
      <c r="D30" s="18" t="str">
        <f>$B$6&amp;Commodities!E30</f>
        <v>IMPKRB1</v>
      </c>
      <c r="E30" s="18" t="str">
        <f>"Import technology - "&amp;Commodities!F30</f>
        <v>Import technology - Bio Kerosene G1</v>
      </c>
      <c r="F30" s="20" t="s">
        <v>62</v>
      </c>
      <c r="G30" s="18"/>
      <c r="H30" s="20"/>
      <c r="I30" s="20"/>
      <c r="J30" s="20"/>
      <c r="K30" s="3"/>
    </row>
    <row r="31" spans="1:11" s="7" customFormat="1">
      <c r="A31" s="3"/>
      <c r="B31" s="20"/>
      <c r="C31" s="22"/>
      <c r="D31" s="18" t="str">
        <f>$B$6&amp;Commodities!E31</f>
        <v>IMPKRB2</v>
      </c>
      <c r="E31" s="18" t="str">
        <f>"Import technology - "&amp;Commodities!F31</f>
        <v>Import technology - Bio Kerosene G2</v>
      </c>
      <c r="F31" s="20" t="s">
        <v>62</v>
      </c>
      <c r="G31" s="18"/>
      <c r="H31" s="20"/>
      <c r="I31" s="20"/>
      <c r="J31" s="20"/>
      <c r="K31" s="3"/>
    </row>
    <row r="32" spans="1:11" s="7" customFormat="1">
      <c r="A32" s="3"/>
      <c r="B32" s="20"/>
      <c r="C32" s="22"/>
      <c r="D32" s="18" t="str">
        <f>$B$6&amp;Commodities!E32</f>
        <v>IMPKRE</v>
      </c>
      <c r="E32" s="18" t="str">
        <f>"Import technology - "&amp;Commodities!F32</f>
        <v>Import technology - Electro Kerosene</v>
      </c>
      <c r="F32" s="20" t="s">
        <v>62</v>
      </c>
      <c r="G32" s="18"/>
      <c r="H32" s="20"/>
      <c r="I32" s="20"/>
      <c r="J32" s="20"/>
      <c r="K32" s="3"/>
    </row>
    <row r="33" spans="1:11" s="7" customFormat="1">
      <c r="A33" s="3"/>
      <c r="B33" s="20"/>
      <c r="C33" s="22"/>
      <c r="D33" s="18" t="str">
        <f>$B$6&amp;Commodities!E33</f>
        <v>IMPSNG1</v>
      </c>
      <c r="E33" s="18" t="str">
        <f>"Import technology - "&amp;Commodities!F33</f>
        <v>Import technology - Bio Synt. Nat. Gas G1</v>
      </c>
      <c r="F33" s="20" t="s">
        <v>62</v>
      </c>
      <c r="G33" s="18"/>
      <c r="H33" s="20"/>
      <c r="I33" s="20"/>
      <c r="J33" s="20"/>
      <c r="K33" s="3"/>
    </row>
    <row r="34" spans="1:11" s="7" customFormat="1">
      <c r="A34" s="3"/>
      <c r="B34" s="20"/>
      <c r="C34" s="22"/>
      <c r="D34" s="18" t="str">
        <f>$B$6&amp;Commodities!E34</f>
        <v>IMPSNG2</v>
      </c>
      <c r="E34" s="18" t="str">
        <f>"Import technology - "&amp;Commodities!F34</f>
        <v>Import technology - Bio Synt. Nat. Gas G2</v>
      </c>
      <c r="F34" s="20" t="s">
        <v>62</v>
      </c>
      <c r="G34" s="18"/>
      <c r="H34" s="20"/>
      <c r="I34" s="20"/>
      <c r="J34" s="20"/>
      <c r="K34" s="3"/>
    </row>
    <row r="35" spans="1:11" s="7" customFormat="1">
      <c r="A35" s="3"/>
      <c r="B35" s="20"/>
      <c r="C35" s="22"/>
      <c r="D35" s="18" t="str">
        <f>$B$6&amp;Commodities!E35</f>
        <v>IMPSNE</v>
      </c>
      <c r="E35" s="18" t="str">
        <f>"Import technology - "&amp;Commodities!F35</f>
        <v>Import technology - Electro Synt. Nat. Gas</v>
      </c>
      <c r="F35" s="20" t="s">
        <v>62</v>
      </c>
      <c r="G35" s="18"/>
      <c r="H35" s="20"/>
      <c r="I35" s="20"/>
      <c r="J35" s="20"/>
      <c r="K35" s="3"/>
    </row>
    <row r="36" spans="1:11" s="7" customFormat="1">
      <c r="A36" s="3"/>
      <c r="B36" s="20"/>
      <c r="C36" s="22"/>
      <c r="D36" s="18" t="str">
        <f>$B$6&amp;Commodities!E36</f>
        <v>IMPDSB1</v>
      </c>
      <c r="E36" s="18" t="str">
        <f>"Import technology - "&amp;Commodities!F36</f>
        <v>Import technology - Biodiesel G1</v>
      </c>
      <c r="F36" s="20" t="s">
        <v>62</v>
      </c>
      <c r="G36" s="18"/>
      <c r="H36" s="20"/>
      <c r="I36" s="20"/>
      <c r="J36" s="20"/>
      <c r="K36" s="3"/>
    </row>
    <row r="37" spans="1:11" s="7" customFormat="1">
      <c r="A37" s="3"/>
      <c r="B37" s="20"/>
      <c r="C37" s="22"/>
      <c r="D37" s="18" t="str">
        <f>$B$6&amp;Commodities!E37</f>
        <v>IMPDSB2</v>
      </c>
      <c r="E37" s="18" t="str">
        <f>"Import technology - "&amp;Commodities!F37</f>
        <v>Import technology - Biodiesel G2</v>
      </c>
      <c r="F37" s="20" t="s">
        <v>62</v>
      </c>
      <c r="G37" s="18"/>
      <c r="H37" s="20"/>
      <c r="I37" s="20"/>
      <c r="J37" s="20"/>
      <c r="K37" s="3"/>
    </row>
    <row r="38" spans="1:11" s="7" customFormat="1">
      <c r="A38" s="3"/>
      <c r="B38" s="20"/>
      <c r="C38" s="22"/>
      <c r="D38" s="18" t="str">
        <f>$B$6&amp;Commodities!E38</f>
        <v>IMPDSE</v>
      </c>
      <c r="E38" s="18" t="str">
        <f>"Import technology - "&amp;Commodities!F38</f>
        <v>Import technology - Electro Diesel</v>
      </c>
      <c r="F38" s="20" t="s">
        <v>62</v>
      </c>
      <c r="G38" s="18"/>
      <c r="H38" s="20"/>
      <c r="I38" s="20"/>
      <c r="J38" s="20"/>
      <c r="K38" s="3"/>
    </row>
    <row r="39" spans="1:11" s="7" customFormat="1">
      <c r="A39" s="3"/>
      <c r="B39" s="20"/>
      <c r="C39" s="22"/>
      <c r="D39" s="18" t="str">
        <f>$B$6&amp;Commodities!E39</f>
        <v>IMPGSB1</v>
      </c>
      <c r="E39" s="18" t="str">
        <f>"Import technology - "&amp;Commodities!F39</f>
        <v>Import technology - Bioethanol G1</v>
      </c>
      <c r="F39" s="20" t="s">
        <v>62</v>
      </c>
      <c r="G39" s="18"/>
      <c r="H39" s="20"/>
      <c r="I39" s="20"/>
      <c r="J39" s="20"/>
      <c r="K39" s="3"/>
    </row>
    <row r="40" spans="1:11" s="7" customFormat="1">
      <c r="A40" s="3"/>
      <c r="B40" s="20"/>
      <c r="C40" s="22"/>
      <c r="D40" s="18" t="str">
        <f>$B$6&amp;Commodities!E40</f>
        <v>IMPGSB2</v>
      </c>
      <c r="E40" s="18" t="str">
        <f>"Import technology - "&amp;Commodities!F40</f>
        <v>Import technology - Bioethanol G2</v>
      </c>
      <c r="F40" s="20" t="s">
        <v>62</v>
      </c>
      <c r="G40" s="18"/>
      <c r="H40" s="20"/>
      <c r="I40" s="20"/>
      <c r="J40" s="20"/>
      <c r="K40" s="3"/>
    </row>
    <row r="41" spans="1:11" s="7" customFormat="1">
      <c r="A41" s="3"/>
      <c r="B41" s="20"/>
      <c r="C41" s="22"/>
      <c r="D41" s="18" t="str">
        <f>$B$6&amp;Commodities!E41</f>
        <v>IMPGSE</v>
      </c>
      <c r="E41" s="18" t="str">
        <f>"Import technology - "&amp;Commodities!F41</f>
        <v>Import technology - Electro Gasoline</v>
      </c>
      <c r="F41" s="20" t="s">
        <v>62</v>
      </c>
      <c r="G41" s="18"/>
      <c r="H41" s="20"/>
      <c r="I41" s="20"/>
      <c r="J41" s="20"/>
      <c r="K41" s="3"/>
    </row>
    <row r="42" spans="1:11" s="7" customFormat="1">
      <c r="A42" s="3"/>
      <c r="B42" s="20"/>
      <c r="C42" s="22"/>
      <c r="D42" s="18" t="str">
        <f>$B$6&amp;Commodities!E42</f>
        <v>IMPMOB1</v>
      </c>
      <c r="E42" s="18" t="str">
        <f>"Import technology - "&amp;Commodities!F42</f>
        <v>Import technology - Bio Methanol G1</v>
      </c>
      <c r="F42" s="20" t="s">
        <v>62</v>
      </c>
      <c r="G42" s="18"/>
      <c r="H42" s="20"/>
      <c r="I42" s="20"/>
      <c r="J42" s="20"/>
      <c r="K42" s="3"/>
    </row>
    <row r="43" spans="1:11" s="7" customFormat="1">
      <c r="A43" s="3"/>
      <c r="B43" s="20"/>
      <c r="C43" s="22"/>
      <c r="D43" s="18" t="str">
        <f>$B$6&amp;Commodities!E43</f>
        <v>IMPMOB2</v>
      </c>
      <c r="E43" s="18" t="str">
        <f>"Import technology - "&amp;Commodities!F43</f>
        <v>Import technology - Bio Methanol G2</v>
      </c>
      <c r="F43" s="20" t="s">
        <v>62</v>
      </c>
      <c r="G43" s="18"/>
      <c r="H43" s="20"/>
      <c r="I43" s="20"/>
      <c r="J43" s="20"/>
      <c r="K43" s="3"/>
    </row>
    <row r="44" spans="1:11" s="7" customFormat="1">
      <c r="A44" s="3"/>
      <c r="B44" s="20"/>
      <c r="C44" s="22"/>
      <c r="D44" s="18" t="str">
        <f>$B$6&amp;Commodities!E44</f>
        <v>IMPMOE</v>
      </c>
      <c r="E44" s="18" t="str">
        <f>"Import technology - "&amp;Commodities!F44</f>
        <v>Import technology - Electro Methanol</v>
      </c>
      <c r="F44" s="20" t="s">
        <v>62</v>
      </c>
      <c r="G44" s="18"/>
      <c r="H44" s="20"/>
      <c r="I44" s="20"/>
      <c r="J44" s="20"/>
      <c r="K44" s="3"/>
    </row>
    <row r="45" spans="1:11" s="7" customFormat="1">
      <c r="A45" s="3"/>
      <c r="B45" s="20"/>
      <c r="C45" s="22"/>
      <c r="D45" s="18" t="str">
        <f>$B$6&amp;Commodities!E46</f>
        <v>IMPWST</v>
      </c>
      <c r="E45" s="18" t="str">
        <f>"Import technology - "&amp;Commodities!F46</f>
        <v>Import technology - Waste</v>
      </c>
      <c r="F45" s="20" t="s">
        <v>62</v>
      </c>
      <c r="G45" s="18"/>
      <c r="H45" s="20"/>
      <c r="I45" s="20"/>
      <c r="J45" s="20"/>
      <c r="K45" s="3"/>
    </row>
    <row r="46" spans="1:11" s="7" customFormat="1">
      <c r="A46" s="3"/>
      <c r="B46" s="20"/>
      <c r="C46" s="22"/>
      <c r="D46" s="18" t="str">
        <f>$B$6&amp;Commodities!E47</f>
        <v>IMPSTR</v>
      </c>
      <c r="E46" s="18" t="str">
        <f>"Import technology - "&amp;Commodities!F47</f>
        <v>Import technology - Straw</v>
      </c>
      <c r="F46" s="20" t="s">
        <v>62</v>
      </c>
      <c r="G46" s="18"/>
      <c r="H46" s="20"/>
      <c r="I46" s="20"/>
      <c r="J46" s="20"/>
      <c r="K46" s="3"/>
    </row>
    <row r="47" spans="1:11" s="7" customFormat="1">
      <c r="A47" s="3"/>
      <c r="B47" s="20"/>
      <c r="C47" s="22"/>
      <c r="D47" s="18" t="str">
        <f>$B$6&amp;Commodities!E48</f>
        <v>IMPGRS</v>
      </c>
      <c r="E47" s="18" t="str">
        <f>"Import technology - "&amp;Commodities!F48</f>
        <v>Import technology - Grass</v>
      </c>
      <c r="F47" s="20" t="s">
        <v>62</v>
      </c>
      <c r="G47" s="18"/>
      <c r="H47" s="20"/>
      <c r="I47" s="20"/>
      <c r="J47" s="20"/>
      <c r="K47" s="3"/>
    </row>
    <row r="48" spans="1:11" s="7" customFormat="1">
      <c r="A48" s="3"/>
      <c r="B48" s="20"/>
      <c r="C48" s="22"/>
      <c r="D48" s="18" t="str">
        <f>$B$6&amp;Commodities!E49</f>
        <v>IMPWPE</v>
      </c>
      <c r="E48" s="18" t="str">
        <f>"Import technology - "&amp;Commodities!F49</f>
        <v>Import technology - Wood pellets</v>
      </c>
      <c r="F48" s="20" t="s">
        <v>62</v>
      </c>
      <c r="G48" s="18"/>
      <c r="H48" s="20"/>
      <c r="I48" s="20"/>
      <c r="J48" s="20"/>
      <c r="K48" s="3"/>
    </row>
    <row r="49" spans="1:11" s="7" customFormat="1">
      <c r="A49" s="3"/>
      <c r="B49" s="20"/>
      <c r="C49" s="22"/>
      <c r="D49" s="18" t="str">
        <f>$B$6&amp;Commodities!E50</f>
        <v>IMPWCH</v>
      </c>
      <c r="E49" s="18" t="str">
        <f>"Import technology - "&amp;Commodities!F50</f>
        <v>Import technology - Wood chips and wood waste</v>
      </c>
      <c r="F49" s="20" t="s">
        <v>62</v>
      </c>
      <c r="G49" s="18"/>
      <c r="H49" s="20"/>
      <c r="I49" s="20"/>
      <c r="J49" s="20"/>
      <c r="K49" s="3"/>
    </row>
    <row r="50" spans="1:11" s="7" customFormat="1">
      <c r="A50" s="3"/>
      <c r="B50" s="20"/>
      <c r="C50" s="22"/>
      <c r="D50" s="18" t="str">
        <f>$B$6&amp;Commodities!E51</f>
        <v>IMPFIW</v>
      </c>
      <c r="E50" s="18" t="str">
        <f>"Import technology - "&amp;Commodities!F51</f>
        <v>Import technology - Firewood</v>
      </c>
      <c r="F50" s="20" t="s">
        <v>62</v>
      </c>
      <c r="G50" s="18"/>
      <c r="H50" s="20"/>
      <c r="I50" s="20"/>
      <c r="J50" s="20"/>
      <c r="K50" s="3"/>
    </row>
    <row r="51" spans="1:11" s="7" customFormat="1">
      <c r="A51" s="3"/>
      <c r="B51" s="20"/>
      <c r="C51" s="22"/>
      <c r="D51" s="18" t="str">
        <f>$B$6&amp;Commodities!E52</f>
        <v>IMPCRN</v>
      </c>
      <c r="E51" s="18" t="str">
        <f>"Import technology - "&amp;Commodities!F52</f>
        <v>Import technology - Corn</v>
      </c>
      <c r="F51" s="20" t="s">
        <v>62</v>
      </c>
      <c r="G51" s="18"/>
      <c r="H51" s="20"/>
      <c r="I51" s="20"/>
      <c r="J51" s="20"/>
      <c r="K51" s="3"/>
    </row>
    <row r="52" spans="1:11" s="7" customFormat="1">
      <c r="A52" s="3"/>
      <c r="B52" s="20"/>
      <c r="C52" s="22"/>
      <c r="D52" s="18" t="str">
        <f>$B$6&amp;Commodities!E53</f>
        <v>IMPRPS</v>
      </c>
      <c r="E52" s="18" t="str">
        <f>"Import technology - "&amp;Commodities!F53</f>
        <v>Import technology - Rapeseed</v>
      </c>
      <c r="F52" s="20" t="s">
        <v>62</v>
      </c>
      <c r="G52" s="18"/>
      <c r="H52" s="20"/>
      <c r="I52" s="20"/>
      <c r="J52" s="20"/>
      <c r="K52" s="3"/>
    </row>
    <row r="53" spans="1:11" s="7" customFormat="1">
      <c r="A53" s="3"/>
      <c r="B53" s="20"/>
      <c r="C53" s="22"/>
      <c r="D53" s="18" t="str">
        <f>$B$6&amp;Commodities!E54</f>
        <v>IMPSGB</v>
      </c>
      <c r="E53" s="18" t="str">
        <f>"Import technology - "&amp;Commodities!F54</f>
        <v>Import technology - Sugar Beet</v>
      </c>
      <c r="F53" s="20" t="s">
        <v>62</v>
      </c>
      <c r="G53" s="18"/>
      <c r="H53" s="20"/>
      <c r="I53" s="20"/>
      <c r="J53" s="20"/>
      <c r="K53" s="3"/>
    </row>
    <row r="54" spans="1:11" s="7" customFormat="1">
      <c r="A54" s="3"/>
      <c r="B54" s="20"/>
      <c r="C54" s="22"/>
      <c r="D54" s="18" t="str">
        <f>$B$6&amp;Commodities!E55</f>
        <v>IMPDLI</v>
      </c>
      <c r="E54" s="18" t="str">
        <f>"Import technology - "&amp;Commodities!F55</f>
        <v>Import technology - Deep Litter</v>
      </c>
      <c r="F54" s="20" t="s">
        <v>62</v>
      </c>
      <c r="G54" s="18"/>
      <c r="H54" s="20"/>
      <c r="I54" s="20"/>
      <c r="J54" s="20"/>
      <c r="K54" s="3"/>
    </row>
    <row r="55" spans="1:11" s="7" customFormat="1" ht="14" customHeight="1">
      <c r="A55" s="3"/>
      <c r="B55" s="522"/>
      <c r="C55" s="551"/>
      <c r="D55" s="544" t="str">
        <f>$B$6&amp;Commodities!E56</f>
        <v>IMPMNR</v>
      </c>
      <c r="E55" s="544" t="str">
        <f>"Import technology - "&amp;Commodities!F56</f>
        <v>Import technology - Manure (Gylle)</v>
      </c>
      <c r="F55" s="522" t="s">
        <v>62</v>
      </c>
      <c r="G55" s="544"/>
      <c r="H55" s="522"/>
      <c r="I55" s="522"/>
      <c r="J55" s="20"/>
      <c r="K55" s="3"/>
    </row>
    <row r="56" spans="1:11" s="7" customFormat="1">
      <c r="A56" s="3"/>
      <c r="B56" s="20"/>
      <c r="C56" s="22"/>
      <c r="D56" s="398" t="s">
        <v>2161</v>
      </c>
      <c r="E56" s="398" t="s">
        <v>2135</v>
      </c>
      <c r="F56" s="20" t="s">
        <v>62</v>
      </c>
      <c r="G56" s="18"/>
      <c r="H56" s="20" t="s">
        <v>1672</v>
      </c>
    </row>
    <row r="57" spans="1:11" s="7" customFormat="1">
      <c r="A57" s="3"/>
      <c r="B57" s="20"/>
      <c r="C57" s="22"/>
      <c r="D57" s="398" t="s">
        <v>2166</v>
      </c>
      <c r="E57" s="398" t="s">
        <v>2135</v>
      </c>
      <c r="F57" s="20" t="s">
        <v>62</v>
      </c>
      <c r="G57" s="18"/>
      <c r="H57" s="20" t="s">
        <v>1672</v>
      </c>
    </row>
    <row r="58" spans="1:11" s="7" customFormat="1">
      <c r="A58" s="3"/>
      <c r="B58" s="20"/>
      <c r="C58" s="22"/>
      <c r="D58" s="398" t="s">
        <v>2143</v>
      </c>
      <c r="E58" s="398" t="s">
        <v>2136</v>
      </c>
      <c r="F58" s="20" t="s">
        <v>62</v>
      </c>
      <c r="G58" s="18"/>
      <c r="H58" s="20" t="s">
        <v>1672</v>
      </c>
    </row>
    <row r="59" spans="1:11" s="7" customFormat="1">
      <c r="A59" s="3"/>
      <c r="B59" s="20"/>
      <c r="C59" s="22"/>
      <c r="D59" s="398" t="s">
        <v>2144</v>
      </c>
      <c r="E59" s="398" t="s">
        <v>2134</v>
      </c>
      <c r="F59" s="20" t="s">
        <v>62</v>
      </c>
      <c r="G59" s="18"/>
      <c r="H59" s="20" t="s">
        <v>1672</v>
      </c>
    </row>
    <row r="60" spans="1:11" s="7" customFormat="1">
      <c r="A60" s="3"/>
      <c r="B60" s="20"/>
      <c r="C60" s="22"/>
      <c r="D60" s="398" t="s">
        <v>2145</v>
      </c>
      <c r="E60" s="398" t="s">
        <v>2134</v>
      </c>
      <c r="F60" s="20" t="s">
        <v>62</v>
      </c>
      <c r="G60" s="18"/>
      <c r="H60" s="20" t="s">
        <v>1672</v>
      </c>
    </row>
    <row r="61" spans="1:11" s="7" customFormat="1">
      <c r="A61" s="3"/>
      <c r="B61" s="20"/>
      <c r="C61" s="22"/>
      <c r="D61" s="398" t="s">
        <v>2146</v>
      </c>
      <c r="E61" s="398" t="s">
        <v>2134</v>
      </c>
      <c r="F61" s="20" t="s">
        <v>62</v>
      </c>
      <c r="G61" s="18"/>
      <c r="H61" s="20" t="s">
        <v>1672</v>
      </c>
    </row>
    <row r="62" spans="1:11" s="7" customFormat="1">
      <c r="A62" s="3"/>
      <c r="B62" s="20"/>
      <c r="C62" s="22"/>
      <c r="D62" s="398" t="s">
        <v>2147</v>
      </c>
      <c r="E62" s="398" t="s">
        <v>2134</v>
      </c>
      <c r="F62" s="20" t="s">
        <v>62</v>
      </c>
      <c r="G62" s="18"/>
      <c r="H62" s="20" t="s">
        <v>1672</v>
      </c>
    </row>
    <row r="63" spans="1:11" s="7" customFormat="1">
      <c r="A63" s="3"/>
      <c r="B63" s="20"/>
      <c r="C63" s="22"/>
      <c r="D63" s="398" t="s">
        <v>2148</v>
      </c>
      <c r="E63" s="398" t="s">
        <v>2133</v>
      </c>
      <c r="F63" s="20" t="s">
        <v>62</v>
      </c>
      <c r="G63" s="18"/>
      <c r="H63" s="20" t="s">
        <v>1672</v>
      </c>
    </row>
    <row r="64" spans="1:11" s="7" customFormat="1">
      <c r="A64" s="3"/>
      <c r="B64" s="20"/>
      <c r="C64" s="22"/>
      <c r="D64" s="398" t="s">
        <v>2149</v>
      </c>
      <c r="E64" s="398" t="s">
        <v>2133</v>
      </c>
      <c r="F64" s="20" t="s">
        <v>62</v>
      </c>
      <c r="G64" s="18"/>
      <c r="H64" s="20" t="s">
        <v>1672</v>
      </c>
    </row>
    <row r="65" spans="1:11" s="7" customFormat="1">
      <c r="A65" s="3"/>
      <c r="B65" s="20"/>
      <c r="C65" s="22"/>
      <c r="D65" s="398" t="s">
        <v>2150</v>
      </c>
      <c r="E65" s="398" t="s">
        <v>2133</v>
      </c>
      <c r="F65" s="20" t="s">
        <v>62</v>
      </c>
      <c r="G65" s="18"/>
      <c r="H65" s="20" t="s">
        <v>1672</v>
      </c>
    </row>
    <row r="66" spans="1:11" s="7" customFormat="1">
      <c r="A66" s="3"/>
      <c r="B66" s="20"/>
      <c r="C66" s="22"/>
      <c r="D66" s="398" t="s">
        <v>2159</v>
      </c>
      <c r="E66" s="398" t="s">
        <v>2132</v>
      </c>
      <c r="F66" s="20" t="s">
        <v>62</v>
      </c>
      <c r="G66" s="18"/>
      <c r="H66" s="20" t="s">
        <v>1672</v>
      </c>
    </row>
    <row r="67" spans="1:11" s="7" customFormat="1">
      <c r="A67" s="3"/>
      <c r="B67" s="20"/>
      <c r="C67" s="22"/>
      <c r="D67" s="398" t="s">
        <v>2160</v>
      </c>
      <c r="E67" s="398" t="s">
        <v>2135</v>
      </c>
      <c r="F67" s="20" t="s">
        <v>62</v>
      </c>
      <c r="G67" s="18"/>
      <c r="H67" s="20" t="s">
        <v>1672</v>
      </c>
    </row>
    <row r="68" spans="1:11" s="7" customFormat="1">
      <c r="A68" s="3"/>
      <c r="B68" s="20"/>
      <c r="C68" s="22"/>
      <c r="D68" s="398" t="s">
        <v>2171</v>
      </c>
      <c r="E68" s="398" t="s">
        <v>2133</v>
      </c>
      <c r="F68" s="20" t="s">
        <v>62</v>
      </c>
      <c r="G68" s="18"/>
      <c r="H68" s="20" t="s">
        <v>1672</v>
      </c>
    </row>
    <row r="69" spans="1:11" s="7" customFormat="1">
      <c r="A69" s="3"/>
      <c r="B69" s="20"/>
      <c r="C69" s="22"/>
      <c r="D69" s="398" t="s">
        <v>2148</v>
      </c>
      <c r="E69" s="398" t="s">
        <v>2133</v>
      </c>
      <c r="F69" s="20" t="s">
        <v>62</v>
      </c>
      <c r="G69" s="18"/>
      <c r="H69" s="20" t="s">
        <v>1672</v>
      </c>
      <c r="I69" s="20"/>
      <c r="J69" s="20"/>
      <c r="K69" s="3"/>
    </row>
    <row r="70" spans="1:11" s="7" customFormat="1">
      <c r="A70" s="3"/>
      <c r="B70" s="20"/>
      <c r="C70" s="22"/>
      <c r="D70" s="398" t="s">
        <v>2172</v>
      </c>
      <c r="E70" s="398" t="s">
        <v>2188</v>
      </c>
      <c r="F70" s="20" t="s">
        <v>62</v>
      </c>
      <c r="G70" s="18"/>
      <c r="H70" s="20" t="s">
        <v>1672</v>
      </c>
      <c r="I70" s="20"/>
      <c r="J70" s="20"/>
      <c r="K70" s="3"/>
    </row>
    <row r="71" spans="1:11" s="1262" customFormat="1">
      <c r="B71" s="1263" t="s">
        <v>171</v>
      </c>
      <c r="C71" s="1264"/>
      <c r="D71" s="1265" t="str">
        <f>$B$71&amp;Commodities!E46</f>
        <v>MINWST</v>
      </c>
      <c r="E71" s="1265" t="str">
        <f>"Mining technology - "&amp;Commodities!F46</f>
        <v>Mining technology - Waste</v>
      </c>
      <c r="F71" s="1263" t="s">
        <v>62</v>
      </c>
      <c r="G71" s="1265"/>
      <c r="H71" s="1263"/>
      <c r="I71" s="1263"/>
      <c r="J71" s="1263"/>
    </row>
    <row r="72" spans="1:11" s="7" customFormat="1">
      <c r="A72" s="3"/>
      <c r="B72" s="20"/>
      <c r="C72" s="22"/>
      <c r="D72" s="18" t="str">
        <f>$B$71&amp;Commodities!E47</f>
        <v>MINSTR</v>
      </c>
      <c r="E72" s="18" t="str">
        <f>"Mining technology - "&amp;Commodities!F47</f>
        <v>Mining technology - Straw</v>
      </c>
      <c r="F72" s="20" t="s">
        <v>62</v>
      </c>
      <c r="G72" s="18"/>
      <c r="H72" s="20"/>
      <c r="I72" s="20"/>
      <c r="J72" s="20"/>
      <c r="K72" s="3"/>
    </row>
    <row r="73" spans="1:11" s="7" customFormat="1">
      <c r="A73" s="3"/>
      <c r="B73" s="20"/>
      <c r="C73" s="22"/>
      <c r="D73" s="18" t="str">
        <f>$B$71&amp;Commodities!E48</f>
        <v>MINGRS</v>
      </c>
      <c r="E73" s="18" t="str">
        <f>"Mining technology - "&amp;Commodities!F48</f>
        <v>Mining technology - Grass</v>
      </c>
      <c r="F73" s="20" t="s">
        <v>62</v>
      </c>
      <c r="G73" s="18"/>
      <c r="H73" s="20"/>
      <c r="I73" s="20"/>
      <c r="J73" s="20"/>
      <c r="K73" s="3"/>
    </row>
    <row r="74" spans="1:11" s="7" customFormat="1">
      <c r="A74" s="3"/>
      <c r="B74" s="20"/>
      <c r="C74" s="22"/>
      <c r="D74" s="18" t="str">
        <f>$B$71&amp;Commodities!E49</f>
        <v>MINWPE</v>
      </c>
      <c r="E74" s="18" t="str">
        <f>"Mining technology - "&amp;Commodities!F49</f>
        <v>Mining technology - Wood pellets</v>
      </c>
      <c r="F74" s="20" t="s">
        <v>62</v>
      </c>
      <c r="G74" s="18"/>
      <c r="H74" s="20"/>
      <c r="I74" s="20"/>
      <c r="J74" s="20"/>
      <c r="K74" s="3"/>
    </row>
    <row r="75" spans="1:11" s="7" customFormat="1">
      <c r="A75" s="3"/>
      <c r="B75" s="20"/>
      <c r="C75" s="22"/>
      <c r="D75" s="18" t="str">
        <f>$B$71&amp;Commodities!E50</f>
        <v>MINWCH</v>
      </c>
      <c r="E75" s="18" t="str">
        <f>"Mining technology - "&amp;Commodities!F50</f>
        <v>Mining technology - Wood chips and wood waste</v>
      </c>
      <c r="F75" s="20" t="s">
        <v>62</v>
      </c>
      <c r="G75" s="18"/>
      <c r="H75" s="20"/>
      <c r="I75" s="20"/>
      <c r="J75" s="20"/>
      <c r="K75" s="3"/>
    </row>
    <row r="76" spans="1:11" s="7" customFormat="1">
      <c r="A76" s="3"/>
      <c r="B76" s="20"/>
      <c r="C76" s="22"/>
      <c r="D76" s="18" t="str">
        <f>$B$71&amp;Commodities!E51</f>
        <v>MINFIW</v>
      </c>
      <c r="E76" s="18" t="str">
        <f>"Mining technology - "&amp;Commodities!F51</f>
        <v>Mining technology - Firewood</v>
      </c>
      <c r="F76" s="20" t="s">
        <v>62</v>
      </c>
      <c r="G76" s="18"/>
      <c r="H76" s="20"/>
      <c r="I76" s="20"/>
      <c r="J76" s="20"/>
      <c r="K76" s="3"/>
    </row>
    <row r="77" spans="1:11" s="7" customFormat="1">
      <c r="A77" s="3"/>
      <c r="B77" s="20"/>
      <c r="C77" s="22"/>
      <c r="D77" s="18" t="str">
        <f>$B$71&amp;Commodities!E52</f>
        <v>MINCRN</v>
      </c>
      <c r="E77" s="18" t="str">
        <f>"Mining technology - "&amp;Commodities!F52</f>
        <v>Mining technology - Corn</v>
      </c>
      <c r="F77" s="20" t="s">
        <v>62</v>
      </c>
      <c r="G77" s="18"/>
      <c r="H77" s="20"/>
      <c r="I77" s="20"/>
      <c r="J77" s="20"/>
      <c r="K77" s="3"/>
    </row>
    <row r="78" spans="1:11" s="7" customFormat="1">
      <c r="A78" s="3"/>
      <c r="B78" s="20"/>
      <c r="C78" s="22"/>
      <c r="D78" s="18" t="str">
        <f>$B$71&amp;Commodities!E53</f>
        <v>MINRPS</v>
      </c>
      <c r="E78" s="18" t="str">
        <f>"Mining technology - "&amp;Commodities!F53</f>
        <v>Mining technology - Rapeseed</v>
      </c>
      <c r="F78" s="20" t="s">
        <v>62</v>
      </c>
      <c r="G78" s="18"/>
      <c r="H78" s="20"/>
      <c r="I78" s="20"/>
      <c r="J78" s="20"/>
      <c r="K78" s="3"/>
    </row>
    <row r="79" spans="1:11" s="7" customFormat="1">
      <c r="A79" s="3"/>
      <c r="B79" s="20"/>
      <c r="C79" s="22"/>
      <c r="D79" s="18" t="str">
        <f>$B$71&amp;Commodities!E54</f>
        <v>MINSGB</v>
      </c>
      <c r="E79" s="18" t="str">
        <f>"Mining technology - "&amp;Commodities!F54</f>
        <v>Mining technology - Sugar Beet</v>
      </c>
      <c r="F79" s="20" t="s">
        <v>62</v>
      </c>
      <c r="G79" s="18"/>
      <c r="H79" s="20"/>
      <c r="I79" s="20"/>
      <c r="J79" s="20"/>
      <c r="K79" s="3"/>
    </row>
    <row r="80" spans="1:11" s="7" customFormat="1">
      <c r="A80" s="3"/>
      <c r="B80" s="20"/>
      <c r="C80" s="22"/>
      <c r="D80" s="18" t="str">
        <f>$B$71&amp;Commodities!E55</f>
        <v>MINDLI</v>
      </c>
      <c r="E80" s="18" t="str">
        <f>"Mining technology - "&amp;Commodities!F55</f>
        <v>Mining technology - Deep Litter</v>
      </c>
      <c r="F80" s="20" t="s">
        <v>62</v>
      </c>
      <c r="G80" s="18"/>
      <c r="H80" s="20"/>
      <c r="I80" s="20"/>
      <c r="J80" s="20"/>
      <c r="K80" s="3"/>
    </row>
    <row r="81" spans="1:11" s="7" customFormat="1">
      <c r="A81" s="3"/>
      <c r="B81" s="20"/>
      <c r="C81" s="22"/>
      <c r="D81" s="18" t="str">
        <f>$B$71&amp;Commodities!E56</f>
        <v>MINMNR</v>
      </c>
      <c r="E81" s="18" t="str">
        <f>"Mining technology - "&amp;Commodities!F56</f>
        <v>Mining technology - Manure (Gylle)</v>
      </c>
      <c r="F81" s="20" t="s">
        <v>62</v>
      </c>
      <c r="G81" s="18"/>
      <c r="H81" s="20"/>
      <c r="I81" s="20"/>
      <c r="J81" s="20"/>
      <c r="K81" s="3"/>
    </row>
    <row r="82" spans="1:11" s="7" customFormat="1">
      <c r="A82" s="3"/>
      <c r="B82" s="20"/>
      <c r="C82" s="22"/>
      <c r="D82" s="18" t="str">
        <f>$B$71&amp;RIGHT(Commodities!E57,3)</f>
        <v>MINNGA</v>
      </c>
      <c r="E82" s="18" t="str">
        <f>"Mining technology - "&amp;Commodities!F57</f>
        <v>Mining technology - Mining Natural Gas</v>
      </c>
      <c r="F82" s="20" t="s">
        <v>62</v>
      </c>
      <c r="G82" s="18"/>
      <c r="H82" s="20"/>
      <c r="I82" s="20"/>
      <c r="J82" s="20"/>
      <c r="K82" s="3"/>
    </row>
    <row r="83" spans="1:11" s="7" customFormat="1">
      <c r="A83" s="3"/>
      <c r="B83" s="20"/>
      <c r="C83" s="22"/>
      <c r="D83" s="18" t="str">
        <f>$B$71&amp;RIGHT(Commodities!E58,3)</f>
        <v>MINCRD</v>
      </c>
      <c r="E83" s="18" t="str">
        <f>"Mining technology - "&amp;Commodities!F58</f>
        <v>Mining technology - Mining Crude Oil</v>
      </c>
      <c r="F83" s="20" t="s">
        <v>62</v>
      </c>
      <c r="G83" s="18"/>
      <c r="H83" s="20"/>
      <c r="I83" s="20"/>
      <c r="J83" s="20"/>
      <c r="K83" s="3"/>
    </row>
    <row r="84" spans="1:11" s="7" customFormat="1">
      <c r="A84" s="3"/>
      <c r="B84" s="20"/>
      <c r="C84" s="22"/>
      <c r="D84" s="18" t="str">
        <f>$B$71&amp;Commodities!E59</f>
        <v>MINWIN</v>
      </c>
      <c r="E84" s="18" t="str">
        <f>"Mining technology - "&amp;Commodities!F59</f>
        <v>Mining technology - Wind</v>
      </c>
      <c r="F84" s="20" t="s">
        <v>62</v>
      </c>
      <c r="G84" s="18"/>
      <c r="H84" s="20"/>
      <c r="I84" s="20"/>
      <c r="J84" s="20"/>
      <c r="K84" s="3"/>
    </row>
    <row r="85" spans="1:11" s="7" customFormat="1">
      <c r="A85" s="3"/>
      <c r="B85" s="20"/>
      <c r="C85" s="22"/>
      <c r="D85" s="18" t="str">
        <f>$B$71&amp;Commodities!E60</f>
        <v>MINHYD</v>
      </c>
      <c r="E85" s="18" t="str">
        <f>"Mining technology - "&amp;Commodities!F60</f>
        <v>Mining technology - Hydro</v>
      </c>
      <c r="F85" s="20" t="s">
        <v>62</v>
      </c>
      <c r="G85" s="18"/>
      <c r="H85" s="20"/>
      <c r="I85" s="20"/>
      <c r="J85" s="20"/>
      <c r="K85" s="3"/>
    </row>
    <row r="86" spans="1:11" s="7" customFormat="1">
      <c r="A86" s="3"/>
      <c r="B86" s="20"/>
      <c r="C86" s="22"/>
      <c r="D86" s="18" t="str">
        <f>$B$71&amp;Commodities!E61</f>
        <v>MINSOL</v>
      </c>
      <c r="E86" s="18" t="str">
        <f>"Mining technology - "&amp;Commodities!F61</f>
        <v>Mining technology - Solar</v>
      </c>
      <c r="F86" s="20" t="s">
        <v>62</v>
      </c>
      <c r="G86" s="18"/>
      <c r="H86" s="20"/>
      <c r="I86" s="20"/>
      <c r="J86" s="20"/>
      <c r="K86" s="3"/>
    </row>
    <row r="87" spans="1:11" s="7" customFormat="1">
      <c r="A87" s="3"/>
      <c r="B87" s="20"/>
      <c r="C87" s="22"/>
      <c r="D87" s="18" t="str">
        <f>$B$71&amp;Commodities!E62</f>
        <v>MINGEO</v>
      </c>
      <c r="E87" s="18" t="str">
        <f>"Mining technology - "&amp;Commodities!F62</f>
        <v>Mining technology - Geothermal</v>
      </c>
      <c r="F87" s="20" t="s">
        <v>62</v>
      </c>
      <c r="G87" s="18"/>
      <c r="H87" s="20"/>
      <c r="I87" s="20"/>
      <c r="J87" s="20"/>
      <c r="K87" s="3"/>
    </row>
    <row r="88" spans="1:11" s="7" customFormat="1">
      <c r="A88" s="3"/>
      <c r="B88" s="20"/>
      <c r="C88" s="22"/>
      <c r="D88" s="18" t="str">
        <f>$B$71&amp;Commodities!E63</f>
        <v>MINWAV</v>
      </c>
      <c r="E88" s="18" t="str">
        <f>"Mining technology - "&amp;Commodities!F63</f>
        <v>Mining technology - Wave</v>
      </c>
      <c r="F88" s="20" t="s">
        <v>62</v>
      </c>
      <c r="G88" s="18"/>
      <c r="H88" s="20"/>
      <c r="I88" s="20"/>
      <c r="J88" s="20"/>
      <c r="K88" s="3"/>
    </row>
    <row r="89" spans="1:11" s="7" customFormat="1">
      <c r="A89" s="3"/>
      <c r="B89" s="522"/>
      <c r="C89" s="551"/>
      <c r="D89" s="544" t="str">
        <f>$B$71&amp;Commodities!E64</f>
        <v>MINMOV</v>
      </c>
      <c r="E89" s="544" t="str">
        <f>"Mining technology - "&amp;Commodities!F64</f>
        <v>Mining technology - Movement - Dummy commodity for bike and walk</v>
      </c>
      <c r="F89" s="522" t="s">
        <v>62</v>
      </c>
      <c r="G89" s="544"/>
      <c r="H89" s="522"/>
      <c r="I89" s="522"/>
      <c r="J89" s="20"/>
      <c r="K89" s="3"/>
    </row>
    <row r="90" spans="1:11" s="7" customFormat="1">
      <c r="A90" s="3"/>
      <c r="B90" s="20" t="s">
        <v>298</v>
      </c>
      <c r="C90" s="22"/>
      <c r="D90" s="18" t="str">
        <f>$B$90&amp;Commodities!E12</f>
        <v>EXPCOA</v>
      </c>
      <c r="E90" s="18" t="str">
        <f>"Export technology - "&amp;Commodities!F12</f>
        <v>Export technology - Coal</v>
      </c>
      <c r="F90" s="20" t="s">
        <v>62</v>
      </c>
      <c r="G90" s="18"/>
      <c r="H90" s="20"/>
      <c r="I90" s="20"/>
      <c r="J90" s="20"/>
      <c r="K90" s="3"/>
    </row>
    <row r="91" spans="1:11" s="7" customFormat="1">
      <c r="A91" s="3"/>
      <c r="B91" s="20"/>
      <c r="C91" s="22"/>
      <c r="D91" s="18" t="str">
        <f>$B$90&amp;Commodities!E13</f>
        <v>EXPNGA</v>
      </c>
      <c r="E91" s="18" t="str">
        <f>"Export technology - "&amp;Commodities!F13</f>
        <v>Export technology - Natural Gas</v>
      </c>
      <c r="F91" s="20" t="s">
        <v>62</v>
      </c>
      <c r="G91" s="18"/>
      <c r="H91" s="20"/>
      <c r="I91" s="20"/>
      <c r="J91" s="20"/>
      <c r="K91" s="3"/>
    </row>
    <row r="92" spans="1:11" s="7" customFormat="1">
      <c r="A92" s="3"/>
      <c r="B92" s="20"/>
      <c r="C92" s="22"/>
      <c r="D92" s="18" t="str">
        <f>$B$90&amp;Commodities!E14</f>
        <v>EXPCRD</v>
      </c>
      <c r="E92" s="18" t="str">
        <f>"Export technology - "&amp;Commodities!F14</f>
        <v>Export technology - Crude Oil</v>
      </c>
      <c r="F92" s="20" t="s">
        <v>62</v>
      </c>
      <c r="G92" s="18"/>
      <c r="H92" s="20"/>
      <c r="I92" s="20"/>
      <c r="J92" s="20"/>
      <c r="K92" s="3"/>
    </row>
    <row r="93" spans="1:11" s="7" customFormat="1">
      <c r="A93" s="3"/>
      <c r="B93" s="20"/>
      <c r="C93" s="22"/>
      <c r="D93" s="18" t="str">
        <f>$B$90&amp;Commodities!E15</f>
        <v>EXPLPG</v>
      </c>
      <c r="E93" s="18" t="str">
        <f>"Export technology - "&amp;Commodities!F15</f>
        <v>Export technology - Liquid petrol gas</v>
      </c>
      <c r="F93" s="20" t="s">
        <v>62</v>
      </c>
      <c r="G93" s="18"/>
      <c r="H93" s="20"/>
      <c r="I93" s="20"/>
      <c r="J93" s="20"/>
      <c r="K93" s="3"/>
    </row>
    <row r="94" spans="1:11" s="7" customFormat="1">
      <c r="A94" s="3"/>
      <c r="B94" s="20"/>
      <c r="C94" s="22"/>
      <c r="D94" s="18" t="str">
        <f>$B$90&amp;Commodities!E16</f>
        <v>EXPLVN</v>
      </c>
      <c r="E94" s="18" t="str">
        <f>"Export technology - "&amp;Commodities!F16</f>
        <v>Export technology - Naphtha (Petroleoum)</v>
      </c>
      <c r="F94" s="20" t="s">
        <v>62</v>
      </c>
      <c r="G94" s="18"/>
      <c r="H94" s="20"/>
      <c r="I94" s="20"/>
      <c r="J94" s="20"/>
      <c r="K94" s="3"/>
    </row>
    <row r="95" spans="1:11" s="7" customFormat="1">
      <c r="A95" s="3"/>
      <c r="B95" s="20"/>
      <c r="C95" s="22"/>
      <c r="D95" s="18" t="str">
        <f>$B$90&amp;Commodities!E17</f>
        <v>EXPGSL</v>
      </c>
      <c r="E95" s="18" t="str">
        <f>"Export technology - "&amp;Commodities!F17</f>
        <v>Export technology - Gasoline</v>
      </c>
      <c r="F95" s="20" t="s">
        <v>62</v>
      </c>
      <c r="G95" s="18"/>
      <c r="H95" s="20"/>
      <c r="I95" s="20"/>
      <c r="J95" s="20"/>
      <c r="K95" s="3"/>
    </row>
    <row r="96" spans="1:11" s="7" customFormat="1">
      <c r="A96" s="3"/>
      <c r="B96" s="20"/>
      <c r="C96" s="22"/>
      <c r="D96" s="18" t="str">
        <f>$B$90&amp;Commodities!E18</f>
        <v>EXPKER</v>
      </c>
      <c r="E96" s="18" t="str">
        <f>"Export technology - "&amp;Commodities!F18</f>
        <v>Export technology - Kerosene</v>
      </c>
      <c r="F96" s="20" t="s">
        <v>62</v>
      </c>
      <c r="G96" s="18"/>
      <c r="H96" s="20"/>
      <c r="I96" s="20"/>
      <c r="J96" s="20"/>
      <c r="K96" s="3"/>
    </row>
    <row r="97" spans="1:11" s="7" customFormat="1">
      <c r="A97" s="3"/>
      <c r="B97" s="20"/>
      <c r="C97" s="22"/>
      <c r="D97" s="18" t="str">
        <f>$B$90&amp;Commodities!E19</f>
        <v>EXPDSL</v>
      </c>
      <c r="E97" s="18" t="str">
        <f>"Export technology - "&amp;Commodities!F19</f>
        <v>Export technology - Diesel</v>
      </c>
      <c r="F97" s="20" t="s">
        <v>62</v>
      </c>
      <c r="G97" s="18"/>
      <c r="H97" s="20"/>
      <c r="I97" s="20"/>
      <c r="J97" s="20"/>
      <c r="K97" s="3"/>
    </row>
    <row r="98" spans="1:11" s="7" customFormat="1">
      <c r="A98" s="3"/>
      <c r="B98" s="20"/>
      <c r="C98" s="22"/>
      <c r="D98" s="18" t="str">
        <f>$B$90&amp;Commodities!E20</f>
        <v>EXPHFO</v>
      </c>
      <c r="E98" s="18" t="str">
        <f>"Export technology - "&amp;Commodities!F20</f>
        <v>Export technology - Heavy Fuel Oil</v>
      </c>
      <c r="F98" s="20" t="s">
        <v>62</v>
      </c>
      <c r="G98" s="18"/>
      <c r="H98" s="20"/>
      <c r="I98" s="20"/>
      <c r="J98" s="20"/>
      <c r="K98" s="3"/>
    </row>
    <row r="99" spans="1:11" s="7" customFormat="1">
      <c r="A99" s="3"/>
      <c r="B99" s="20"/>
      <c r="C99" s="22"/>
      <c r="D99" s="18" t="str">
        <f>$B$90&amp;Commodities!E21</f>
        <v>EXPMGO</v>
      </c>
      <c r="E99" s="18" t="str">
        <f>"Export technology - "&amp;Commodities!F21</f>
        <v>Export technology - Marine Gas Oil</v>
      </c>
      <c r="F99" s="20" t="s">
        <v>62</v>
      </c>
      <c r="G99" s="18"/>
      <c r="H99" s="20"/>
      <c r="I99" s="20"/>
      <c r="J99" s="20"/>
      <c r="K99" s="3"/>
    </row>
    <row r="100" spans="1:11" s="7" customFormat="1">
      <c r="A100" s="3"/>
      <c r="B100" s="20"/>
      <c r="C100" s="22"/>
      <c r="D100" s="18" t="str">
        <f>$B$90&amp;Commodities!E22</f>
        <v>EXPAGSL</v>
      </c>
      <c r="E100" s="18" t="str">
        <f>"Export technology - "&amp;Commodities!F22</f>
        <v>Export technology - Aviation gasoline</v>
      </c>
      <c r="F100" s="20" t="s">
        <v>62</v>
      </c>
      <c r="G100" s="18"/>
      <c r="H100" s="20"/>
      <c r="I100" s="20"/>
      <c r="J100" s="20"/>
      <c r="K100" s="3"/>
    </row>
    <row r="101" spans="1:11" s="7" customFormat="1">
      <c r="A101" s="3"/>
      <c r="B101" s="20"/>
      <c r="C101" s="22"/>
      <c r="D101" s="18" t="str">
        <f>$B$90&amp;Commodities!E23</f>
        <v>EXPBGA</v>
      </c>
      <c r="E101" s="18" t="str">
        <f>"Export technology - "&amp;Commodities!F23</f>
        <v>Export technology - Biogas</v>
      </c>
      <c r="F101" s="20" t="s">
        <v>62</v>
      </c>
      <c r="G101" s="18"/>
      <c r="H101" s="20"/>
      <c r="I101" s="20"/>
      <c r="J101" s="20"/>
      <c r="K101" s="3"/>
    </row>
    <row r="102" spans="1:11" s="7" customFormat="1">
      <c r="A102" s="3"/>
      <c r="B102" s="20"/>
      <c r="C102" s="22"/>
      <c r="D102" s="18" t="str">
        <f>$B$90&amp;Commodities!E24</f>
        <v>EXPHFB</v>
      </c>
      <c r="E102" s="18" t="str">
        <f>"Export technology - "&amp;Commodities!F24</f>
        <v>Export technology - Heavy Fuel Bio Oil</v>
      </c>
      <c r="F102" s="20" t="s">
        <v>62</v>
      </c>
      <c r="G102" s="18"/>
      <c r="H102" s="20"/>
      <c r="I102" s="20"/>
      <c r="J102" s="20"/>
      <c r="K102" s="3"/>
    </row>
    <row r="103" spans="1:11" s="7" customFormat="1">
      <c r="A103" s="3"/>
      <c r="B103" s="20"/>
      <c r="C103" s="22"/>
      <c r="D103" s="18" t="str">
        <f>$B$90&amp;Commodities!E25</f>
        <v>EXPDDGS</v>
      </c>
      <c r="E103" s="18" t="str">
        <f>"Export technology - "&amp;Commodities!F25</f>
        <v>Export technology - Ethanol</v>
      </c>
      <c r="F103" s="20" t="s">
        <v>62</v>
      </c>
      <c r="G103" s="18"/>
      <c r="H103" s="20"/>
      <c r="I103" s="20"/>
      <c r="J103" s="20"/>
      <c r="K103" s="3"/>
    </row>
    <row r="104" spans="1:11" s="7" customFormat="1">
      <c r="A104" s="3"/>
      <c r="B104" s="20"/>
      <c r="C104" s="22"/>
      <c r="D104" s="18" t="str">
        <f>$B$90&amp;Commodities!E26</f>
        <v>EXPH2</v>
      </c>
      <c r="E104" s="18" t="str">
        <f>"Export technology - "&amp;Commodities!F26</f>
        <v>Export technology - Hydrogen</v>
      </c>
      <c r="F104" s="20" t="s">
        <v>62</v>
      </c>
      <c r="G104" s="18"/>
      <c r="H104" s="20"/>
      <c r="I104" s="20"/>
      <c r="J104" s="20"/>
      <c r="K104" s="3"/>
    </row>
    <row r="105" spans="1:11" s="7" customFormat="1">
      <c r="A105" s="3"/>
      <c r="B105" s="20"/>
      <c r="C105" s="22"/>
      <c r="D105" s="18" t="str">
        <f>$B$90&amp;Commodities!E27</f>
        <v>EXPH2G</v>
      </c>
      <c r="E105" s="18" t="str">
        <f>"Export technology - "&amp;Commodities!F27</f>
        <v>Export technology - Hydrogen Gas</v>
      </c>
      <c r="F105" s="20" t="s">
        <v>62</v>
      </c>
      <c r="G105" s="18"/>
      <c r="H105" s="20"/>
      <c r="I105" s="20"/>
      <c r="J105" s="20"/>
      <c r="K105" s="3"/>
    </row>
    <row r="106" spans="1:11" s="7" customFormat="1">
      <c r="A106" s="3"/>
      <c r="B106" s="20"/>
      <c r="C106" s="22"/>
      <c r="D106" s="18" t="str">
        <f>$B$90&amp;Commodities!E28</f>
        <v>EXPAMM</v>
      </c>
      <c r="E106" s="18" t="str">
        <f>"Export technology - "&amp;Commodities!F28</f>
        <v>Export technology - Ammonia (Liquid)</v>
      </c>
      <c r="F106" s="20" t="s">
        <v>62</v>
      </c>
      <c r="G106" s="18"/>
      <c r="H106" s="20"/>
      <c r="I106" s="20"/>
      <c r="J106" s="20"/>
      <c r="K106" s="3"/>
    </row>
    <row r="107" spans="1:11" s="7" customFormat="1">
      <c r="A107" s="3"/>
      <c r="B107" s="20"/>
      <c r="C107" s="22"/>
      <c r="D107" s="18" t="str">
        <f>$B$90&amp;Commodities!E29</f>
        <v>EXPDME</v>
      </c>
      <c r="E107" s="18" t="str">
        <f>"Export technology - "&amp;Commodities!F29</f>
        <v>Export technology - Dimethyl ether</v>
      </c>
      <c r="F107" s="20" t="s">
        <v>62</v>
      </c>
      <c r="G107" s="18"/>
      <c r="H107" s="20"/>
      <c r="I107" s="20"/>
      <c r="J107" s="20"/>
      <c r="K107" s="3"/>
    </row>
    <row r="108" spans="1:11" s="7" customFormat="1">
      <c r="A108" s="3"/>
      <c r="B108" s="20"/>
      <c r="C108" s="22"/>
      <c r="D108" s="18" t="str">
        <f>$B$90&amp;Commodities!E30</f>
        <v>EXPKRB1</v>
      </c>
      <c r="E108" s="18" t="str">
        <f>"Export technology - "&amp;Commodities!F30</f>
        <v>Export technology - Bio Kerosene G1</v>
      </c>
      <c r="F108" s="20" t="s">
        <v>62</v>
      </c>
      <c r="G108" s="18"/>
      <c r="H108" s="20"/>
      <c r="I108" s="20"/>
      <c r="J108" s="20"/>
      <c r="K108" s="3"/>
    </row>
    <row r="109" spans="1:11" s="7" customFormat="1">
      <c r="A109" s="3"/>
      <c r="B109" s="20"/>
      <c r="C109" s="22"/>
      <c r="D109" s="18" t="str">
        <f>$B$90&amp;Commodities!E31</f>
        <v>EXPKRB2</v>
      </c>
      <c r="E109" s="18" t="str">
        <f>"Export technology - "&amp;Commodities!F31</f>
        <v>Export technology - Bio Kerosene G2</v>
      </c>
      <c r="F109" s="20" t="s">
        <v>62</v>
      </c>
      <c r="G109" s="18"/>
      <c r="H109" s="20"/>
      <c r="I109" s="20"/>
      <c r="J109" s="20"/>
      <c r="K109" s="3"/>
    </row>
    <row r="110" spans="1:11" s="7" customFormat="1">
      <c r="A110" s="3"/>
      <c r="B110" s="20"/>
      <c r="C110" s="22"/>
      <c r="D110" s="18" t="str">
        <f>$B$90&amp;Commodities!E32</f>
        <v>EXPKRE</v>
      </c>
      <c r="E110" s="18" t="str">
        <f>"Export technology - "&amp;Commodities!F32</f>
        <v>Export technology - Electro Kerosene</v>
      </c>
      <c r="F110" s="20" t="s">
        <v>62</v>
      </c>
      <c r="G110" s="18"/>
      <c r="H110" s="20"/>
      <c r="I110" s="20"/>
      <c r="J110" s="20"/>
      <c r="K110" s="3"/>
    </row>
    <row r="111" spans="1:11" s="7" customFormat="1">
      <c r="A111" s="3"/>
      <c r="B111" s="20"/>
      <c r="C111" s="22"/>
      <c r="D111" s="18" t="str">
        <f>$B$90&amp;Commodities!E33</f>
        <v>EXPSNG1</v>
      </c>
      <c r="E111" s="18" t="str">
        <f>"Export technology - "&amp;Commodities!F33</f>
        <v>Export technology - Bio Synt. Nat. Gas G1</v>
      </c>
      <c r="F111" s="20" t="s">
        <v>62</v>
      </c>
      <c r="G111" s="18"/>
      <c r="H111" s="20"/>
      <c r="I111" s="20"/>
      <c r="J111" s="20"/>
      <c r="K111" s="3"/>
    </row>
    <row r="112" spans="1:11" s="7" customFormat="1">
      <c r="A112" s="3"/>
      <c r="B112" s="20"/>
      <c r="C112" s="22"/>
      <c r="D112" s="18" t="str">
        <f>$B$90&amp;Commodities!E34</f>
        <v>EXPSNG2</v>
      </c>
      <c r="E112" s="18" t="str">
        <f>"Export technology - "&amp;Commodities!F34</f>
        <v>Export technology - Bio Synt. Nat. Gas G2</v>
      </c>
      <c r="F112" s="20" t="s">
        <v>62</v>
      </c>
      <c r="G112" s="18"/>
      <c r="H112" s="20"/>
      <c r="I112" s="20"/>
      <c r="J112" s="20"/>
      <c r="K112" s="3"/>
    </row>
    <row r="113" spans="1:11" s="7" customFormat="1">
      <c r="A113" s="3"/>
      <c r="B113" s="20"/>
      <c r="C113" s="22"/>
      <c r="D113" s="18" t="str">
        <f>$B$90&amp;Commodities!E35</f>
        <v>EXPSNE</v>
      </c>
      <c r="E113" s="18" t="str">
        <f>"Export technology - "&amp;Commodities!F35</f>
        <v>Export technology - Electro Synt. Nat. Gas</v>
      </c>
      <c r="F113" s="20" t="s">
        <v>62</v>
      </c>
      <c r="G113" s="18"/>
      <c r="H113" s="20"/>
      <c r="I113" s="20"/>
      <c r="J113" s="20"/>
      <c r="K113" s="3"/>
    </row>
    <row r="114" spans="1:11" s="7" customFormat="1">
      <c r="A114" s="3"/>
      <c r="B114" s="20"/>
      <c r="C114" s="22"/>
      <c r="D114" s="18" t="str">
        <f>$B$90&amp;Commodities!E36</f>
        <v>EXPDSB1</v>
      </c>
      <c r="E114" s="18" t="str">
        <f>"Export technology - "&amp;Commodities!F36</f>
        <v>Export technology - Biodiesel G1</v>
      </c>
      <c r="F114" s="20" t="s">
        <v>62</v>
      </c>
      <c r="G114" s="18"/>
      <c r="H114" s="20"/>
      <c r="I114" s="20"/>
      <c r="J114" s="20"/>
      <c r="K114" s="3"/>
    </row>
    <row r="115" spans="1:11" s="7" customFormat="1">
      <c r="A115" s="3"/>
      <c r="B115" s="20"/>
      <c r="C115" s="22"/>
      <c r="D115" s="18" t="str">
        <f>$B$90&amp;Commodities!E37</f>
        <v>EXPDSB2</v>
      </c>
      <c r="E115" s="18" t="str">
        <f>"Export technology - "&amp;Commodities!F37</f>
        <v>Export technology - Biodiesel G2</v>
      </c>
      <c r="F115" s="20" t="s">
        <v>62</v>
      </c>
      <c r="G115" s="18"/>
      <c r="H115" s="20"/>
      <c r="I115" s="20"/>
      <c r="J115" s="20"/>
      <c r="K115" s="3"/>
    </row>
    <row r="116" spans="1:11" s="7" customFormat="1">
      <c r="A116" s="3"/>
      <c r="B116" s="20"/>
      <c r="C116" s="22"/>
      <c r="D116" s="18" t="str">
        <f>$B$90&amp;Commodities!E38</f>
        <v>EXPDSE</v>
      </c>
      <c r="E116" s="18" t="str">
        <f>"Export technology - "&amp;Commodities!F38</f>
        <v>Export technology - Electro Diesel</v>
      </c>
      <c r="F116" s="20" t="s">
        <v>62</v>
      </c>
      <c r="G116" s="18"/>
      <c r="H116" s="20"/>
      <c r="I116" s="20"/>
      <c r="J116" s="20"/>
      <c r="K116" s="3"/>
    </row>
    <row r="117" spans="1:11" s="7" customFormat="1">
      <c r="A117" s="3"/>
      <c r="B117" s="20"/>
      <c r="C117" s="22"/>
      <c r="D117" s="18" t="str">
        <f>$B$90&amp;Commodities!E39</f>
        <v>EXPGSB1</v>
      </c>
      <c r="E117" s="18" t="str">
        <f>"Export technology - "&amp;Commodities!F39</f>
        <v>Export technology - Bioethanol G1</v>
      </c>
      <c r="F117" s="20" t="s">
        <v>62</v>
      </c>
      <c r="G117" s="18"/>
      <c r="H117" s="20"/>
      <c r="I117" s="20"/>
      <c r="J117" s="20"/>
      <c r="K117" s="3"/>
    </row>
    <row r="118" spans="1:11" s="7" customFormat="1">
      <c r="A118" s="3"/>
      <c r="B118" s="20"/>
      <c r="C118" s="22"/>
      <c r="D118" s="18" t="str">
        <f>$B$90&amp;Commodities!E40</f>
        <v>EXPGSB2</v>
      </c>
      <c r="E118" s="18" t="str">
        <f>"Export technology - "&amp;Commodities!F40</f>
        <v>Export technology - Bioethanol G2</v>
      </c>
      <c r="F118" s="20" t="s">
        <v>62</v>
      </c>
      <c r="G118" s="18"/>
      <c r="H118" s="20"/>
      <c r="I118" s="20"/>
      <c r="J118" s="20"/>
      <c r="K118" s="3"/>
    </row>
    <row r="119" spans="1:11" s="7" customFormat="1">
      <c r="A119" s="3"/>
      <c r="B119" s="20"/>
      <c r="C119" s="22"/>
      <c r="D119" s="18" t="str">
        <f>$B$90&amp;Commodities!E41</f>
        <v>EXPGSE</v>
      </c>
      <c r="E119" s="18" t="str">
        <f>"Export technology - "&amp;Commodities!F41</f>
        <v>Export technology - Electro Gasoline</v>
      </c>
      <c r="F119" s="20" t="s">
        <v>62</v>
      </c>
      <c r="G119" s="18"/>
      <c r="H119" s="20"/>
      <c r="I119" s="20"/>
      <c r="J119" s="20"/>
      <c r="K119" s="3"/>
    </row>
    <row r="120" spans="1:11" s="7" customFormat="1">
      <c r="A120" s="3"/>
      <c r="B120" s="20"/>
      <c r="C120" s="22"/>
      <c r="D120" s="18" t="str">
        <f>$B$90&amp;Commodities!E42</f>
        <v>EXPMOB1</v>
      </c>
      <c r="E120" s="18" t="str">
        <f>"Export technology - "&amp;Commodities!F42</f>
        <v>Export technology - Bio Methanol G1</v>
      </c>
      <c r="F120" s="20" t="s">
        <v>62</v>
      </c>
      <c r="G120" s="18"/>
      <c r="H120" s="20"/>
      <c r="I120" s="20"/>
      <c r="J120" s="20"/>
      <c r="K120" s="3"/>
    </row>
    <row r="121" spans="1:11" s="7" customFormat="1">
      <c r="A121" s="3"/>
      <c r="B121" s="20"/>
      <c r="C121" s="22"/>
      <c r="D121" s="18" t="str">
        <f>$B$90&amp;Commodities!E43</f>
        <v>EXPMOB2</v>
      </c>
      <c r="E121" s="18" t="str">
        <f>"Export technology - "&amp;Commodities!F43</f>
        <v>Export technology - Bio Methanol G2</v>
      </c>
      <c r="F121" s="20" t="s">
        <v>62</v>
      </c>
      <c r="G121" s="18"/>
      <c r="H121" s="20"/>
      <c r="I121" s="20"/>
      <c r="J121" s="20"/>
      <c r="K121" s="3"/>
    </row>
    <row r="122" spans="1:11" s="7" customFormat="1">
      <c r="A122" s="3"/>
      <c r="B122" s="20"/>
      <c r="C122" s="22"/>
      <c r="D122" s="18" t="str">
        <f>$B$90&amp;Commodities!E44</f>
        <v>EXPMOE</v>
      </c>
      <c r="E122" s="18" t="str">
        <f>"Export technology - "&amp;Commodities!F44</f>
        <v>Export technology - Electro Methanol</v>
      </c>
      <c r="F122" s="20" t="s">
        <v>62</v>
      </c>
      <c r="G122" s="18"/>
      <c r="H122" s="20"/>
      <c r="I122" s="20"/>
      <c r="J122" s="20"/>
      <c r="K122" s="3"/>
    </row>
    <row r="123" spans="1:11" s="7" customFormat="1">
      <c r="A123" s="3"/>
      <c r="B123" s="20"/>
      <c r="C123" s="22"/>
      <c r="D123" s="18" t="str">
        <f>$B$90&amp;Commodities!E66</f>
        <v>EXPLNB</v>
      </c>
      <c r="E123" s="18" t="str">
        <f>"Export technology - "&amp;Commodities!F66</f>
        <v>Export technology - Bio Naphtha (Petroleoum)</v>
      </c>
      <c r="F123" s="20" t="s">
        <v>62</v>
      </c>
      <c r="G123" s="18"/>
      <c r="H123" s="20"/>
      <c r="I123" s="20"/>
      <c r="J123" s="20"/>
      <c r="K123" s="3"/>
    </row>
    <row r="124" spans="1:11" s="7" customFormat="1">
      <c r="A124" s="3"/>
      <c r="B124" s="20"/>
      <c r="C124" s="22"/>
      <c r="D124" s="18" t="str">
        <f>$B$90&amp;Commodities!E67</f>
        <v>EXPGLY</v>
      </c>
      <c r="E124" s="18" t="str">
        <f>"Export technology - "&amp;Commodities!F67</f>
        <v>Export technology - Glycerol</v>
      </c>
      <c r="F124" s="20" t="s">
        <v>62</v>
      </c>
      <c r="G124" s="18"/>
      <c r="H124" s="20"/>
      <c r="I124" s="20"/>
      <c r="J124" s="20"/>
      <c r="K124" s="3"/>
    </row>
    <row r="125" spans="1:11" s="7" customFormat="1">
      <c r="A125" s="3"/>
      <c r="B125" s="20"/>
      <c r="C125" s="22"/>
      <c r="D125" s="18" t="str">
        <f>$B$90&amp;Commodities!E68</f>
        <v>EXPRPC</v>
      </c>
      <c r="E125" s="18" t="str">
        <f>"Export technology - "&amp;Commodities!F68</f>
        <v>Export technology - Rape Cake</v>
      </c>
      <c r="F125" s="20" t="s">
        <v>62</v>
      </c>
      <c r="G125" s="18"/>
      <c r="H125" s="20"/>
      <c r="I125" s="20"/>
      <c r="J125" s="20"/>
      <c r="K125" s="3"/>
    </row>
    <row r="126" spans="1:11" s="7" customFormat="1">
      <c r="A126" s="3"/>
      <c r="B126" s="20"/>
      <c r="C126" s="22"/>
      <c r="D126" s="18" t="str">
        <f>$B$90&amp;Commodities!E69</f>
        <v>EXPSGP</v>
      </c>
      <c r="E126" s="18" t="str">
        <f>"Export technology - "&amp;Commodities!F69</f>
        <v>Export technology - Sugar Beet Pulp</v>
      </c>
      <c r="F126" s="20" t="s">
        <v>62</v>
      </c>
      <c r="G126" s="18"/>
      <c r="H126" s="20"/>
      <c r="I126" s="20"/>
      <c r="J126" s="20"/>
      <c r="K126" s="3"/>
    </row>
    <row r="127" spans="1:11" s="7" customFormat="1">
      <c r="A127" s="3"/>
      <c r="B127" s="20"/>
      <c r="C127" s="22"/>
      <c r="D127" s="18" t="str">
        <f>$B$90&amp;Commodities!E65</f>
        <v>EXPOTH</v>
      </c>
      <c r="E127" s="18" t="str">
        <f>"Export technology - "&amp;Commodities!F65</f>
        <v>Export technology - Other non energy related commodities</v>
      </c>
      <c r="F127" s="20" t="s">
        <v>62</v>
      </c>
      <c r="G127" s="18"/>
      <c r="H127" s="20"/>
      <c r="I127" s="20"/>
      <c r="J127" s="20"/>
      <c r="K127" s="3"/>
    </row>
    <row r="128" spans="1:11" s="7" customFormat="1">
      <c r="A128" s="3"/>
      <c r="B128" s="20"/>
      <c r="C128" s="22"/>
      <c r="D128" s="398" t="s">
        <v>2164</v>
      </c>
      <c r="E128" s="398" t="s">
        <v>2168</v>
      </c>
      <c r="F128" s="20" t="s">
        <v>62</v>
      </c>
      <c r="G128" s="18"/>
      <c r="H128" s="20" t="s">
        <v>1672</v>
      </c>
      <c r="I128" s="20"/>
      <c r="J128" s="20"/>
      <c r="K128" s="3"/>
    </row>
    <row r="129" spans="1:11" s="7" customFormat="1">
      <c r="A129" s="3"/>
      <c r="B129" s="20"/>
      <c r="C129" s="22"/>
      <c r="D129" s="398" t="s">
        <v>2167</v>
      </c>
      <c r="E129" s="398" t="s">
        <v>2169</v>
      </c>
      <c r="F129" s="20" t="s">
        <v>62</v>
      </c>
      <c r="G129" s="18"/>
      <c r="H129" s="20" t="s">
        <v>1672</v>
      </c>
      <c r="I129" s="20"/>
      <c r="J129" s="20"/>
      <c r="K129" s="3"/>
    </row>
    <row r="130" spans="1:11" s="7" customFormat="1">
      <c r="A130" s="3"/>
      <c r="B130" s="20"/>
      <c r="C130" s="22"/>
      <c r="D130" s="398" t="s">
        <v>2151</v>
      </c>
      <c r="E130" s="398" t="s">
        <v>2137</v>
      </c>
      <c r="F130" s="20" t="s">
        <v>62</v>
      </c>
      <c r="G130" s="18"/>
      <c r="H130" s="20" t="s">
        <v>1672</v>
      </c>
      <c r="I130" s="20"/>
      <c r="J130" s="20"/>
      <c r="K130" s="3"/>
    </row>
    <row r="131" spans="1:11" s="7" customFormat="1">
      <c r="A131" s="3"/>
      <c r="B131" s="20"/>
      <c r="C131" s="22"/>
      <c r="D131" s="398" t="s">
        <v>2152</v>
      </c>
      <c r="E131" s="398" t="s">
        <v>2138</v>
      </c>
      <c r="F131" s="20" t="s">
        <v>62</v>
      </c>
      <c r="G131" s="18"/>
      <c r="H131" s="20" t="s">
        <v>1672</v>
      </c>
      <c r="I131" s="20"/>
      <c r="J131" s="20"/>
      <c r="K131" s="3"/>
    </row>
    <row r="132" spans="1:11" s="7" customFormat="1">
      <c r="A132" s="3"/>
      <c r="B132" s="20"/>
      <c r="C132" s="22"/>
      <c r="D132" s="398" t="s">
        <v>2153</v>
      </c>
      <c r="E132" s="398" t="s">
        <v>2139</v>
      </c>
      <c r="F132" s="20" t="s">
        <v>62</v>
      </c>
      <c r="G132" s="18"/>
      <c r="H132" s="20" t="s">
        <v>1672</v>
      </c>
      <c r="I132" s="20"/>
      <c r="J132" s="20"/>
      <c r="K132" s="3"/>
    </row>
    <row r="133" spans="1:11" s="7" customFormat="1">
      <c r="A133" s="3"/>
      <c r="B133" s="20"/>
      <c r="C133" s="22"/>
      <c r="D133" s="398" t="s">
        <v>2154</v>
      </c>
      <c r="E133" s="398" t="s">
        <v>2140</v>
      </c>
      <c r="F133" s="20" t="s">
        <v>62</v>
      </c>
      <c r="G133" s="18"/>
      <c r="H133" s="20" t="s">
        <v>1672</v>
      </c>
      <c r="I133" s="20"/>
      <c r="J133" s="20"/>
      <c r="K133" s="3"/>
    </row>
    <row r="134" spans="1:11" s="7" customFormat="1">
      <c r="A134" s="3"/>
      <c r="B134" s="20"/>
      <c r="C134" s="22"/>
      <c r="D134" s="398" t="s">
        <v>2155</v>
      </c>
      <c r="E134" s="398" t="s">
        <v>2141</v>
      </c>
      <c r="F134" s="20" t="s">
        <v>62</v>
      </c>
      <c r="G134" s="18"/>
      <c r="H134" s="20" t="s">
        <v>1672</v>
      </c>
      <c r="I134" s="20"/>
      <c r="J134" s="20"/>
      <c r="K134" s="3"/>
    </row>
    <row r="135" spans="1:11" s="7" customFormat="1">
      <c r="A135" s="3"/>
      <c r="B135" s="20"/>
      <c r="C135" s="22"/>
      <c r="D135" s="398" t="s">
        <v>2156</v>
      </c>
      <c r="E135" s="398" t="s">
        <v>2165</v>
      </c>
      <c r="F135" s="20" t="s">
        <v>62</v>
      </c>
      <c r="G135" s="18"/>
      <c r="H135" s="20" t="s">
        <v>1672</v>
      </c>
      <c r="I135" s="20"/>
      <c r="J135" s="20"/>
      <c r="K135" s="3"/>
    </row>
    <row r="136" spans="1:11" s="7" customFormat="1">
      <c r="A136" s="3"/>
      <c r="B136" s="20"/>
      <c r="C136" s="22"/>
      <c r="D136" s="398" t="s">
        <v>2157</v>
      </c>
      <c r="E136" s="398" t="s">
        <v>2142</v>
      </c>
      <c r="F136" s="20" t="s">
        <v>62</v>
      </c>
      <c r="G136" s="18"/>
      <c r="H136" s="20" t="s">
        <v>1672</v>
      </c>
      <c r="I136" s="20"/>
      <c r="J136" s="20"/>
      <c r="K136" s="3"/>
    </row>
    <row r="137" spans="1:11" s="7" customFormat="1">
      <c r="A137" s="3"/>
      <c r="B137" s="20"/>
      <c r="C137" s="22"/>
      <c r="D137" s="398" t="s">
        <v>2158</v>
      </c>
      <c r="E137" s="398" t="s">
        <v>2141</v>
      </c>
      <c r="F137" s="20" t="s">
        <v>62</v>
      </c>
      <c r="G137" s="18"/>
      <c r="H137" s="20" t="s">
        <v>1672</v>
      </c>
      <c r="I137" s="20"/>
      <c r="J137" s="20"/>
      <c r="K137" s="3"/>
    </row>
    <row r="138" spans="1:11" s="7" customFormat="1">
      <c r="A138" s="3"/>
      <c r="B138" s="20"/>
      <c r="C138" s="22"/>
      <c r="D138" s="398" t="s">
        <v>2162</v>
      </c>
      <c r="E138" s="398" t="s">
        <v>2174</v>
      </c>
      <c r="F138" s="20" t="s">
        <v>62</v>
      </c>
      <c r="G138" s="18"/>
      <c r="H138" s="20" t="s">
        <v>1672</v>
      </c>
      <c r="I138" s="20"/>
      <c r="J138" s="20"/>
      <c r="K138" s="3"/>
    </row>
    <row r="139" spans="1:11" s="7" customFormat="1">
      <c r="A139" s="3"/>
      <c r="B139" s="20"/>
      <c r="C139" s="22"/>
      <c r="D139" s="398" t="s">
        <v>2163</v>
      </c>
      <c r="E139" s="398" t="s">
        <v>2175</v>
      </c>
      <c r="F139" s="20" t="s">
        <v>62</v>
      </c>
      <c r="G139" s="18"/>
      <c r="H139" s="20" t="s">
        <v>1672</v>
      </c>
      <c r="I139" s="20"/>
      <c r="J139" s="20"/>
      <c r="K139" s="3"/>
    </row>
    <row r="140" spans="1:11" s="7" customFormat="1">
      <c r="A140" s="3"/>
      <c r="B140" s="20"/>
      <c r="C140" s="22"/>
      <c r="D140" s="398" t="s">
        <v>2170</v>
      </c>
      <c r="E140" s="398" t="s">
        <v>2169</v>
      </c>
      <c r="F140" s="20" t="s">
        <v>62</v>
      </c>
      <c r="G140" s="18"/>
      <c r="H140" s="20" t="s">
        <v>1672</v>
      </c>
    </row>
    <row r="141" spans="1:11" s="7" customFormat="1">
      <c r="A141" s="3"/>
      <c r="B141" s="20"/>
      <c r="C141" s="22"/>
      <c r="D141" s="398" t="s">
        <v>2156</v>
      </c>
      <c r="E141" s="398" t="s">
        <v>2176</v>
      </c>
      <c r="F141" s="20" t="s">
        <v>62</v>
      </c>
      <c r="G141" s="18"/>
      <c r="H141" s="20" t="s">
        <v>1672</v>
      </c>
      <c r="I141" s="20"/>
      <c r="J141" s="20"/>
      <c r="K141" s="3"/>
    </row>
    <row r="142" spans="1:11" s="7" customFormat="1">
      <c r="A142" s="3"/>
      <c r="B142" s="20"/>
      <c r="C142" s="22"/>
      <c r="D142" s="398" t="s">
        <v>2173</v>
      </c>
      <c r="E142" s="398" t="s">
        <v>2177</v>
      </c>
      <c r="F142" s="20" t="s">
        <v>62</v>
      </c>
      <c r="G142" s="18"/>
      <c r="H142" s="20" t="s">
        <v>1672</v>
      </c>
      <c r="I142" s="20"/>
      <c r="J142" s="20"/>
      <c r="K142" s="3"/>
    </row>
    <row r="143" spans="1:11" s="1262" customFormat="1">
      <c r="B143" s="1266" t="s">
        <v>143</v>
      </c>
      <c r="C143" s="1264"/>
      <c r="D143" s="1267" t="str">
        <f>"FT-"&amp;Commodities!E81</f>
        <v>FT-SUPELC</v>
      </c>
      <c r="E143" s="1267" t="str">
        <f>"FT technology - "&amp;Commodities!F81</f>
        <v>FT technology - Supply electricity</v>
      </c>
      <c r="F143" s="1266" t="s">
        <v>62</v>
      </c>
      <c r="G143" s="1265"/>
      <c r="H143" s="1268" t="s">
        <v>1672</v>
      </c>
      <c r="I143" s="1263"/>
      <c r="J143" s="1263"/>
    </row>
    <row r="144" spans="1:11" s="7" customFormat="1">
      <c r="A144" s="3"/>
      <c r="B144" s="20"/>
      <c r="C144" s="22"/>
      <c r="D144" s="484" t="str">
        <f>"FT-"&amp;Commodities!E82</f>
        <v>FT-SUPHETC</v>
      </c>
      <c r="E144" s="484" t="str">
        <f>"FT technology - "&amp;Commodities!F82</f>
        <v>FT technology - Supply Decentral district heating</v>
      </c>
      <c r="F144" s="398" t="s">
        <v>62</v>
      </c>
      <c r="G144" s="18"/>
      <c r="H144" s="481" t="s">
        <v>1672</v>
      </c>
      <c r="I144" s="20"/>
      <c r="J144" s="20"/>
      <c r="K144" s="3"/>
    </row>
    <row r="145" spans="1:11" s="7" customFormat="1">
      <c r="A145" s="3"/>
      <c r="B145" s="522"/>
      <c r="C145" s="551"/>
      <c r="D145" s="525" t="str">
        <f>"FT-"&amp;Commodities!E83</f>
        <v>FT-SUPHETD</v>
      </c>
      <c r="E145" s="525" t="str">
        <f>"FT technology - "&amp;Commodities!F83</f>
        <v>FT technology - Supply Central district heating</v>
      </c>
      <c r="F145" s="521" t="s">
        <v>62</v>
      </c>
      <c r="G145" s="544"/>
      <c r="H145" s="481" t="s">
        <v>1672</v>
      </c>
      <c r="I145" s="522"/>
      <c r="J145" s="20"/>
      <c r="K145" s="3"/>
    </row>
    <row r="146" spans="1:11" s="7" customFormat="1">
      <c r="A146" s="3"/>
      <c r="B146" s="398"/>
      <c r="C146" s="22"/>
      <c r="D146" s="484" t="str">
        <f>"FT-"&amp;Commodities!E84</f>
        <v>FT-SUPCOA</v>
      </c>
      <c r="E146" s="484" t="str">
        <f>"FT technology - "&amp;Commodities!F84</f>
        <v>FT technology - Supply Coal</v>
      </c>
      <c r="F146" s="398" t="s">
        <v>62</v>
      </c>
      <c r="G146" s="18"/>
      <c r="H146" s="20"/>
      <c r="I146" s="20"/>
      <c r="J146" s="20"/>
      <c r="K146" s="3"/>
    </row>
    <row r="147" spans="1:11" s="7" customFormat="1">
      <c r="A147" s="3"/>
      <c r="B147" s="20"/>
      <c r="C147" s="22"/>
      <c r="D147" s="484" t="str">
        <f>"FT-"&amp;Commodities!E85</f>
        <v>FT-SUPNGA</v>
      </c>
      <c r="E147" s="484" t="str">
        <f>"FT technology - "&amp;Commodities!F85</f>
        <v>FT technology - Supply Natural Gas</v>
      </c>
      <c r="F147" s="398" t="s">
        <v>62</v>
      </c>
      <c r="G147" s="18"/>
      <c r="H147" s="20"/>
      <c r="I147" s="20"/>
      <c r="J147" s="20"/>
      <c r="K147" s="3"/>
    </row>
    <row r="148" spans="1:11" s="7" customFormat="1">
      <c r="A148" s="3"/>
      <c r="B148" s="20"/>
      <c r="C148" s="22"/>
      <c r="D148" s="484" t="str">
        <f>"FT-"&amp;Commodities!E86</f>
        <v>FT-SUPCRD</v>
      </c>
      <c r="E148" s="484" t="str">
        <f>"FT technology - "&amp;Commodities!F86</f>
        <v>FT technology - Supply Crude Oil</v>
      </c>
      <c r="F148" s="398" t="s">
        <v>62</v>
      </c>
      <c r="G148" s="18"/>
      <c r="H148" s="20"/>
      <c r="I148" s="20"/>
      <c r="J148" s="20"/>
      <c r="K148" s="3"/>
    </row>
    <row r="149" spans="1:11" s="7" customFormat="1">
      <c r="A149" s="3"/>
      <c r="B149" s="20"/>
      <c r="C149" s="22"/>
      <c r="D149" s="484" t="str">
        <f>"FT-"&amp;Commodities!E87</f>
        <v>FT-SUPLPG</v>
      </c>
      <c r="E149" s="484" t="str">
        <f>"FT technology - "&amp;Commodities!F87</f>
        <v>FT technology - Supply Liquid petrol gas</v>
      </c>
      <c r="F149" s="398" t="s">
        <v>62</v>
      </c>
      <c r="G149" s="18"/>
      <c r="H149" s="20"/>
      <c r="I149" s="20"/>
      <c r="J149" s="20"/>
      <c r="K149" s="3"/>
    </row>
    <row r="150" spans="1:11" s="7" customFormat="1">
      <c r="A150" s="3"/>
      <c r="B150" s="20"/>
      <c r="C150" s="22"/>
      <c r="D150" s="484" t="str">
        <f>"FT-"&amp;Commodities!E88</f>
        <v>FT-SUPLVN</v>
      </c>
      <c r="E150" s="484" t="str">
        <f>"FT technology - "&amp;Commodities!F88</f>
        <v>FT technology - Supply Naphtha (Petroleoum)</v>
      </c>
      <c r="F150" s="398" t="s">
        <v>62</v>
      </c>
      <c r="G150" s="18"/>
      <c r="H150" s="20"/>
      <c r="I150" s="20"/>
      <c r="J150" s="20"/>
      <c r="K150" s="3"/>
    </row>
    <row r="151" spans="1:11" s="7" customFormat="1">
      <c r="A151" s="3"/>
      <c r="B151" s="20"/>
      <c r="C151" s="22"/>
      <c r="D151" s="484" t="str">
        <f>"FT-"&amp;Commodities!E89</f>
        <v>FT-SUPGSL</v>
      </c>
      <c r="E151" s="484" t="str">
        <f>"FT technology - "&amp;Commodities!F89</f>
        <v>FT technology - Supply Gasoline</v>
      </c>
      <c r="F151" s="398" t="s">
        <v>62</v>
      </c>
      <c r="G151" s="18"/>
      <c r="H151" s="20"/>
      <c r="I151" s="20"/>
      <c r="J151" s="20"/>
      <c r="K151" s="3"/>
    </row>
    <row r="152" spans="1:11" s="7" customFormat="1">
      <c r="A152" s="3"/>
      <c r="B152" s="20"/>
      <c r="C152" s="22"/>
      <c r="D152" s="484" t="str">
        <f>"FT-"&amp;Commodities!E90</f>
        <v>FT-SUPKER</v>
      </c>
      <c r="E152" s="484" t="str">
        <f>"FT technology - "&amp;Commodities!F90</f>
        <v>FT technology - Supply Kerosene</v>
      </c>
      <c r="F152" s="398" t="s">
        <v>62</v>
      </c>
      <c r="G152" s="18"/>
      <c r="H152" s="20"/>
      <c r="I152" s="20"/>
      <c r="J152" s="20"/>
      <c r="K152" s="3"/>
    </row>
    <row r="153" spans="1:11" s="7" customFormat="1">
      <c r="A153" s="3"/>
      <c r="B153" s="20"/>
      <c r="C153" s="22"/>
      <c r="D153" s="484" t="str">
        <f>"FT-"&amp;Commodities!E91</f>
        <v>FT-SUPDSL</v>
      </c>
      <c r="E153" s="484" t="str">
        <f>"FT technology - "&amp;Commodities!F91</f>
        <v>FT technology - Supply Diesel</v>
      </c>
      <c r="F153" s="398" t="s">
        <v>62</v>
      </c>
      <c r="G153" s="18"/>
      <c r="H153" s="20"/>
      <c r="I153" s="20"/>
      <c r="J153" s="20"/>
      <c r="K153" s="3"/>
    </row>
    <row r="154" spans="1:11" s="7" customFormat="1">
      <c r="A154" s="3"/>
      <c r="B154" s="20"/>
      <c r="C154" s="22"/>
      <c r="D154" s="484" t="str">
        <f>"FT-"&amp;Commodities!E92</f>
        <v>FT-SUPHFO</v>
      </c>
      <c r="E154" s="484" t="str">
        <f>"FT technology - "&amp;Commodities!F92</f>
        <v>FT technology - Supply Heavy Fuel Oil</v>
      </c>
      <c r="F154" s="398" t="s">
        <v>62</v>
      </c>
      <c r="G154" s="18"/>
      <c r="H154" s="20"/>
      <c r="I154" s="20"/>
      <c r="J154" s="20"/>
      <c r="K154" s="3"/>
    </row>
    <row r="155" spans="1:11">
      <c r="D155" s="484" t="str">
        <f>"FT-"&amp;Commodities!E93</f>
        <v>FT-SUPMGO</v>
      </c>
      <c r="E155" s="484" t="str">
        <f>"FT technology - "&amp;Commodities!F93</f>
        <v>FT technology - Supply Marine Gas Oil</v>
      </c>
      <c r="F155" s="398" t="s">
        <v>62</v>
      </c>
      <c r="G155" s="18"/>
      <c r="H155" s="15"/>
      <c r="I155" s="15"/>
      <c r="J155" s="15"/>
    </row>
    <row r="156" spans="1:11">
      <c r="D156" s="484" t="str">
        <f>"FT-"&amp;Commodities!E94</f>
        <v>FT-SUPAGSL</v>
      </c>
      <c r="E156" s="484" t="str">
        <f>"FT technology - "&amp;Commodities!F94</f>
        <v>FT technology - Supply Aviation gasoline</v>
      </c>
      <c r="F156" s="398" t="s">
        <v>62</v>
      </c>
      <c r="G156" s="18"/>
      <c r="H156" s="15"/>
      <c r="I156" s="15"/>
      <c r="J156" s="15"/>
    </row>
    <row r="157" spans="1:11">
      <c r="D157" s="484" t="str">
        <f>"FT-"&amp;Commodities!E95</f>
        <v>FT-SUPWST</v>
      </c>
      <c r="E157" s="484" t="str">
        <f>"FT technology - "&amp;Commodities!F95</f>
        <v>FT technology - Supply Waste</v>
      </c>
      <c r="F157" s="398" t="s">
        <v>62</v>
      </c>
      <c r="G157" s="18"/>
      <c r="H157" s="15"/>
      <c r="I157" s="15"/>
      <c r="J157" s="15"/>
    </row>
    <row r="158" spans="1:11">
      <c r="D158" s="484" t="str">
        <f>"FT-"&amp;Commodities!E96</f>
        <v>FT-SUPSTR</v>
      </c>
      <c r="E158" s="484" t="str">
        <f>"FT technology - "&amp;Commodities!F96</f>
        <v>FT technology - Supply Straw</v>
      </c>
      <c r="F158" s="398" t="s">
        <v>62</v>
      </c>
      <c r="G158" s="18"/>
      <c r="H158" s="15"/>
      <c r="I158" s="15"/>
      <c r="J158" s="15"/>
    </row>
    <row r="159" spans="1:11">
      <c r="D159" s="484" t="str">
        <f>"FT-"&amp;Commodities!E97</f>
        <v>FT-SUPGRS</v>
      </c>
      <c r="E159" s="484" t="str">
        <f>"FT technology - "&amp;Commodities!F97</f>
        <v>FT technology - Supply Grass</v>
      </c>
      <c r="F159" s="398" t="s">
        <v>62</v>
      </c>
      <c r="G159" s="18"/>
      <c r="H159" s="15"/>
      <c r="I159" s="15"/>
      <c r="J159" s="15"/>
    </row>
    <row r="160" spans="1:11">
      <c r="D160" s="484" t="str">
        <f>"FT-"&amp;Commodities!E98</f>
        <v>FT-SUPWPE</v>
      </c>
      <c r="E160" s="484" t="str">
        <f>"FT technology - "&amp;Commodities!F98</f>
        <v>FT technology - Supply Wood pellets</v>
      </c>
      <c r="F160" s="398" t="s">
        <v>62</v>
      </c>
      <c r="G160" s="18"/>
      <c r="H160" s="15"/>
      <c r="I160" s="15"/>
      <c r="J160" s="15"/>
    </row>
    <row r="161" spans="1:11">
      <c r="D161" s="484" t="str">
        <f>"FT-"&amp;Commodities!E99</f>
        <v>FT-SUPWCH</v>
      </c>
      <c r="E161" s="484" t="str">
        <f>"FT technology - "&amp;Commodities!F99</f>
        <v>FT technology - Supply Wood chips and wood waste</v>
      </c>
      <c r="F161" s="398" t="s">
        <v>62</v>
      </c>
      <c r="G161" s="18"/>
      <c r="H161" s="15"/>
      <c r="I161" s="15"/>
      <c r="J161" s="15"/>
    </row>
    <row r="162" spans="1:11">
      <c r="D162" s="484" t="str">
        <f>"FT-"&amp;Commodities!E100</f>
        <v>FT-SUPFIW</v>
      </c>
      <c r="E162" s="484" t="str">
        <f>"FT technology - "&amp;Commodities!F100</f>
        <v>FT technology - Supply Firewood</v>
      </c>
      <c r="F162" s="398" t="s">
        <v>62</v>
      </c>
      <c r="G162" s="18"/>
      <c r="H162" s="15"/>
      <c r="I162" s="15"/>
      <c r="J162" s="15"/>
    </row>
    <row r="163" spans="1:11">
      <c r="D163" s="484" t="str">
        <f>"FT-"&amp;Commodities!E101</f>
        <v>FT-SUPCRN</v>
      </c>
      <c r="E163" s="484" t="str">
        <f>"FT technology - "&amp;Commodities!F101</f>
        <v>FT technology - Supply Corn</v>
      </c>
      <c r="F163" s="398" t="s">
        <v>62</v>
      </c>
      <c r="G163" s="18"/>
      <c r="H163" s="15"/>
      <c r="I163" s="15"/>
      <c r="J163" s="15"/>
    </row>
    <row r="164" spans="1:11">
      <c r="D164" s="484" t="str">
        <f>"FT-"&amp;Commodities!E102</f>
        <v>FT-SUPRPS</v>
      </c>
      <c r="E164" s="484" t="str">
        <f>"FT technology - "&amp;Commodities!F102</f>
        <v>FT technology - Supply Rapeseed</v>
      </c>
      <c r="F164" s="398" t="s">
        <v>62</v>
      </c>
      <c r="G164" s="18"/>
      <c r="H164" s="15"/>
      <c r="I164" s="15"/>
      <c r="J164" s="15"/>
    </row>
    <row r="165" spans="1:11" s="404" customFormat="1">
      <c r="D165" s="484" t="str">
        <f>"FT-"&amp;Commodities!E103</f>
        <v>FT-SUPSGB</v>
      </c>
      <c r="E165" s="484" t="str">
        <f>"FT technology - "&amp;Commodities!F103</f>
        <v>FT technology - Supply Sugar Beet</v>
      </c>
      <c r="F165" s="398" t="s">
        <v>62</v>
      </c>
      <c r="G165" s="18"/>
      <c r="H165" s="481"/>
      <c r="I165" s="481"/>
      <c r="J165" s="481"/>
      <c r="K165" s="1"/>
    </row>
    <row r="166" spans="1:11">
      <c r="D166" s="484" t="str">
        <f>"FT-"&amp;Commodities!E104</f>
        <v>FT-SUPDLI</v>
      </c>
      <c r="E166" s="484" t="str">
        <f>"FT technology - "&amp;Commodities!F104</f>
        <v>FT technology - Supply Deep Litter</v>
      </c>
      <c r="F166" s="398" t="s">
        <v>62</v>
      </c>
      <c r="G166" s="18"/>
      <c r="H166" s="481"/>
      <c r="I166" s="481"/>
      <c r="J166" s="481"/>
      <c r="K166" s="1"/>
    </row>
    <row r="167" spans="1:11">
      <c r="D167" s="484" t="str">
        <f>"FT-"&amp;Commodities!E105</f>
        <v>FT-SUPMNR</v>
      </c>
      <c r="E167" s="484" t="str">
        <f>"FT technology - "&amp;Commodities!F105</f>
        <v>FT technology - Supply Manure (Gylle)</v>
      </c>
      <c r="F167" s="398" t="s">
        <v>62</v>
      </c>
      <c r="G167" s="18"/>
      <c r="H167" s="481"/>
      <c r="I167" s="481"/>
      <c r="J167" s="481"/>
      <c r="K167" s="1"/>
    </row>
    <row r="168" spans="1:11" s="484" customFormat="1">
      <c r="D168" s="484" t="str">
        <f>"FT-"&amp;Commodities!E106</f>
        <v>FT-SUPBGA</v>
      </c>
      <c r="E168" s="484" t="str">
        <f>"FT technology - "&amp;Commodities!F106</f>
        <v>FT technology - Supply Biogas</v>
      </c>
      <c r="F168" s="398" t="s">
        <v>62</v>
      </c>
      <c r="G168" s="398"/>
      <c r="H168" s="481"/>
      <c r="I168" s="481"/>
      <c r="J168" s="481"/>
      <c r="K168" s="1"/>
    </row>
    <row r="169" spans="1:11">
      <c r="D169" s="484" t="str">
        <f>"FT-"&amp;Commodities!E107</f>
        <v>FT-SUPHFB</v>
      </c>
      <c r="E169" s="484" t="str">
        <f>"FT technology - "&amp;Commodities!F107</f>
        <v>FT technology - Supply Heavy Fuel Bio Oil</v>
      </c>
      <c r="F169" s="398" t="s">
        <v>62</v>
      </c>
      <c r="G169" s="18"/>
      <c r="H169" s="481"/>
      <c r="I169" s="481"/>
      <c r="J169" s="481"/>
      <c r="K169" s="1"/>
    </row>
    <row r="170" spans="1:11" s="1" customFormat="1">
      <c r="D170" s="484" t="str">
        <f>"FT-"&amp;Commodities!E108</f>
        <v>FT-SUPDDGS</v>
      </c>
      <c r="E170" s="484" t="str">
        <f>"FT technology - "&amp;Commodities!F108</f>
        <v>FT technology - Supply Ethanol</v>
      </c>
      <c r="F170" s="398" t="s">
        <v>62</v>
      </c>
      <c r="G170" s="18"/>
      <c r="H170" s="481"/>
      <c r="I170" s="481"/>
      <c r="J170" s="481"/>
    </row>
    <row r="171" spans="1:11" s="1" customFormat="1">
      <c r="D171" s="484" t="str">
        <f>"FT-"&amp;Commodities!E109</f>
        <v>FT-SUPH2</v>
      </c>
      <c r="E171" s="484" t="str">
        <f>"FT technology - "&amp;Commodities!F109</f>
        <v>FT technology - Supply Hydrogen</v>
      </c>
      <c r="F171" s="398" t="s">
        <v>62</v>
      </c>
      <c r="G171" s="18"/>
      <c r="H171" s="481"/>
      <c r="I171" s="481"/>
      <c r="J171" s="481"/>
    </row>
    <row r="172" spans="1:11" s="1" customFormat="1">
      <c r="A172" s="3"/>
      <c r="D172" s="484" t="str">
        <f>"FT-"&amp;Commodities!E110</f>
        <v>FT-SUPH2G</v>
      </c>
      <c r="E172" s="484" t="str">
        <f>"FT technology - "&amp;Commodities!F110</f>
        <v>FT technology - Supply Hydrogen Gas</v>
      </c>
      <c r="F172" s="398" t="s">
        <v>62</v>
      </c>
      <c r="G172" s="18"/>
      <c r="H172" s="481"/>
      <c r="I172" s="481"/>
      <c r="J172" s="481"/>
    </row>
    <row r="173" spans="1:11" s="1" customFormat="1">
      <c r="A173" s="3"/>
      <c r="D173" s="484" t="str">
        <f>"FT-"&amp;Commodities!E111</f>
        <v>FT-SUPAMM</v>
      </c>
      <c r="E173" s="484" t="str">
        <f>"FT technology - "&amp;Commodities!F111</f>
        <v>FT technology - Supply Ammonia (Liquid)</v>
      </c>
      <c r="F173" s="398" t="s">
        <v>62</v>
      </c>
      <c r="G173" s="18"/>
      <c r="H173" s="481"/>
      <c r="I173" s="481"/>
      <c r="J173" s="481"/>
    </row>
    <row r="174" spans="1:11" s="1" customFormat="1">
      <c r="A174" s="3"/>
      <c r="D174" s="484" t="str">
        <f>"FT-"&amp;Commodities!E112</f>
        <v>FT-SUPDME</v>
      </c>
      <c r="E174" s="484" t="str">
        <f>"FT technology - "&amp;Commodities!F112</f>
        <v>FT technology - Supply Dimethyl ether</v>
      </c>
      <c r="F174" s="398" t="s">
        <v>62</v>
      </c>
      <c r="G174" s="18"/>
      <c r="H174" s="481"/>
      <c r="I174" s="481"/>
      <c r="J174" s="481"/>
    </row>
    <row r="175" spans="1:11" s="1" customFormat="1">
      <c r="A175" s="3"/>
      <c r="D175" s="484" t="str">
        <f>"FT-"&amp;Commodities!E113</f>
        <v>FT-SUPKRB</v>
      </c>
      <c r="E175" s="484" t="str">
        <f>"FT technology - "&amp;Commodities!F113</f>
        <v>FT technology - Supply Bio Kerosene</v>
      </c>
      <c r="F175" s="398" t="s">
        <v>62</v>
      </c>
      <c r="G175" s="18"/>
      <c r="H175" s="481"/>
      <c r="I175" s="481"/>
      <c r="J175" s="481"/>
    </row>
    <row r="176" spans="1:11" s="1" customFormat="1">
      <c r="A176" s="3"/>
      <c r="D176" s="484" t="str">
        <f>"FT-"&amp;Commodities!E114</f>
        <v>FT-SUPSNG</v>
      </c>
      <c r="E176" s="484" t="str">
        <f>"FT technology - "&amp;Commodities!F114</f>
        <v>FT technology - Supply Bio Synt. Nat. Gas</v>
      </c>
      <c r="F176" s="398" t="s">
        <v>62</v>
      </c>
      <c r="G176" s="18"/>
      <c r="H176" s="481"/>
      <c r="I176" s="481"/>
      <c r="J176" s="481"/>
    </row>
    <row r="177" spans="2:11">
      <c r="D177" s="484" t="str">
        <f>"FT-"&amp;Commodities!E115</f>
        <v>FT-SUPDSB</v>
      </c>
      <c r="E177" s="484" t="str">
        <f>"FT technology - "&amp;Commodities!F115</f>
        <v>FT technology - Supply Biodiesel</v>
      </c>
      <c r="F177" s="398" t="s">
        <v>62</v>
      </c>
      <c r="G177" s="18"/>
      <c r="H177" s="481"/>
      <c r="I177" s="481"/>
      <c r="J177" s="481"/>
      <c r="K177" s="1"/>
    </row>
    <row r="178" spans="2:11">
      <c r="D178" s="484" t="str">
        <f>"FT-"&amp;Commodities!E116</f>
        <v>FT-SUPGSB</v>
      </c>
      <c r="E178" s="484" t="str">
        <f>"FT technology - "&amp;Commodities!F116</f>
        <v>FT technology - Supply Bioethanol</v>
      </c>
      <c r="F178" s="398" t="s">
        <v>62</v>
      </c>
      <c r="G178" s="18"/>
      <c r="H178" s="481"/>
      <c r="I178" s="481"/>
      <c r="J178" s="481"/>
      <c r="K178" s="1"/>
    </row>
    <row r="179" spans="2:11">
      <c r="D179" s="484" t="str">
        <f>"FT-"&amp;Commodities!E117</f>
        <v>FT-SUPMOB</v>
      </c>
      <c r="E179" s="484" t="str">
        <f>"FT technology - "&amp;Commodities!F117</f>
        <v>FT technology - Supply Bio Methanol</v>
      </c>
      <c r="F179" s="398" t="s">
        <v>62</v>
      </c>
      <c r="G179" s="18"/>
      <c r="H179" s="481"/>
      <c r="I179" s="481"/>
      <c r="J179" s="481"/>
      <c r="K179" s="1"/>
    </row>
    <row r="180" spans="2:11">
      <c r="D180" s="588" t="s">
        <v>737</v>
      </c>
      <c r="E180" s="484" t="str">
        <f>"FT technology - "&amp;Commodities!F57</f>
        <v>FT technology - Mining Natural Gas</v>
      </c>
      <c r="F180" s="398" t="s">
        <v>62</v>
      </c>
      <c r="G180" s="18"/>
      <c r="H180" s="19"/>
      <c r="I180" s="19"/>
      <c r="J180" s="19"/>
    </row>
    <row r="181" spans="2:11">
      <c r="B181" s="1048"/>
      <c r="C181" s="1048"/>
      <c r="D181" s="1049" t="s">
        <v>738</v>
      </c>
      <c r="E181" s="1048" t="str">
        <f>"FT technology - "&amp;Commodities!F58</f>
        <v>FT technology - Mining Crude Oil</v>
      </c>
      <c r="F181" s="1050" t="s">
        <v>62</v>
      </c>
      <c r="G181" s="1051"/>
      <c r="H181" s="1052"/>
      <c r="I181" s="1052"/>
      <c r="J181" s="19"/>
    </row>
    <row r="182" spans="2:11" s="602" customFormat="1">
      <c r="B182" s="1"/>
      <c r="C182" s="1"/>
      <c r="D182" s="588" t="s">
        <v>1624</v>
      </c>
      <c r="E182" s="602" t="str">
        <f>E178 &amp;" 2020"</f>
        <v>FT technology - Supply Bioethanol 2020</v>
      </c>
      <c r="F182" s="398" t="s">
        <v>62</v>
      </c>
      <c r="G182" s="18"/>
      <c r="H182" s="481"/>
      <c r="I182" s="481"/>
      <c r="J182" s="481"/>
    </row>
    <row r="183" spans="2:11" s="602" customFormat="1">
      <c r="B183" s="1"/>
      <c r="C183" s="1"/>
      <c r="D183" s="1049" t="s">
        <v>1625</v>
      </c>
      <c r="E183" s="602" t="str">
        <f>E179 &amp;" 2020"</f>
        <v>FT technology - Supply Bio Methanol 2020</v>
      </c>
      <c r="F183" s="1050" t="s">
        <v>62</v>
      </c>
      <c r="G183" s="18"/>
      <c r="H183" s="481"/>
      <c r="I183" s="481"/>
      <c r="J183" s="481"/>
    </row>
    <row r="184" spans="2:11" s="602" customFormat="1">
      <c r="B184" s="1"/>
      <c r="C184" s="1"/>
      <c r="D184" s="588" t="s">
        <v>1634</v>
      </c>
      <c r="E184" s="602" t="str">
        <f>E180 &amp;" Electric"</f>
        <v>FT technology - Mining Natural Gas Electric</v>
      </c>
      <c r="F184" s="398" t="s">
        <v>62</v>
      </c>
      <c r="G184" s="18"/>
      <c r="H184" s="481"/>
      <c r="I184" s="481"/>
      <c r="J184" s="481"/>
    </row>
    <row r="185" spans="2:11" s="602" customFormat="1">
      <c r="B185" s="1"/>
      <c r="C185" s="1"/>
      <c r="D185" s="1049" t="s">
        <v>1635</v>
      </c>
      <c r="E185" s="602" t="str">
        <f>E181 &amp;" Electric"</f>
        <v>FT technology - Mining Crude Oil Electric</v>
      </c>
      <c r="F185" s="1050" t="s">
        <v>62</v>
      </c>
      <c r="G185" s="18"/>
      <c r="H185" s="481"/>
      <c r="I185" s="481"/>
      <c r="J185" s="481"/>
    </row>
    <row r="186" spans="2:11" s="602" customFormat="1">
      <c r="B186" s="1048"/>
      <c r="C186" s="1049" t="str">
        <f>Refineries!C8</f>
        <v>DE1</v>
      </c>
      <c r="D186" s="1049" t="str">
        <f>Refineries!B8</f>
        <v>SREFDE1</v>
      </c>
      <c r="E186" s="1049" t="str">
        <f>Refineries!D8</f>
        <v>Refinery Azerbaijan 1</v>
      </c>
      <c r="F186" s="1050" t="s">
        <v>62</v>
      </c>
      <c r="G186" s="1050" t="s">
        <v>1609</v>
      </c>
      <c r="H186" s="1048"/>
      <c r="I186" s="481"/>
      <c r="J186" s="481"/>
    </row>
    <row r="187" spans="2:11" s="602" customFormat="1">
      <c r="B187" s="1" t="s">
        <v>143</v>
      </c>
      <c r="C187" s="1"/>
      <c r="D187" s="402" t="str">
        <f>Distribution!B7</f>
        <v>FT-GRDELCHIGH</v>
      </c>
      <c r="E187" s="402" t="str">
        <f>Distribution!C7</f>
        <v>Power transmission line high voltage</v>
      </c>
      <c r="F187" s="398" t="s">
        <v>62</v>
      </c>
      <c r="G187" s="398" t="s">
        <v>1609</v>
      </c>
      <c r="H187" s="481" t="s">
        <v>1672</v>
      </c>
      <c r="I187" s="481"/>
      <c r="J187" s="481"/>
    </row>
    <row r="188" spans="2:11">
      <c r="D188" s="402" t="str">
        <f>Distribution!B8</f>
        <v>FT-GRDELCMID</v>
      </c>
      <c r="E188" s="402" t="str">
        <f>Distribution!C8</f>
        <v>Power transmission line medium voltage</v>
      </c>
      <c r="F188" s="398" t="s">
        <v>62</v>
      </c>
      <c r="G188" s="398" t="s">
        <v>1609</v>
      </c>
      <c r="H188" s="481" t="s">
        <v>1672</v>
      </c>
      <c r="I188" s="19"/>
      <c r="J188" s="19"/>
    </row>
    <row r="189" spans="2:11">
      <c r="D189" s="402" t="str">
        <f>Distribution!B9</f>
        <v>FT-GRDELCLOW</v>
      </c>
      <c r="E189" s="402" t="str">
        <f>Distribution!C9</f>
        <v>Power transmission line low voltage</v>
      </c>
      <c r="F189" s="398" t="s">
        <v>62</v>
      </c>
      <c r="G189" s="398" t="s">
        <v>1609</v>
      </c>
      <c r="H189" s="481" t="s">
        <v>1672</v>
      </c>
      <c r="I189" s="481"/>
      <c r="J189" s="481"/>
      <c r="K189" s="1"/>
    </row>
    <row r="190" spans="2:11" s="602" customFormat="1">
      <c r="D190" s="402" t="str">
        <f>Distribution!B10</f>
        <v>FT-GRDNGAT</v>
      </c>
      <c r="E190" s="402" t="str">
        <f>Distribution!C10</f>
        <v>Gas distribution grid transmission lines</v>
      </c>
      <c r="F190" s="398" t="s">
        <v>62</v>
      </c>
      <c r="G190" s="398" t="s">
        <v>1609</v>
      </c>
      <c r="H190" s="481"/>
      <c r="I190" s="481"/>
      <c r="J190" s="481"/>
      <c r="K190" s="1"/>
    </row>
    <row r="191" spans="2:11">
      <c r="D191" s="402" t="str">
        <f>Distribution!B11</f>
        <v>FT-GRDNGAD</v>
      </c>
      <c r="E191" s="402" t="str">
        <f>Distribution!C11</f>
        <v>Gas distribution grid distribution lines</v>
      </c>
      <c r="F191" s="398" t="s">
        <v>62</v>
      </c>
      <c r="G191" s="398" t="s">
        <v>1609</v>
      </c>
      <c r="H191" s="481"/>
      <c r="I191" s="481"/>
      <c r="J191" s="481"/>
      <c r="K191" s="1"/>
    </row>
    <row r="192" spans="2:11">
      <c r="D192" s="402" t="str">
        <f>Distribution!B12</f>
        <v>FT-GRDHETUPE</v>
      </c>
      <c r="E192" s="402" t="str">
        <f>Distribution!C12</f>
        <v>District heating distribution grid Urban lines existing</v>
      </c>
      <c r="F192" s="398" t="s">
        <v>62</v>
      </c>
      <c r="G192" s="398" t="s">
        <v>1609</v>
      </c>
      <c r="H192" s="481" t="s">
        <v>1672</v>
      </c>
      <c r="I192" s="481"/>
      <c r="J192" s="481"/>
      <c r="K192" s="1"/>
    </row>
    <row r="193" spans="1:11">
      <c r="D193" s="402" t="str">
        <f>Distribution!B13</f>
        <v>FT-GRDHETSPE</v>
      </c>
      <c r="E193" s="402" t="str">
        <f>Distribution!C13</f>
        <v>District heating distribution grid Suburban lines existing</v>
      </c>
      <c r="F193" s="398" t="s">
        <v>62</v>
      </c>
      <c r="G193" s="398" t="s">
        <v>1609</v>
      </c>
      <c r="H193" s="481" t="s">
        <v>1672</v>
      </c>
      <c r="I193" s="481"/>
      <c r="J193" s="481"/>
      <c r="K193" s="1"/>
    </row>
    <row r="194" spans="1:11">
      <c r="D194" s="402" t="str">
        <f>Distribution!B14</f>
        <v>FT-GRDHETRPE</v>
      </c>
      <c r="E194" s="402" t="str">
        <f>Distribution!C14</f>
        <v>District heating distribution grid Rural lines existing</v>
      </c>
      <c r="F194" s="398" t="s">
        <v>62</v>
      </c>
      <c r="G194" s="398" t="s">
        <v>1609</v>
      </c>
      <c r="H194" s="481" t="s">
        <v>1672</v>
      </c>
      <c r="I194" s="481"/>
      <c r="J194" s="481"/>
      <c r="K194" s="1"/>
    </row>
    <row r="195" spans="1:11">
      <c r="F195" s="1"/>
      <c r="G195" s="18"/>
      <c r="H195" s="481"/>
      <c r="I195" s="481"/>
      <c r="J195" s="481"/>
      <c r="K195" s="1"/>
    </row>
    <row r="196" spans="1:11">
      <c r="F196" s="1"/>
      <c r="G196" s="18"/>
      <c r="H196" s="481"/>
      <c r="I196" s="481"/>
      <c r="J196" s="481"/>
      <c r="K196" s="1"/>
    </row>
    <row r="197" spans="1:11">
      <c r="F197" s="1"/>
      <c r="G197" s="18"/>
      <c r="H197" s="481"/>
      <c r="I197" s="481"/>
      <c r="J197" s="481"/>
      <c r="K197" s="1"/>
    </row>
    <row r="198" spans="1:11">
      <c r="F198" s="1"/>
      <c r="G198" s="18"/>
      <c r="H198" s="481"/>
      <c r="I198" s="481"/>
      <c r="J198" s="481"/>
      <c r="K198" s="1"/>
    </row>
    <row r="199" spans="1:11" s="7" customFormat="1">
      <c r="A199" s="3"/>
      <c r="B199" s="20"/>
      <c r="C199" s="22"/>
      <c r="D199" s="398"/>
      <c r="E199" s="398"/>
      <c r="F199" s="20"/>
      <c r="G199" s="18"/>
      <c r="H199" s="20"/>
    </row>
    <row r="200" spans="1:11" s="7" customFormat="1">
      <c r="A200" s="3"/>
      <c r="B200" s="20"/>
      <c r="C200" s="22"/>
      <c r="D200" s="398"/>
      <c r="E200" s="398"/>
      <c r="F200" s="20"/>
      <c r="G200" s="18"/>
      <c r="H200" s="20"/>
    </row>
    <row r="201" spans="1:11" s="7" customFormat="1">
      <c r="A201" s="3"/>
      <c r="B201" s="20"/>
      <c r="C201" s="22"/>
      <c r="D201" s="398"/>
      <c r="E201" s="398"/>
      <c r="F201" s="20"/>
      <c r="G201" s="18"/>
      <c r="H201" s="20"/>
    </row>
    <row r="202" spans="1:11" s="7" customFormat="1">
      <c r="A202" s="3"/>
      <c r="B202" s="20"/>
      <c r="C202" s="22"/>
      <c r="D202" s="398"/>
      <c r="E202" s="398"/>
      <c r="F202" s="20"/>
      <c r="G202" s="18"/>
      <c r="H202" s="20"/>
    </row>
    <row r="203" spans="1:11" s="7" customFormat="1">
      <c r="A203" s="3"/>
      <c r="B203" s="20"/>
      <c r="C203" s="22"/>
      <c r="D203" s="398"/>
      <c r="E203" s="398"/>
      <c r="F203" s="20"/>
      <c r="G203" s="18"/>
      <c r="H203" s="20"/>
    </row>
    <row r="204" spans="1:11" s="7" customFormat="1">
      <c r="A204" s="3"/>
      <c r="B204" s="20"/>
      <c r="C204" s="22"/>
      <c r="D204" s="398"/>
      <c r="E204" s="398"/>
      <c r="F204" s="20"/>
      <c r="G204" s="18"/>
      <c r="H204" s="20"/>
    </row>
    <row r="205" spans="1:11" s="7" customFormat="1">
      <c r="A205" s="3"/>
      <c r="B205" s="20"/>
      <c r="C205" s="22"/>
      <c r="D205" s="398"/>
      <c r="E205" s="398"/>
      <c r="F205" s="20"/>
      <c r="G205" s="18"/>
      <c r="H205" s="20"/>
    </row>
    <row r="206" spans="1:11" s="7" customFormat="1">
      <c r="A206" s="3"/>
      <c r="B206" s="20"/>
      <c r="C206" s="22"/>
      <c r="D206" s="398"/>
      <c r="E206" s="398"/>
      <c r="F206" s="20"/>
      <c r="G206" s="18"/>
      <c r="H206" s="20"/>
    </row>
    <row r="207" spans="1:11" s="7" customFormat="1">
      <c r="A207" s="3"/>
      <c r="B207" s="20"/>
      <c r="C207" s="22"/>
      <c r="D207" s="398"/>
      <c r="E207" s="398"/>
      <c r="F207" s="20"/>
      <c r="G207" s="18"/>
      <c r="H207" s="20"/>
    </row>
    <row r="208" spans="1:11" s="7" customFormat="1">
      <c r="A208" s="3"/>
      <c r="B208" s="20"/>
      <c r="C208" s="22"/>
      <c r="D208" s="398"/>
      <c r="E208" s="398"/>
      <c r="F208" s="20"/>
      <c r="G208" s="18"/>
      <c r="H208" s="20"/>
    </row>
    <row r="209" spans="1:13" s="7" customFormat="1">
      <c r="A209" s="3"/>
      <c r="B209" s="20"/>
      <c r="C209" s="22"/>
      <c r="D209" s="398"/>
      <c r="E209" s="398"/>
      <c r="F209" s="20"/>
      <c r="G209" s="18"/>
      <c r="H209" s="20"/>
      <c r="I209" s="398"/>
      <c r="J209" s="398"/>
      <c r="K209" s="20"/>
      <c r="L209" s="18"/>
      <c r="M209" s="20"/>
    </row>
    <row r="210" spans="1:13" s="7" customFormat="1">
      <c r="A210" s="3"/>
      <c r="B210" s="20"/>
      <c r="C210" s="22"/>
      <c r="D210" s="398"/>
      <c r="E210" s="398"/>
      <c r="F210" s="20"/>
      <c r="G210" s="18"/>
      <c r="H210" s="20"/>
      <c r="I210" s="398"/>
      <c r="J210" s="398"/>
      <c r="K210" s="20"/>
      <c r="L210" s="18"/>
      <c r="M210" s="20"/>
    </row>
    <row r="211" spans="1:13" s="7" customFormat="1">
      <c r="A211" s="3"/>
      <c r="B211" s="20"/>
      <c r="C211" s="22"/>
      <c r="D211" s="398"/>
      <c r="E211" s="398"/>
      <c r="F211" s="20"/>
      <c r="G211" s="18"/>
      <c r="H211" s="20"/>
      <c r="I211" s="398"/>
      <c r="J211" s="398"/>
      <c r="K211" s="20"/>
      <c r="L211" s="18"/>
      <c r="M211" s="20"/>
    </row>
    <row r="212" spans="1:13" s="7" customFormat="1">
      <c r="A212" s="3"/>
      <c r="B212" s="20"/>
      <c r="C212" s="22"/>
      <c r="D212" s="398"/>
      <c r="E212" s="398"/>
      <c r="F212" s="20"/>
      <c r="G212" s="18"/>
      <c r="H212" s="20"/>
      <c r="I212" s="398"/>
      <c r="J212" s="398"/>
      <c r="K212" s="20"/>
      <c r="L212" s="18"/>
      <c r="M212" s="20"/>
    </row>
    <row r="213" spans="1:13" s="7" customFormat="1">
      <c r="A213" s="3"/>
      <c r="B213" s="20"/>
      <c r="C213" s="22"/>
      <c r="D213" s="398"/>
      <c r="E213" s="398"/>
      <c r="F213" s="20"/>
      <c r="G213" s="18"/>
      <c r="H213" s="20"/>
      <c r="I213" s="20"/>
      <c r="J213" s="20"/>
      <c r="K213" s="3"/>
    </row>
    <row r="214" spans="1:13" s="7" customFormat="1">
      <c r="A214" s="3"/>
      <c r="B214" s="20"/>
      <c r="C214" s="22"/>
      <c r="D214" s="398"/>
      <c r="E214" s="398"/>
      <c r="F214" s="20"/>
      <c r="G214" s="18"/>
      <c r="H214" s="20"/>
      <c r="I214" s="20"/>
      <c r="J214" s="20"/>
      <c r="K214" s="3"/>
    </row>
    <row r="215" spans="1:13" s="7" customFormat="1">
      <c r="A215" s="3"/>
      <c r="B215" s="20"/>
      <c r="C215" s="22"/>
      <c r="D215" s="398"/>
      <c r="E215" s="398"/>
      <c r="F215" s="20"/>
      <c r="G215" s="18"/>
      <c r="H215" s="20"/>
      <c r="I215" s="20"/>
      <c r="J215" s="20"/>
      <c r="K215" s="3"/>
    </row>
    <row r="216" spans="1:13" s="7" customFormat="1">
      <c r="A216" s="3"/>
      <c r="B216" s="20"/>
      <c r="C216" s="22"/>
      <c r="D216" s="398"/>
      <c r="E216" s="398"/>
      <c r="F216" s="20"/>
      <c r="G216" s="18"/>
      <c r="H216" s="20"/>
      <c r="I216" s="20"/>
      <c r="J216" s="20"/>
      <c r="K216" s="3"/>
    </row>
    <row r="217" spans="1:13" s="7" customFormat="1">
      <c r="A217" s="3"/>
      <c r="B217" s="20"/>
      <c r="C217" s="22"/>
      <c r="D217" s="398"/>
      <c r="E217" s="398"/>
      <c r="F217" s="20"/>
      <c r="G217" s="18"/>
      <c r="H217" s="20"/>
      <c r="I217" s="20"/>
      <c r="J217" s="20"/>
      <c r="K217" s="3"/>
    </row>
    <row r="218" spans="1:13" s="7" customFormat="1">
      <c r="A218" s="3"/>
      <c r="B218" s="20"/>
      <c r="C218" s="22"/>
      <c r="D218" s="398"/>
      <c r="E218" s="398"/>
      <c r="F218" s="20"/>
      <c r="G218" s="18"/>
      <c r="H218" s="20"/>
      <c r="I218" s="20"/>
      <c r="J218" s="20"/>
      <c r="K218" s="3"/>
    </row>
    <row r="219" spans="1:13" s="7" customFormat="1">
      <c r="A219" s="3"/>
      <c r="B219" s="20"/>
      <c r="C219" s="22"/>
      <c r="D219" s="398"/>
      <c r="E219" s="398"/>
      <c r="F219" s="20"/>
      <c r="G219" s="18"/>
      <c r="H219" s="20"/>
      <c r="I219" s="20"/>
      <c r="J219" s="20"/>
      <c r="K219" s="3"/>
    </row>
    <row r="220" spans="1:13" s="7" customFormat="1">
      <c r="A220" s="3"/>
      <c r="B220" s="20"/>
      <c r="C220" s="22"/>
      <c r="D220" s="398"/>
      <c r="E220" s="398"/>
      <c r="F220" s="20"/>
      <c r="G220" s="18"/>
      <c r="H220" s="20"/>
      <c r="I220" s="20"/>
      <c r="J220" s="20"/>
      <c r="K220" s="3"/>
    </row>
    <row r="221" spans="1:13" s="7" customFormat="1">
      <c r="A221" s="3"/>
      <c r="B221" s="20"/>
      <c r="C221" s="22"/>
      <c r="D221" s="398"/>
      <c r="E221" s="398"/>
      <c r="F221" s="20"/>
      <c r="G221" s="18"/>
      <c r="H221" s="20"/>
      <c r="I221" s="20"/>
      <c r="J221" s="20"/>
      <c r="K221" s="3"/>
    </row>
    <row r="222" spans="1:13" s="7" customFormat="1">
      <c r="A222" s="3"/>
      <c r="B222" s="20"/>
      <c r="C222" s="22"/>
      <c r="D222" s="398"/>
      <c r="E222" s="398"/>
      <c r="F222" s="20"/>
      <c r="G222" s="18"/>
      <c r="H222" s="20"/>
      <c r="I222" s="20"/>
      <c r="J222" s="20"/>
      <c r="K222" s="3"/>
    </row>
    <row r="223" spans="1:13">
      <c r="F223" s="1"/>
      <c r="G223" s="1"/>
      <c r="H223" s="1"/>
      <c r="I223" s="1"/>
      <c r="J223" s="1"/>
      <c r="K223" s="1"/>
    </row>
    <row r="224" spans="1:13">
      <c r="F224" s="1"/>
      <c r="G224" s="1"/>
      <c r="H224" s="1"/>
      <c r="I224" s="1"/>
      <c r="J224" s="1"/>
      <c r="K224" s="1"/>
    </row>
    <row r="225" spans="6:11">
      <c r="F225" s="1"/>
      <c r="G225" s="1"/>
      <c r="H225" s="1"/>
      <c r="I225" s="1"/>
      <c r="J225" s="1"/>
      <c r="K225" s="1"/>
    </row>
    <row r="226" spans="6:11">
      <c r="F226" s="1"/>
      <c r="G226" s="1"/>
      <c r="H226" s="1"/>
      <c r="I226" s="1"/>
      <c r="J226" s="1"/>
      <c r="K226" s="1"/>
    </row>
    <row r="227" spans="6:11">
      <c r="F227" s="1"/>
      <c r="G227" s="1"/>
      <c r="H227" s="1"/>
      <c r="I227" s="1"/>
      <c r="J227" s="1"/>
      <c r="K227" s="1"/>
    </row>
    <row r="228" spans="6:11">
      <c r="F228" s="1"/>
      <c r="G228" s="1"/>
      <c r="H228" s="1"/>
      <c r="I228" s="1"/>
      <c r="J228" s="1"/>
      <c r="K228" s="1"/>
    </row>
    <row r="229" spans="6:11">
      <c r="F229" s="1"/>
      <c r="G229" s="1"/>
      <c r="H229" s="1"/>
      <c r="I229" s="1"/>
      <c r="J229" s="1"/>
      <c r="K229" s="1"/>
    </row>
    <row r="230" spans="6:11">
      <c r="F230" s="1"/>
      <c r="G230" s="1"/>
      <c r="H230" s="1"/>
      <c r="I230" s="1"/>
      <c r="J230" s="1"/>
      <c r="K230" s="1"/>
    </row>
    <row r="231" spans="6:11">
      <c r="F231" s="1"/>
      <c r="G231" s="1"/>
      <c r="H231" s="1"/>
      <c r="I231" s="1"/>
      <c r="J231" s="1"/>
      <c r="K231" s="1"/>
    </row>
    <row r="232" spans="6:11">
      <c r="F232" s="1"/>
      <c r="G232" s="1"/>
      <c r="H232" s="1"/>
      <c r="I232" s="1"/>
      <c r="J232" s="1"/>
      <c r="K232" s="1"/>
    </row>
  </sheetData>
  <phoneticPr fontId="33" type="noConversion"/>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B3:Q67"/>
  <sheetViews>
    <sheetView tabSelected="1" topLeftCell="A16" workbookViewId="0">
      <selection activeCell="D21" sqref="D21"/>
    </sheetView>
  </sheetViews>
  <sheetFormatPr baseColWidth="10" defaultColWidth="8.83203125" defaultRowHeight="13"/>
  <cols>
    <col min="2" max="2" width="17.1640625" customWidth="1"/>
    <col min="3" max="3" width="36.6640625" customWidth="1"/>
    <col min="9" max="9" width="6.83203125" bestFit="1" customWidth="1"/>
  </cols>
  <sheetData>
    <row r="3" spans="2:17" ht="14">
      <c r="B3" s="9"/>
      <c r="C3" s="102"/>
      <c r="D3" s="102"/>
      <c r="E3" s="10" t="s">
        <v>7</v>
      </c>
      <c r="G3" s="102"/>
      <c r="H3" s="602"/>
      <c r="I3" s="602"/>
      <c r="J3" s="602"/>
    </row>
    <row r="4" spans="2:17" ht="30">
      <c r="B4" s="11" t="s">
        <v>1</v>
      </c>
      <c r="C4" s="11" t="s">
        <v>21</v>
      </c>
      <c r="D4" s="11" t="s">
        <v>81</v>
      </c>
      <c r="E4" s="103" t="s">
        <v>13</v>
      </c>
      <c r="F4" s="54" t="s">
        <v>82</v>
      </c>
      <c r="G4" s="11" t="s">
        <v>1655</v>
      </c>
      <c r="H4" s="11" t="s">
        <v>1787</v>
      </c>
      <c r="I4" s="11" t="s">
        <v>1788</v>
      </c>
      <c r="J4" s="1228" t="s">
        <v>63</v>
      </c>
      <c r="L4" s="1319"/>
      <c r="M4" s="602"/>
      <c r="N4" s="602"/>
      <c r="O4" s="602"/>
      <c r="P4" s="602"/>
      <c r="Q4" s="602"/>
    </row>
    <row r="5" spans="2:17" ht="16" thickBot="1">
      <c r="B5" s="104" t="s">
        <v>214</v>
      </c>
      <c r="C5" s="105"/>
      <c r="D5" s="105"/>
      <c r="E5" s="106"/>
      <c r="F5" s="107"/>
      <c r="G5" s="105"/>
      <c r="H5" s="105"/>
      <c r="I5" s="105"/>
      <c r="J5" s="105"/>
      <c r="L5" s="1320"/>
      <c r="M5" s="1321"/>
      <c r="N5" s="1321"/>
      <c r="O5" s="602"/>
      <c r="P5" s="602"/>
      <c r="Q5" s="602"/>
    </row>
    <row r="6" spans="2:17" ht="14" thickBot="1">
      <c r="B6" s="108" t="s">
        <v>22</v>
      </c>
      <c r="C6" s="109"/>
      <c r="D6" s="109"/>
      <c r="E6" s="109"/>
      <c r="F6" s="110"/>
      <c r="G6" s="109"/>
      <c r="H6" s="109"/>
      <c r="I6" s="109"/>
      <c r="J6" s="109"/>
      <c r="L6" s="1321"/>
      <c r="M6" s="249"/>
      <c r="N6" s="249"/>
      <c r="O6" s="602"/>
      <c r="P6" s="602"/>
      <c r="Q6" s="602"/>
    </row>
    <row r="7" spans="2:17">
      <c r="B7" s="524" t="s">
        <v>2161</v>
      </c>
      <c r="C7" s="602" t="str">
        <f>Processes!E56</f>
        <v xml:space="preserve">Import technology - Electricity to DE2 North </v>
      </c>
      <c r="D7" s="602"/>
      <c r="E7" s="602" t="s">
        <v>215</v>
      </c>
      <c r="F7" s="602">
        <v>1</v>
      </c>
      <c r="G7" s="602">
        <v>50</v>
      </c>
      <c r="H7" s="602">
        <v>0.95</v>
      </c>
      <c r="I7" s="1139">
        <f t="shared" ref="I7:I35" si="0">3.6*8760/1000000</f>
        <v>3.1536000000000002E-2</v>
      </c>
      <c r="J7" s="1296">
        <v>16</v>
      </c>
      <c r="L7" s="1321"/>
      <c r="M7" s="249"/>
      <c r="N7" s="249"/>
      <c r="O7" s="602"/>
      <c r="P7" s="602"/>
      <c r="Q7" s="602"/>
    </row>
    <row r="8" spans="2:17">
      <c r="B8" s="524" t="s">
        <v>2166</v>
      </c>
      <c r="C8" s="602" t="str">
        <f>Processes!E57</f>
        <v xml:space="preserve">Import technology - Electricity to DE2 North </v>
      </c>
      <c r="D8" s="602"/>
      <c r="E8" s="602" t="s">
        <v>215</v>
      </c>
      <c r="F8" s="602">
        <v>1</v>
      </c>
      <c r="G8" s="602">
        <v>50</v>
      </c>
      <c r="H8" s="602">
        <v>0.95</v>
      </c>
      <c r="I8" s="1139">
        <f t="shared" si="0"/>
        <v>3.1536000000000002E-2</v>
      </c>
      <c r="J8" s="1296">
        <v>16</v>
      </c>
      <c r="L8" s="602"/>
      <c r="M8" s="602"/>
      <c r="N8" s="602"/>
      <c r="O8" s="602"/>
      <c r="P8" s="602"/>
      <c r="Q8" s="602"/>
    </row>
    <row r="9" spans="2:17">
      <c r="B9" s="524" t="s">
        <v>2143</v>
      </c>
      <c r="C9" s="602" t="str">
        <f>Processes!E58</f>
        <v>Import technology - Electricity to DE3 East</v>
      </c>
      <c r="D9" s="602"/>
      <c r="E9" s="602" t="s">
        <v>215</v>
      </c>
      <c r="F9" s="602">
        <v>1</v>
      </c>
      <c r="G9" s="602">
        <v>50</v>
      </c>
      <c r="H9" s="602">
        <v>0.95</v>
      </c>
      <c r="I9" s="1139">
        <f t="shared" si="0"/>
        <v>3.1536000000000002E-2</v>
      </c>
      <c r="J9" s="1296">
        <v>16</v>
      </c>
      <c r="L9" s="602"/>
      <c r="M9" s="602"/>
      <c r="N9" s="602"/>
      <c r="O9" s="602"/>
      <c r="P9" s="602"/>
      <c r="Q9" s="602"/>
    </row>
    <row r="10" spans="2:17">
      <c r="B10" s="524" t="s">
        <v>2144</v>
      </c>
      <c r="C10" s="602" t="str">
        <f>Processes!E59</f>
        <v>Import technology - Electricity to DE4 South</v>
      </c>
      <c r="D10" s="602"/>
      <c r="E10" s="602" t="s">
        <v>215</v>
      </c>
      <c r="F10" s="602">
        <v>1</v>
      </c>
      <c r="G10" s="602">
        <v>50</v>
      </c>
      <c r="H10" s="602">
        <v>0.95</v>
      </c>
      <c r="I10" s="1139">
        <f t="shared" si="0"/>
        <v>3.1536000000000002E-2</v>
      </c>
      <c r="J10" s="1296">
        <v>16</v>
      </c>
      <c r="L10" s="602"/>
      <c r="M10" s="602"/>
      <c r="N10" s="602"/>
      <c r="O10" s="602"/>
      <c r="P10" s="602"/>
      <c r="Q10" s="602"/>
    </row>
    <row r="11" spans="2:17">
      <c r="B11" s="524" t="s">
        <v>2145</v>
      </c>
      <c r="C11" s="602" t="str">
        <f>Processes!E60</f>
        <v>Import technology - Electricity to DE4 South</v>
      </c>
      <c r="D11" s="602"/>
      <c r="E11" s="602" t="s">
        <v>215</v>
      </c>
      <c r="F11" s="602">
        <v>1</v>
      </c>
      <c r="G11" s="602">
        <v>50</v>
      </c>
      <c r="H11" s="602">
        <v>0.95</v>
      </c>
      <c r="I11" s="1139">
        <f t="shared" si="0"/>
        <v>3.1536000000000002E-2</v>
      </c>
      <c r="J11" s="1296">
        <v>16</v>
      </c>
    </row>
    <row r="12" spans="2:17">
      <c r="B12" s="524" t="s">
        <v>2146</v>
      </c>
      <c r="C12" s="602" t="str">
        <f>Processes!E61</f>
        <v>Import technology - Electricity to DE4 South</v>
      </c>
      <c r="D12" s="602"/>
      <c r="E12" s="602" t="s">
        <v>215</v>
      </c>
      <c r="F12" s="602">
        <v>1</v>
      </c>
      <c r="G12" s="602">
        <v>50</v>
      </c>
      <c r="H12" s="602">
        <v>0.95</v>
      </c>
      <c r="I12" s="1139">
        <f t="shared" si="0"/>
        <v>3.1536000000000002E-2</v>
      </c>
      <c r="J12" s="1296">
        <v>16</v>
      </c>
    </row>
    <row r="13" spans="2:17">
      <c r="B13" s="524" t="s">
        <v>2147</v>
      </c>
      <c r="C13" s="602" t="str">
        <f>Processes!E62</f>
        <v>Import technology - Electricity to DE4 South</v>
      </c>
      <c r="D13" s="602"/>
      <c r="E13" s="602" t="s">
        <v>215</v>
      </c>
      <c r="F13" s="602">
        <v>1</v>
      </c>
      <c r="G13" s="602">
        <v>50</v>
      </c>
      <c r="H13" s="602">
        <v>0.95</v>
      </c>
      <c r="I13" s="1139">
        <f t="shared" si="0"/>
        <v>3.1536000000000002E-2</v>
      </c>
      <c r="J13" s="1296">
        <v>16</v>
      </c>
    </row>
    <row r="14" spans="2:17">
      <c r="B14" s="524" t="s">
        <v>2148</v>
      </c>
      <c r="C14" s="602" t="str">
        <f>Processes!E63</f>
        <v>Import technology - Electricity to DE5 East</v>
      </c>
      <c r="D14" s="602"/>
      <c r="E14" s="602" t="s">
        <v>215</v>
      </c>
      <c r="F14" s="602">
        <v>1</v>
      </c>
      <c r="G14" s="602">
        <v>50</v>
      </c>
      <c r="H14" s="602">
        <v>0.95</v>
      </c>
      <c r="I14" s="1139">
        <f t="shared" si="0"/>
        <v>3.1536000000000002E-2</v>
      </c>
      <c r="J14" s="1296">
        <v>16</v>
      </c>
    </row>
    <row r="15" spans="2:17">
      <c r="B15" s="524" t="s">
        <v>2149</v>
      </c>
      <c r="C15" s="602" t="str">
        <f>Processes!E64</f>
        <v>Import technology - Electricity to DE5 East</v>
      </c>
      <c r="D15" s="602"/>
      <c r="E15" s="602" t="s">
        <v>215</v>
      </c>
      <c r="F15" s="602">
        <v>1</v>
      </c>
      <c r="G15" s="602">
        <v>50</v>
      </c>
      <c r="H15" s="602">
        <v>0.95</v>
      </c>
      <c r="I15" s="1139">
        <f t="shared" si="0"/>
        <v>3.1536000000000002E-2</v>
      </c>
      <c r="J15" s="1296">
        <v>16</v>
      </c>
    </row>
    <row r="16" spans="2:17">
      <c r="B16" s="524" t="s">
        <v>2150</v>
      </c>
      <c r="C16" s="602" t="str">
        <f>Processes!E65</f>
        <v>Import technology - Electricity to DE5 East</v>
      </c>
      <c r="D16" s="602"/>
      <c r="E16" s="602" t="s">
        <v>215</v>
      </c>
      <c r="F16" s="602">
        <v>1</v>
      </c>
      <c r="G16" s="602">
        <v>50</v>
      </c>
      <c r="H16" s="602">
        <v>0.95</v>
      </c>
      <c r="I16" s="1139">
        <f t="shared" si="0"/>
        <v>3.1536000000000002E-2</v>
      </c>
      <c r="J16" s="1296">
        <v>16</v>
      </c>
    </row>
    <row r="17" spans="2:10" s="602" customFormat="1">
      <c r="B17" s="524" t="s">
        <v>2159</v>
      </c>
      <c r="C17" s="602" t="str">
        <f>Processes!E66</f>
        <v>Import technology - Electricity to DE3 West</v>
      </c>
      <c r="E17" s="602" t="s">
        <v>215</v>
      </c>
      <c r="F17" s="602">
        <v>1</v>
      </c>
      <c r="G17" s="602">
        <v>50</v>
      </c>
      <c r="H17" s="602">
        <v>0.95</v>
      </c>
      <c r="I17" s="1139">
        <f t="shared" si="0"/>
        <v>3.1536000000000002E-2</v>
      </c>
      <c r="J17" s="1296">
        <v>16</v>
      </c>
    </row>
    <row r="18" spans="2:10" s="602" customFormat="1">
      <c r="B18" s="524" t="s">
        <v>2160</v>
      </c>
      <c r="C18" s="602" t="str">
        <f>Processes!E67</f>
        <v xml:space="preserve">Import technology - Electricity to DE2 North </v>
      </c>
      <c r="E18" s="602" t="s">
        <v>215</v>
      </c>
      <c r="F18" s="602">
        <v>1</v>
      </c>
      <c r="G18" s="602">
        <v>50</v>
      </c>
      <c r="H18" s="602">
        <v>0.95</v>
      </c>
      <c r="I18" s="1139">
        <f t="shared" si="0"/>
        <v>3.1536000000000002E-2</v>
      </c>
      <c r="J18" s="1296">
        <v>16</v>
      </c>
    </row>
    <row r="19" spans="2:10" s="602" customFormat="1">
      <c r="B19" s="1297" t="s">
        <v>2171</v>
      </c>
      <c r="C19" s="602" t="str">
        <f>Processes!E68</f>
        <v>Import technology - Electricity to DE5 East</v>
      </c>
      <c r="E19" s="602" t="s">
        <v>215</v>
      </c>
      <c r="F19" s="602">
        <v>1</v>
      </c>
      <c r="G19" s="602">
        <v>50</v>
      </c>
      <c r="H19" s="602">
        <v>0.95</v>
      </c>
      <c r="I19" s="1139">
        <f t="shared" si="0"/>
        <v>3.1536000000000002E-2</v>
      </c>
      <c r="J19" s="1296">
        <v>16</v>
      </c>
    </row>
    <row r="20" spans="2:10" s="602" customFormat="1">
      <c r="B20" s="1297" t="s">
        <v>2172</v>
      </c>
      <c r="C20" s="602" t="str">
        <f>Processes!E69</f>
        <v>Import technology - Electricity to DE5 East</v>
      </c>
      <c r="E20" s="602" t="s">
        <v>215</v>
      </c>
      <c r="F20" s="602">
        <v>1</v>
      </c>
      <c r="G20" s="602">
        <v>50</v>
      </c>
      <c r="H20" s="602">
        <v>0.95</v>
      </c>
      <c r="I20" s="1139">
        <f t="shared" si="0"/>
        <v>3.1536000000000002E-2</v>
      </c>
      <c r="J20" s="1296">
        <v>16</v>
      </c>
    </row>
    <row r="21" spans="2:10">
      <c r="B21" s="602" t="str">
        <f>Processes!D128</f>
        <v>EXPELC-DK1DE2</v>
      </c>
      <c r="C21" s="602" t="str">
        <f>Processes!E128</f>
        <v>Export technology - Electricity to Denmark1</v>
      </c>
      <c r="D21" s="602" t="s">
        <v>215</v>
      </c>
      <c r="E21" s="602"/>
      <c r="F21" s="602">
        <v>1</v>
      </c>
      <c r="G21" s="602">
        <v>50</v>
      </c>
      <c r="H21" s="602">
        <v>0.95</v>
      </c>
      <c r="I21" s="1139">
        <f t="shared" si="0"/>
        <v>3.1536000000000002E-2</v>
      </c>
      <c r="J21" s="602">
        <v>15</v>
      </c>
    </row>
    <row r="22" spans="2:10">
      <c r="B22" s="602" t="str">
        <f>Processes!D129</f>
        <v>EXPELC-SE4DE2</v>
      </c>
      <c r="C22" s="602" t="str">
        <f>Processes!E129</f>
        <v>Export technology - Electricity to Sweden4</v>
      </c>
      <c r="D22" s="602" t="s">
        <v>215</v>
      </c>
      <c r="E22" s="602"/>
      <c r="F22" s="602">
        <v>1</v>
      </c>
      <c r="G22" s="602">
        <v>50</v>
      </c>
      <c r="H22" s="602">
        <v>0.95</v>
      </c>
      <c r="I22" s="1139">
        <f t="shared" si="0"/>
        <v>3.1536000000000002E-2</v>
      </c>
      <c r="J22" s="602">
        <v>15</v>
      </c>
    </row>
    <row r="23" spans="2:10">
      <c r="B23" s="602" t="str">
        <f>Processes!D130</f>
        <v>EXPELC-NLDE3</v>
      </c>
      <c r="C23" s="602" t="str">
        <f>Processes!E130</f>
        <v>Export technology - Electricity to Holland</v>
      </c>
      <c r="D23" s="602" t="s">
        <v>215</v>
      </c>
      <c r="E23" s="602"/>
      <c r="F23" s="602">
        <v>1</v>
      </c>
      <c r="G23" s="602">
        <v>50</v>
      </c>
      <c r="H23" s="602">
        <v>0.95</v>
      </c>
      <c r="I23" s="1139">
        <f t="shared" si="0"/>
        <v>3.1536000000000002E-2</v>
      </c>
      <c r="J23" s="602">
        <v>15</v>
      </c>
    </row>
    <row r="24" spans="2:10">
      <c r="B24" s="602" t="str">
        <f>Processes!D131</f>
        <v>EXPELC-FRDE4</v>
      </c>
      <c r="C24" s="602" t="str">
        <f>Processes!E131</f>
        <v>Export technology - Electricity to France</v>
      </c>
      <c r="D24" s="602" t="s">
        <v>215</v>
      </c>
      <c r="E24" s="602"/>
      <c r="F24" s="602">
        <v>1</v>
      </c>
      <c r="G24" s="602">
        <v>50</v>
      </c>
      <c r="H24" s="602">
        <v>0.95</v>
      </c>
      <c r="I24" s="1139">
        <f t="shared" si="0"/>
        <v>3.1536000000000002E-2</v>
      </c>
      <c r="J24" s="602">
        <v>15</v>
      </c>
    </row>
    <row r="25" spans="2:10">
      <c r="B25" s="602" t="str">
        <f>Processes!D132</f>
        <v>EXPELC-CHDE4</v>
      </c>
      <c r="C25" s="602" t="str">
        <f>Processes!E132</f>
        <v>Export technology - Electricity to Switzerland</v>
      </c>
      <c r="D25" s="602" t="s">
        <v>215</v>
      </c>
      <c r="E25" s="602"/>
      <c r="F25" s="602">
        <v>1</v>
      </c>
      <c r="G25" s="602">
        <v>50</v>
      </c>
      <c r="H25" s="602">
        <v>0.95</v>
      </c>
      <c r="I25" s="1139">
        <f t="shared" si="0"/>
        <v>3.1536000000000002E-2</v>
      </c>
      <c r="J25" s="602">
        <v>15</v>
      </c>
    </row>
    <row r="26" spans="2:10">
      <c r="B26" s="602" t="str">
        <f>Processes!D133</f>
        <v>EXPELC-ATDE4</v>
      </c>
      <c r="C26" s="602" t="str">
        <f>Processes!E133</f>
        <v>Export technology - Electricity to Austria</v>
      </c>
      <c r="D26" s="602" t="s">
        <v>215</v>
      </c>
      <c r="E26" s="602"/>
      <c r="F26" s="602">
        <v>1</v>
      </c>
      <c r="G26" s="602">
        <v>50</v>
      </c>
      <c r="H26" s="602">
        <v>0.95</v>
      </c>
      <c r="I26" s="1139">
        <f t="shared" si="0"/>
        <v>3.1536000000000002E-2</v>
      </c>
      <c r="J26" s="602">
        <v>15</v>
      </c>
    </row>
    <row r="27" spans="2:10">
      <c r="B27" s="602" t="str">
        <f>Processes!D134</f>
        <v>EXPELC-CZDE4</v>
      </c>
      <c r="C27" s="602" t="str">
        <f>Processes!E134</f>
        <v>Export technology - Electricity to Czech</v>
      </c>
      <c r="D27" s="602" t="s">
        <v>215</v>
      </c>
      <c r="E27" s="602"/>
      <c r="F27" s="602">
        <v>1</v>
      </c>
      <c r="G27" s="602">
        <v>50</v>
      </c>
      <c r="H27" s="602">
        <v>0.95</v>
      </c>
      <c r="I27" s="1139">
        <f t="shared" si="0"/>
        <v>3.1536000000000002E-2</v>
      </c>
      <c r="J27" s="602">
        <v>15</v>
      </c>
    </row>
    <row r="28" spans="2:10">
      <c r="B28" s="602" t="str">
        <f>Processes!D135</f>
        <v>EXPELC-DK2DE5</v>
      </c>
      <c r="C28" s="602" t="str">
        <f>Processes!E135</f>
        <v>Export technology - Electricity to Denmark2</v>
      </c>
      <c r="D28" s="602" t="s">
        <v>215</v>
      </c>
      <c r="E28" s="602"/>
      <c r="F28" s="602">
        <v>1</v>
      </c>
      <c r="G28" s="602">
        <v>50</v>
      </c>
      <c r="H28" s="602">
        <v>0.95</v>
      </c>
      <c r="I28" s="1139">
        <f t="shared" si="0"/>
        <v>3.1536000000000002E-2</v>
      </c>
      <c r="J28" s="602">
        <v>15</v>
      </c>
    </row>
    <row r="29" spans="2:10">
      <c r="B29" s="602" t="str">
        <f>Processes!D136</f>
        <v>EXPELC-PLDE5</v>
      </c>
      <c r="C29" s="602" t="str">
        <f>Processes!E136</f>
        <v>Export technology - Electricity to Poland</v>
      </c>
      <c r="D29" s="602" t="s">
        <v>215</v>
      </c>
      <c r="E29" s="602"/>
      <c r="F29" s="602">
        <v>1</v>
      </c>
      <c r="G29" s="602">
        <v>50</v>
      </c>
      <c r="H29" s="602">
        <v>0.95</v>
      </c>
      <c r="I29" s="1139">
        <f t="shared" si="0"/>
        <v>3.1536000000000002E-2</v>
      </c>
      <c r="J29" s="602">
        <v>15</v>
      </c>
    </row>
    <row r="30" spans="2:10">
      <c r="B30" s="602" t="str">
        <f>Processes!D137</f>
        <v>EXPELC-CZDE5</v>
      </c>
      <c r="C30" s="602" t="str">
        <f>Processes!E137</f>
        <v>Export technology - Electricity to Czech</v>
      </c>
      <c r="D30" s="602" t="s">
        <v>215</v>
      </c>
      <c r="E30" s="602"/>
      <c r="F30" s="602">
        <v>1</v>
      </c>
      <c r="G30" s="602">
        <v>50</v>
      </c>
      <c r="H30" s="602">
        <v>0.95</v>
      </c>
      <c r="I30" s="1139">
        <f t="shared" si="0"/>
        <v>3.1536000000000002E-2</v>
      </c>
      <c r="J30" s="602">
        <v>15</v>
      </c>
    </row>
    <row r="31" spans="2:10">
      <c r="B31" s="602" t="str">
        <f>Processes!D138</f>
        <v>EXPELC-BEDE3</v>
      </c>
      <c r="C31" s="602" t="str">
        <f>Processes!E138</f>
        <v>Export technology - Electricity to Belgium</v>
      </c>
      <c r="D31" s="602" t="s">
        <v>215</v>
      </c>
      <c r="E31" s="602"/>
      <c r="F31" s="602">
        <v>1</v>
      </c>
      <c r="G31" s="602">
        <v>50</v>
      </c>
      <c r="H31" s="602">
        <v>0.95</v>
      </c>
      <c r="I31" s="1139">
        <f t="shared" si="0"/>
        <v>3.1536000000000002E-2</v>
      </c>
      <c r="J31" s="602">
        <v>15</v>
      </c>
    </row>
    <row r="32" spans="2:10">
      <c r="B32" s="602" t="str">
        <f>Processes!D139</f>
        <v>EXPELC-NODE2</v>
      </c>
      <c r="C32" s="602" t="str">
        <f>Processes!E139</f>
        <v>Export technology - Electricity to Norway</v>
      </c>
      <c r="D32" s="602" t="s">
        <v>215</v>
      </c>
      <c r="E32" s="602"/>
      <c r="F32" s="602">
        <v>1</v>
      </c>
      <c r="G32" s="602">
        <v>50</v>
      </c>
      <c r="H32" s="602">
        <v>0.95</v>
      </c>
      <c r="I32" s="1139">
        <f t="shared" si="0"/>
        <v>3.1536000000000002E-2</v>
      </c>
      <c r="J32" s="602">
        <v>15</v>
      </c>
    </row>
    <row r="33" spans="2:10">
      <c r="B33" s="602" t="str">
        <f>Processes!D140</f>
        <v>EXPELC-SE4DE5</v>
      </c>
      <c r="C33" s="602" t="str">
        <f>Processes!E140</f>
        <v>Export technology - Electricity to Sweden4</v>
      </c>
      <c r="D33" s="602" t="s">
        <v>215</v>
      </c>
      <c r="E33" s="602"/>
      <c r="F33" s="602">
        <v>1</v>
      </c>
      <c r="G33" s="602">
        <v>50</v>
      </c>
      <c r="H33" s="602">
        <v>0.95</v>
      </c>
      <c r="I33" s="1139">
        <f t="shared" si="0"/>
        <v>3.1536000000000002E-2</v>
      </c>
      <c r="J33" s="602">
        <v>15</v>
      </c>
    </row>
    <row r="34" spans="2:10">
      <c r="B34" s="602" t="str">
        <f>Processes!D141</f>
        <v>EXPELC-DK2DE5</v>
      </c>
      <c r="C34" s="602" t="str">
        <f>Processes!E141</f>
        <v xml:space="preserve">Export technology - Electricity to Denmark2 </v>
      </c>
      <c r="D34" s="602" t="s">
        <v>215</v>
      </c>
      <c r="E34" s="602"/>
      <c r="F34" s="602">
        <v>1</v>
      </c>
      <c r="G34" s="602">
        <v>50</v>
      </c>
      <c r="H34" s="602">
        <v>0.95</v>
      </c>
      <c r="I34" s="1139">
        <f t="shared" si="0"/>
        <v>3.1536000000000002E-2</v>
      </c>
      <c r="J34" s="602">
        <v>15</v>
      </c>
    </row>
    <row r="35" spans="2:10">
      <c r="B35" s="602" t="str">
        <f>Processes!D142</f>
        <v>EXPELC-UKDE3</v>
      </c>
      <c r="C35" s="602" t="str">
        <f>Processes!E142</f>
        <v>Export technology - Electricity to United Kingdom</v>
      </c>
      <c r="D35" s="602" t="s">
        <v>215</v>
      </c>
      <c r="E35" s="602"/>
      <c r="F35" s="602">
        <v>1</v>
      </c>
      <c r="G35" s="602">
        <v>50</v>
      </c>
      <c r="H35" s="602">
        <v>0.95</v>
      </c>
      <c r="I35" s="1139">
        <f t="shared" si="0"/>
        <v>3.1536000000000002E-2</v>
      </c>
      <c r="J35" s="602">
        <v>15</v>
      </c>
    </row>
    <row r="36" spans="2:10">
      <c r="B36" s="602"/>
      <c r="C36" s="602"/>
      <c r="D36" s="602"/>
      <c r="E36" s="602"/>
      <c r="F36" s="602"/>
      <c r="G36" s="602"/>
      <c r="H36" s="602"/>
      <c r="I36" s="1139"/>
      <c r="J36" s="602"/>
    </row>
    <row r="37" spans="2:10">
      <c r="B37" s="602"/>
      <c r="C37" s="602"/>
      <c r="D37" s="602"/>
      <c r="E37" s="602"/>
      <c r="F37" s="602"/>
      <c r="G37" s="602"/>
      <c r="H37" s="602"/>
      <c r="I37" s="1139"/>
      <c r="J37" s="602"/>
    </row>
    <row r="38" spans="2:10">
      <c r="B38" s="602"/>
      <c r="C38" s="602"/>
      <c r="D38" s="602"/>
      <c r="E38" s="602"/>
      <c r="F38" s="602"/>
      <c r="G38" s="602"/>
      <c r="H38" s="602"/>
      <c r="I38" s="1139"/>
      <c r="J38" s="602"/>
    </row>
    <row r="39" spans="2:10">
      <c r="B39" s="602"/>
      <c r="C39" s="602"/>
      <c r="D39" s="602"/>
      <c r="E39" s="602"/>
      <c r="F39" s="602"/>
      <c r="G39" s="602"/>
      <c r="H39" s="602"/>
      <c r="I39" s="1139"/>
      <c r="J39" s="602"/>
    </row>
    <row r="40" spans="2:10">
      <c r="B40" s="602"/>
      <c r="C40" s="602"/>
      <c r="D40" s="602"/>
      <c r="E40" s="602"/>
      <c r="F40" s="602"/>
      <c r="G40" s="602"/>
      <c r="H40" s="602"/>
      <c r="I40" s="1139"/>
      <c r="J40" s="602"/>
    </row>
    <row r="41" spans="2:10">
      <c r="B41" s="602"/>
      <c r="C41" s="602"/>
      <c r="D41" s="602"/>
      <c r="E41" s="602"/>
      <c r="F41" s="602"/>
      <c r="G41" s="602"/>
      <c r="H41" s="602"/>
      <c r="I41" s="1139"/>
      <c r="J41" s="602"/>
    </row>
    <row r="42" spans="2:10">
      <c r="B42" s="602"/>
      <c r="C42" s="602"/>
      <c r="D42" s="602"/>
      <c r="E42" s="602"/>
      <c r="F42" s="602"/>
      <c r="G42" s="602"/>
      <c r="H42" s="602"/>
      <c r="I42" s="1139"/>
      <c r="J42" s="602"/>
    </row>
    <row r="43" spans="2:10">
      <c r="B43" s="602"/>
      <c r="C43" s="602"/>
      <c r="D43" s="602"/>
      <c r="E43" s="602"/>
      <c r="F43" s="602"/>
      <c r="G43" s="602"/>
      <c r="H43" s="602"/>
      <c r="I43" s="1139"/>
      <c r="J43" s="602"/>
    </row>
    <row r="44" spans="2:10">
      <c r="B44" s="602"/>
      <c r="C44" s="602"/>
      <c r="D44" s="602"/>
      <c r="E44" s="602"/>
      <c r="F44" s="602"/>
      <c r="G44" s="602"/>
      <c r="H44" s="602"/>
      <c r="I44" s="1139"/>
      <c r="J44" s="602"/>
    </row>
    <row r="45" spans="2:10">
      <c r="B45" s="602"/>
      <c r="C45" s="602"/>
      <c r="D45" s="602"/>
      <c r="E45" s="602"/>
      <c r="F45" s="602"/>
      <c r="G45" s="602"/>
      <c r="H45" s="602"/>
      <c r="I45" s="1139"/>
      <c r="J45" s="602"/>
    </row>
    <row r="46" spans="2:10">
      <c r="B46" s="602"/>
      <c r="C46" s="602"/>
      <c r="D46" s="602"/>
      <c r="E46" s="602"/>
      <c r="F46" s="602"/>
      <c r="G46" s="602"/>
      <c r="H46" s="602"/>
      <c r="I46" s="1139"/>
      <c r="J46" s="602"/>
    </row>
    <row r="47" spans="2:10">
      <c r="B47" s="602"/>
      <c r="C47" s="602"/>
      <c r="D47" s="602"/>
      <c r="E47" s="602"/>
      <c r="F47" s="602"/>
      <c r="G47" s="602"/>
      <c r="H47" s="602"/>
      <c r="I47" s="1139"/>
      <c r="J47" s="602"/>
    </row>
    <row r="48" spans="2:10">
      <c r="B48" s="602"/>
      <c r="C48" s="602"/>
      <c r="D48" s="602"/>
      <c r="E48" s="602"/>
      <c r="F48" s="602"/>
      <c r="G48" s="602"/>
      <c r="H48" s="602"/>
      <c r="I48" s="1139"/>
      <c r="J48" s="602"/>
    </row>
    <row r="49" spans="2:10">
      <c r="B49" s="602"/>
      <c r="C49" s="602"/>
      <c r="D49" s="602"/>
      <c r="E49" s="602"/>
      <c r="F49" s="602"/>
      <c r="G49" s="602"/>
      <c r="H49" s="602"/>
      <c r="I49" s="1139"/>
      <c r="J49" s="602"/>
    </row>
    <row r="50" spans="2:10">
      <c r="B50" s="602"/>
      <c r="C50" s="602"/>
      <c r="D50" s="602"/>
      <c r="E50" s="602"/>
      <c r="F50" s="602"/>
      <c r="G50" s="602"/>
      <c r="H50" s="602"/>
      <c r="I50" s="1139"/>
      <c r="J50" s="602"/>
    </row>
    <row r="51" spans="2:10">
      <c r="B51" s="602"/>
      <c r="C51" s="602"/>
      <c r="D51" s="602"/>
      <c r="E51" s="602"/>
      <c r="F51" s="602"/>
      <c r="G51" s="602"/>
      <c r="H51" s="602"/>
      <c r="I51" s="1139"/>
      <c r="J51" s="602"/>
    </row>
    <row r="52" spans="2:10">
      <c r="B52" s="602"/>
      <c r="C52" s="602"/>
      <c r="D52" s="602"/>
      <c r="E52" s="602"/>
      <c r="F52" s="602"/>
      <c r="G52" s="602"/>
      <c r="H52" s="602"/>
      <c r="I52" s="1139"/>
      <c r="J52" s="602"/>
    </row>
    <row r="53" spans="2:10">
      <c r="B53" s="602"/>
      <c r="C53" s="602"/>
      <c r="D53" s="602"/>
      <c r="E53" s="602"/>
      <c r="F53" s="602"/>
      <c r="G53" s="602"/>
      <c r="H53" s="602"/>
      <c r="I53" s="1139"/>
      <c r="J53" s="602"/>
    </row>
    <row r="54" spans="2:10">
      <c r="B54" s="602"/>
      <c r="C54" s="602"/>
      <c r="D54" s="602"/>
      <c r="E54" s="602"/>
      <c r="F54" s="602"/>
      <c r="G54" s="602"/>
      <c r="H54" s="602"/>
      <c r="I54" s="1139"/>
      <c r="J54" s="602"/>
    </row>
    <row r="55" spans="2:10">
      <c r="B55" s="602"/>
      <c r="C55" s="602"/>
      <c r="D55" s="602"/>
      <c r="E55" s="602"/>
      <c r="F55" s="602"/>
      <c r="G55" s="602"/>
      <c r="H55" s="602"/>
      <c r="I55" s="1139"/>
      <c r="J55" s="602"/>
    </row>
    <row r="56" spans="2:10">
      <c r="B56" s="602"/>
      <c r="C56" s="602"/>
      <c r="D56" s="602"/>
      <c r="E56" s="602"/>
      <c r="F56" s="602"/>
      <c r="G56" s="602"/>
      <c r="H56" s="602"/>
      <c r="I56" s="1139"/>
      <c r="J56" s="602"/>
    </row>
    <row r="57" spans="2:10">
      <c r="B57" s="602"/>
      <c r="C57" s="602"/>
      <c r="D57" s="602"/>
      <c r="E57" s="602"/>
      <c r="F57" s="602"/>
      <c r="G57" s="602"/>
      <c r="H57" s="602"/>
      <c r="I57" s="1139"/>
      <c r="J57" s="602"/>
    </row>
    <row r="58" spans="2:10">
      <c r="B58" s="602"/>
      <c r="C58" s="602"/>
      <c r="D58" s="602"/>
      <c r="E58" s="602"/>
      <c r="F58" s="602"/>
      <c r="G58" s="602"/>
      <c r="H58" s="602"/>
      <c r="I58" s="1139"/>
      <c r="J58" s="602"/>
    </row>
    <row r="59" spans="2:10">
      <c r="B59" s="602"/>
      <c r="C59" s="602"/>
      <c r="D59" s="602"/>
      <c r="E59" s="602"/>
      <c r="F59" s="602"/>
      <c r="G59" s="602"/>
      <c r="H59" s="602"/>
      <c r="I59" s="1139"/>
      <c r="J59" s="602"/>
    </row>
    <row r="60" spans="2:10">
      <c r="B60" s="602"/>
      <c r="C60" s="602"/>
      <c r="D60" s="602"/>
      <c r="E60" s="602"/>
      <c r="F60" s="602"/>
      <c r="G60" s="602"/>
      <c r="H60" s="602"/>
      <c r="I60" s="1139"/>
      <c r="J60" s="602"/>
    </row>
    <row r="61" spans="2:10">
      <c r="B61" s="602"/>
      <c r="C61" s="602"/>
      <c r="D61" s="602"/>
      <c r="E61" s="602"/>
      <c r="F61" s="602"/>
      <c r="G61" s="602"/>
      <c r="H61" s="602"/>
      <c r="I61" s="1139"/>
      <c r="J61" s="602"/>
    </row>
    <row r="62" spans="2:10">
      <c r="B62" s="602"/>
      <c r="C62" s="602"/>
      <c r="D62" s="602"/>
      <c r="E62" s="602"/>
      <c r="F62" s="602"/>
      <c r="G62" s="602"/>
      <c r="H62" s="602"/>
      <c r="I62" s="1139"/>
      <c r="J62" s="602"/>
    </row>
    <row r="63" spans="2:10">
      <c r="B63" s="602"/>
      <c r="C63" s="602"/>
      <c r="D63" s="602"/>
      <c r="E63" s="602"/>
      <c r="F63" s="602"/>
      <c r="G63" s="602"/>
      <c r="H63" s="602"/>
      <c r="I63" s="1139"/>
      <c r="J63" s="602"/>
    </row>
    <row r="64" spans="2:10">
      <c r="B64" s="602"/>
      <c r="C64" s="602"/>
      <c r="D64" s="602"/>
      <c r="E64" s="602"/>
      <c r="F64" s="602"/>
      <c r="G64" s="602"/>
      <c r="H64" s="602"/>
      <c r="I64" s="1139"/>
      <c r="J64" s="602"/>
    </row>
    <row r="65" spans="2:10">
      <c r="B65" s="602"/>
      <c r="C65" s="602"/>
      <c r="D65" s="602"/>
      <c r="E65" s="602"/>
      <c r="F65" s="602"/>
      <c r="G65" s="602"/>
      <c r="H65" s="602"/>
      <c r="I65" s="1139"/>
      <c r="J65" s="602"/>
    </row>
    <row r="66" spans="2:10">
      <c r="B66" s="602"/>
      <c r="C66" s="602"/>
      <c r="D66" s="602"/>
      <c r="E66" s="602"/>
      <c r="F66" s="602"/>
      <c r="G66" s="602"/>
      <c r="H66" s="602"/>
      <c r="I66" s="1139"/>
      <c r="J66" s="602"/>
    </row>
    <row r="67" spans="2:10">
      <c r="B67" s="602"/>
      <c r="C67" s="602"/>
      <c r="D67" s="602"/>
      <c r="E67" s="602"/>
      <c r="F67" s="602"/>
      <c r="G67" s="602"/>
      <c r="H67" s="602"/>
      <c r="I67" s="1139"/>
      <c r="J67" s="60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B3:AT34"/>
  <sheetViews>
    <sheetView topLeftCell="B1" workbookViewId="0">
      <selection activeCell="O4" sqref="O4"/>
    </sheetView>
  </sheetViews>
  <sheetFormatPr baseColWidth="10" defaultColWidth="8.83203125" defaultRowHeight="13"/>
  <cols>
    <col min="1" max="1" width="8.83203125" style="606"/>
    <col min="2" max="2" width="15.83203125" style="606" bestFit="1" customWidth="1"/>
    <col min="3" max="3" width="30.1640625" style="606" bestFit="1" customWidth="1"/>
    <col min="4" max="5" width="8.83203125" style="606"/>
    <col min="6" max="6" width="8.5" style="606" bestFit="1" customWidth="1"/>
    <col min="7" max="7" width="9.83203125" style="606" customWidth="1"/>
    <col min="8" max="8" width="14.6640625" style="606" customWidth="1"/>
    <col min="9" max="9" width="6.83203125" style="606" customWidth="1"/>
    <col min="10" max="10" width="12.83203125" style="606" customWidth="1"/>
    <col min="11" max="11" width="13.1640625" style="606" customWidth="1"/>
    <col min="12" max="12" width="12.5" style="606" customWidth="1"/>
    <col min="13" max="16" width="6.83203125" style="606" customWidth="1"/>
    <col min="17" max="17" width="13.33203125" style="606" customWidth="1"/>
    <col min="18" max="21" width="6.83203125" style="606" customWidth="1"/>
    <col min="22" max="22" width="11.6640625" style="606" customWidth="1"/>
    <col min="23" max="23" width="8.83203125" style="606"/>
    <col min="24" max="24" width="12.5" style="606" bestFit="1" customWidth="1"/>
    <col min="25" max="25" width="9.5" style="606" bestFit="1" customWidth="1"/>
    <col min="26" max="26" width="17.5" style="606" customWidth="1"/>
    <col min="27" max="28" width="19.5" style="606" bestFit="1" customWidth="1"/>
    <col min="29" max="29" width="19.5" style="606" customWidth="1"/>
    <col min="30" max="30" width="8.83203125" style="606"/>
    <col min="31" max="31" width="9.6640625" style="606" customWidth="1"/>
    <col min="32" max="32" width="11.1640625" style="606" customWidth="1"/>
    <col min="33" max="33" width="8.83203125" style="606"/>
    <col min="34" max="34" width="9.83203125" style="606" bestFit="1" customWidth="1"/>
    <col min="35" max="16384" width="8.83203125" style="606"/>
  </cols>
  <sheetData>
    <row r="3" spans="2:46" ht="14">
      <c r="C3" s="1294"/>
      <c r="D3" s="1294"/>
      <c r="F3" s="609" t="s">
        <v>7</v>
      </c>
    </row>
    <row r="4" spans="2:46" ht="45">
      <c r="B4" s="610" t="s">
        <v>1</v>
      </c>
      <c r="C4" s="610" t="s">
        <v>21</v>
      </c>
      <c r="D4" s="610" t="s">
        <v>81</v>
      </c>
      <c r="E4" s="1293" t="s">
        <v>13</v>
      </c>
      <c r="F4" s="610" t="s">
        <v>205</v>
      </c>
      <c r="G4" s="1292" t="s">
        <v>82</v>
      </c>
      <c r="H4" s="1292" t="s">
        <v>2179</v>
      </c>
      <c r="I4" s="1292" t="s">
        <v>2180</v>
      </c>
      <c r="J4" s="1292" t="s">
        <v>2181</v>
      </c>
      <c r="K4" s="1292" t="s">
        <v>2190</v>
      </c>
      <c r="L4" s="1292" t="s">
        <v>2191</v>
      </c>
      <c r="M4" s="1292" t="s">
        <v>2182</v>
      </c>
      <c r="N4" s="1292" t="s">
        <v>2183</v>
      </c>
      <c r="O4" s="1292" t="s">
        <v>2184</v>
      </c>
      <c r="P4" s="1292" t="s">
        <v>2192</v>
      </c>
      <c r="Q4" s="1292" t="s">
        <v>2193</v>
      </c>
      <c r="R4" s="1292" t="s">
        <v>2185</v>
      </c>
      <c r="S4" s="1292" t="s">
        <v>2186</v>
      </c>
      <c r="T4" s="1292" t="s">
        <v>2187</v>
      </c>
      <c r="U4" s="1292" t="s">
        <v>2194</v>
      </c>
      <c r="V4" s="1292" t="s">
        <v>2195</v>
      </c>
      <c r="W4" s="1291" t="s">
        <v>1655</v>
      </c>
      <c r="X4" s="610" t="s">
        <v>1654</v>
      </c>
      <c r="Y4" s="1290" t="s">
        <v>1653</v>
      </c>
      <c r="Z4" s="1290" t="s">
        <v>1652</v>
      </c>
      <c r="AA4" s="1290" t="s">
        <v>83</v>
      </c>
      <c r="AB4" s="1289" t="s">
        <v>1859</v>
      </c>
      <c r="AC4" s="1289" t="s">
        <v>1858</v>
      </c>
      <c r="AD4" s="1289" t="s">
        <v>1857</v>
      </c>
      <c r="AE4" s="1289" t="s">
        <v>1868</v>
      </c>
      <c r="AF4" s="1289" t="s">
        <v>1869</v>
      </c>
      <c r="AH4" s="1287" t="s">
        <v>1770</v>
      </c>
      <c r="AI4" s="606" t="s">
        <v>1673</v>
      </c>
      <c r="AJ4" s="1288"/>
      <c r="AK4" s="1288"/>
      <c r="AL4" s="1287"/>
      <c r="AM4" s="1287"/>
      <c r="AN4" s="1287"/>
      <c r="AO4" s="1287"/>
      <c r="AP4" s="606" t="s">
        <v>1666</v>
      </c>
    </row>
    <row r="5" spans="2:46" ht="27" thickBot="1">
      <c r="B5" s="1286" t="s">
        <v>214</v>
      </c>
      <c r="C5" s="1284"/>
      <c r="D5" s="1284"/>
      <c r="E5" s="1285"/>
      <c r="F5" s="1284"/>
      <c r="G5" s="1283"/>
      <c r="H5" s="1283"/>
      <c r="I5" s="1283"/>
      <c r="J5" s="1283"/>
      <c r="K5" s="1283"/>
      <c r="L5" s="1283"/>
      <c r="M5" s="1283"/>
      <c r="N5" s="1283"/>
      <c r="O5" s="1283"/>
      <c r="P5" s="1283"/>
      <c r="Q5" s="1283"/>
      <c r="R5" s="1283"/>
      <c r="S5" s="1283"/>
      <c r="T5" s="1283"/>
      <c r="U5" s="1283"/>
      <c r="V5" s="1283"/>
      <c r="W5" s="1283"/>
      <c r="X5" s="1283" t="s">
        <v>1681</v>
      </c>
      <c r="Y5" s="1283"/>
      <c r="Z5" s="1283" t="s">
        <v>1675</v>
      </c>
      <c r="AA5" s="1283" t="s">
        <v>1682</v>
      </c>
      <c r="AB5" s="1283" t="s">
        <v>1769</v>
      </c>
      <c r="AC5" s="1283" t="s">
        <v>1769</v>
      </c>
      <c r="AD5" s="1283" t="s">
        <v>1769</v>
      </c>
      <c r="AE5" s="1282"/>
      <c r="AF5" s="1282"/>
      <c r="AI5" s="1281" t="s">
        <v>1674</v>
      </c>
      <c r="AJ5" s="1280"/>
      <c r="AK5" s="1280"/>
      <c r="AL5" s="1280"/>
      <c r="AM5" s="1280"/>
      <c r="AN5" s="1280"/>
      <c r="AO5" s="1280"/>
    </row>
    <row r="6" spans="2:46" ht="14" thickBot="1">
      <c r="B6" s="1279" t="s">
        <v>22</v>
      </c>
      <c r="C6" s="1276"/>
      <c r="D6" s="1276"/>
      <c r="E6" s="1276"/>
      <c r="F6" s="1277"/>
      <c r="G6" s="1278"/>
      <c r="H6" s="1278"/>
      <c r="I6" s="1278"/>
      <c r="J6" s="1278"/>
      <c r="K6" s="1278"/>
      <c r="L6" s="1278"/>
      <c r="M6" s="1278"/>
      <c r="N6" s="1278"/>
      <c r="O6" s="1278"/>
      <c r="P6" s="1278"/>
      <c r="Q6" s="1278"/>
      <c r="R6" s="1278"/>
      <c r="S6" s="1278"/>
      <c r="T6" s="1278"/>
      <c r="U6" s="1278"/>
      <c r="V6" s="1278"/>
      <c r="W6" s="1278"/>
      <c r="X6" s="1277"/>
      <c r="Y6" s="1276"/>
      <c r="Z6" s="1276" t="s">
        <v>1676</v>
      </c>
      <c r="AA6" s="1276" t="s">
        <v>1683</v>
      </c>
      <c r="AB6" s="1276" t="s">
        <v>1767</v>
      </c>
      <c r="AC6" s="1276" t="s">
        <v>1767</v>
      </c>
      <c r="AD6" s="1276" t="s">
        <v>1767</v>
      </c>
      <c r="AE6" s="1275"/>
      <c r="AF6" s="1275"/>
      <c r="AH6" s="1274" t="s">
        <v>1771</v>
      </c>
      <c r="AI6" s="606" t="s">
        <v>89</v>
      </c>
      <c r="AJ6" s="1274" t="s">
        <v>1778</v>
      </c>
      <c r="AK6" s="1274"/>
      <c r="AL6" s="1274"/>
      <c r="AM6" s="1274"/>
      <c r="AN6" s="1274"/>
      <c r="AO6" s="1274"/>
      <c r="AS6" s="606" t="s">
        <v>1668</v>
      </c>
    </row>
    <row r="7" spans="2:46">
      <c r="B7" s="606" t="s">
        <v>2189</v>
      </c>
      <c r="C7" s="606" t="s">
        <v>2178</v>
      </c>
      <c r="D7" s="606" t="s">
        <v>215</v>
      </c>
      <c r="E7" s="606" t="s">
        <v>1656</v>
      </c>
      <c r="F7" s="606" t="s">
        <v>1684</v>
      </c>
      <c r="G7" s="628">
        <f>1-(1-AI7)*$AS$7/$AS$8</f>
        <v>0.9864033566304371</v>
      </c>
      <c r="H7" s="647">
        <f>H27</f>
        <v>471805.06229212461</v>
      </c>
      <c r="I7" s="647">
        <f t="shared" ref="I7:L7" si="0">I27</f>
        <v>57150.205761316865</v>
      </c>
      <c r="J7" s="647">
        <f t="shared" si="0"/>
        <v>76045.013811376077</v>
      </c>
      <c r="K7" s="647">
        <f t="shared" si="0"/>
        <v>0</v>
      </c>
      <c r="L7" s="647">
        <f t="shared" si="0"/>
        <v>0</v>
      </c>
      <c r="M7" s="647">
        <f t="shared" ref="M7:M14" si="1">H7</f>
        <v>471805.06229212461</v>
      </c>
      <c r="N7" s="647">
        <f>M7*0.1</f>
        <v>47180.506229212464</v>
      </c>
      <c r="O7" s="647">
        <f>M7</f>
        <v>471805.06229212461</v>
      </c>
      <c r="P7" s="647">
        <f t="shared" ref="P7:Q11" si="2">M7</f>
        <v>471805.06229212461</v>
      </c>
      <c r="Q7" s="647">
        <f t="shared" si="2"/>
        <v>47180.506229212464</v>
      </c>
      <c r="R7" s="647">
        <v>0</v>
      </c>
      <c r="S7" s="647">
        <v>0</v>
      </c>
      <c r="T7" s="647">
        <f>R7</f>
        <v>0</v>
      </c>
      <c r="U7" s="647">
        <f t="shared" ref="U7:V11" si="3">R7</f>
        <v>0</v>
      </c>
      <c r="V7" s="647">
        <f t="shared" si="3"/>
        <v>0</v>
      </c>
      <c r="W7" s="606">
        <v>50</v>
      </c>
      <c r="X7" s="608">
        <v>0.45</v>
      </c>
      <c r="Y7" s="758">
        <f>8760*3.6/1000000</f>
        <v>3.1536000000000002E-2</v>
      </c>
      <c r="Z7" s="758">
        <v>1.08953E-3</v>
      </c>
      <c r="AA7" s="758"/>
      <c r="AB7" s="758"/>
      <c r="AC7" s="758"/>
      <c r="AD7" s="758"/>
      <c r="AE7" s="647">
        <v>0</v>
      </c>
      <c r="AF7" s="647">
        <v>5</v>
      </c>
      <c r="AH7" s="606">
        <v>100000000</v>
      </c>
      <c r="AI7" s="606">
        <v>0.99149999999999994</v>
      </c>
      <c r="AJ7" s="1273"/>
      <c r="AP7" s="606" t="s">
        <v>1667</v>
      </c>
      <c r="AS7" s="606">
        <v>0.10390000000000001</v>
      </c>
      <c r="AT7" s="606" t="s">
        <v>1670</v>
      </c>
    </row>
    <row r="8" spans="2:46">
      <c r="B8" s="606" t="s">
        <v>1861</v>
      </c>
      <c r="C8" s="606" t="s">
        <v>1657</v>
      </c>
      <c r="D8" s="606" t="s">
        <v>1656</v>
      </c>
      <c r="E8" s="606" t="s">
        <v>1658</v>
      </c>
      <c r="F8" s="606" t="s">
        <v>1684</v>
      </c>
      <c r="G8" s="628">
        <f>1-(1-AI8)*$AS$7/$AS$8</f>
        <v>0.98000493622123097</v>
      </c>
      <c r="H8" s="647">
        <f t="shared" ref="H8:L8" si="4">H28</f>
        <v>191348.8640847849</v>
      </c>
      <c r="I8" s="647">
        <f t="shared" si="4"/>
        <v>0</v>
      </c>
      <c r="J8" s="647">
        <f t="shared" si="4"/>
        <v>0</v>
      </c>
      <c r="K8" s="647">
        <f t="shared" si="4"/>
        <v>0</v>
      </c>
      <c r="L8" s="647">
        <f t="shared" si="4"/>
        <v>0</v>
      </c>
      <c r="M8" s="647">
        <f t="shared" si="1"/>
        <v>191348.8640847849</v>
      </c>
      <c r="N8" s="647">
        <f>M8*0.1</f>
        <v>19134.886408478491</v>
      </c>
      <c r="O8" s="647">
        <f>M8</f>
        <v>191348.8640847849</v>
      </c>
      <c r="P8" s="647">
        <f t="shared" si="2"/>
        <v>191348.8640847849</v>
      </c>
      <c r="Q8" s="647">
        <f t="shared" si="2"/>
        <v>19134.886408478491</v>
      </c>
      <c r="R8" s="647">
        <v>0</v>
      </c>
      <c r="S8" s="647">
        <f>R8*0.1</f>
        <v>0</v>
      </c>
      <c r="T8" s="647">
        <f>R8</f>
        <v>0</v>
      </c>
      <c r="U8" s="647">
        <f t="shared" si="3"/>
        <v>0</v>
      </c>
      <c r="V8" s="647">
        <f t="shared" si="3"/>
        <v>0</v>
      </c>
      <c r="W8" s="606">
        <v>50</v>
      </c>
      <c r="X8" s="608">
        <v>0.45</v>
      </c>
      <c r="Y8" s="758">
        <f>8760*3.6/1000000</f>
        <v>3.1536000000000002E-2</v>
      </c>
      <c r="Z8" s="758">
        <v>6.5371800000000007E-4</v>
      </c>
      <c r="AA8" s="1271"/>
      <c r="AB8" s="1271"/>
      <c r="AC8" s="1271"/>
      <c r="AD8" s="1271"/>
      <c r="AE8" s="647">
        <v>0</v>
      </c>
      <c r="AF8" s="647">
        <v>5</v>
      </c>
      <c r="AH8" s="606">
        <v>100000000</v>
      </c>
      <c r="AI8" s="606">
        <v>0.98749999999999982</v>
      </c>
      <c r="AP8" s="606" t="s">
        <v>1667</v>
      </c>
      <c r="AS8" s="606">
        <f>1-0.93504646875</f>
        <v>6.4953531250000029E-2</v>
      </c>
      <c r="AT8" s="606" t="s">
        <v>1669</v>
      </c>
    </row>
    <row r="9" spans="2:46">
      <c r="B9" s="606" t="s">
        <v>1862</v>
      </c>
      <c r="C9" s="606" t="s">
        <v>1659</v>
      </c>
      <c r="D9" s="606" t="s">
        <v>1658</v>
      </c>
      <c r="E9" s="606" t="s">
        <v>1660</v>
      </c>
      <c r="F9" s="606" t="s">
        <v>1684</v>
      </c>
      <c r="G9" s="628">
        <f>1-(1-AI9)*$AS$7/$AS$8</f>
        <v>0.92801777039643241</v>
      </c>
      <c r="H9" s="647">
        <f t="shared" ref="H9:L9" si="5">H29</f>
        <v>74050.708964191304</v>
      </c>
      <c r="I9" s="647">
        <f t="shared" si="5"/>
        <v>0</v>
      </c>
      <c r="J9" s="647">
        <f t="shared" si="5"/>
        <v>0</v>
      </c>
      <c r="K9" s="647">
        <f t="shared" si="5"/>
        <v>0</v>
      </c>
      <c r="L9" s="647">
        <f t="shared" si="5"/>
        <v>0</v>
      </c>
      <c r="M9" s="647">
        <f t="shared" si="1"/>
        <v>74050.708964191304</v>
      </c>
      <c r="N9" s="647">
        <f>M9*0.1</f>
        <v>7405.0708964191308</v>
      </c>
      <c r="O9" s="647">
        <f>M9</f>
        <v>74050.708964191304</v>
      </c>
      <c r="P9" s="647">
        <f t="shared" si="2"/>
        <v>74050.708964191304</v>
      </c>
      <c r="Q9" s="647">
        <f t="shared" si="2"/>
        <v>7405.0708964191308</v>
      </c>
      <c r="R9" s="647">
        <v>0</v>
      </c>
      <c r="S9" s="647">
        <f>R9*0.1</f>
        <v>0</v>
      </c>
      <c r="T9" s="647">
        <f>R9</f>
        <v>0</v>
      </c>
      <c r="U9" s="647">
        <f t="shared" si="3"/>
        <v>0</v>
      </c>
      <c r="V9" s="647">
        <f t="shared" si="3"/>
        <v>0</v>
      </c>
      <c r="W9" s="606">
        <v>50</v>
      </c>
      <c r="X9" s="608">
        <v>0.47499999999999998</v>
      </c>
      <c r="Y9" s="758">
        <f>8760*3.6/1000000</f>
        <v>3.1536000000000002E-2</v>
      </c>
      <c r="Z9" s="758">
        <v>2.1034229310113715E-3</v>
      </c>
      <c r="AA9" s="808"/>
      <c r="AB9" s="808"/>
      <c r="AC9" s="808"/>
      <c r="AD9" s="808"/>
      <c r="AE9" s="647">
        <v>0</v>
      </c>
      <c r="AF9" s="647">
        <v>5</v>
      </c>
      <c r="AH9" s="606">
        <v>100000000</v>
      </c>
      <c r="AI9" s="606">
        <v>0.95499999999999996</v>
      </c>
      <c r="AP9" s="606" t="s">
        <v>1667</v>
      </c>
    </row>
    <row r="10" spans="2:46">
      <c r="B10" s="606" t="s">
        <v>1867</v>
      </c>
      <c r="C10" s="606" t="s">
        <v>1664</v>
      </c>
      <c r="D10" s="606" t="s">
        <v>41</v>
      </c>
      <c r="E10" s="606" t="s">
        <v>1665</v>
      </c>
      <c r="F10" s="606" t="s">
        <v>1684</v>
      </c>
      <c r="G10" s="628">
        <f>1-'2019'!P26/'2019'!P6</f>
        <v>0.9705967007147358</v>
      </c>
      <c r="H10" s="647">
        <f t="shared" ref="H10:L10" si="6">H30</f>
        <v>7023.7189244038545</v>
      </c>
      <c r="I10" s="647">
        <f t="shared" si="6"/>
        <v>204.52815829528157</v>
      </c>
      <c r="J10" s="647">
        <f t="shared" si="6"/>
        <v>204.52815829528157</v>
      </c>
      <c r="K10" s="647">
        <f t="shared" si="6"/>
        <v>15.854895991882293</v>
      </c>
      <c r="L10" s="647">
        <f t="shared" si="6"/>
        <v>15.854895991882293</v>
      </c>
      <c r="M10" s="647">
        <f t="shared" si="1"/>
        <v>7023.7189244038545</v>
      </c>
      <c r="N10" s="647">
        <f>M10*0.1</f>
        <v>702.37189244038552</v>
      </c>
      <c r="O10" s="647">
        <f>M10</f>
        <v>7023.7189244038545</v>
      </c>
      <c r="P10" s="647">
        <f t="shared" si="2"/>
        <v>7023.7189244038545</v>
      </c>
      <c r="Q10" s="647">
        <f t="shared" si="2"/>
        <v>702.37189244038552</v>
      </c>
      <c r="R10" s="647">
        <v>0</v>
      </c>
      <c r="S10" s="647">
        <f>R10*0.1</f>
        <v>0</v>
      </c>
      <c r="T10" s="647">
        <f>R10</f>
        <v>0</v>
      </c>
      <c r="U10" s="647">
        <f t="shared" si="3"/>
        <v>0</v>
      </c>
      <c r="V10" s="647">
        <f t="shared" si="3"/>
        <v>0</v>
      </c>
      <c r="W10" s="606">
        <v>50</v>
      </c>
      <c r="X10" s="608">
        <v>0.2</v>
      </c>
      <c r="Y10" s="758">
        <v>3.1536000000000002E-2</v>
      </c>
      <c r="Z10" s="1272">
        <f>6.04934202846487E-06</f>
        <v>6.0493420284648697E-6</v>
      </c>
      <c r="AA10" s="808">
        <v>0.15631479862069877</v>
      </c>
      <c r="AB10" s="808">
        <f>'2010'!P26/'2010'!P6*(1000/53.6)*25</f>
        <v>31.248000428778433</v>
      </c>
      <c r="AC10" s="808">
        <f>'2019'!P26/'2019'!P6*(1000/53.6)*25</f>
        <v>13.714225412903067</v>
      </c>
      <c r="AD10" s="808">
        <v>5</v>
      </c>
      <c r="AE10" s="647">
        <v>0</v>
      </c>
      <c r="AF10" s="647">
        <v>5</v>
      </c>
      <c r="AH10" s="606">
        <v>100000000</v>
      </c>
      <c r="AI10" s="606">
        <v>0.999</v>
      </c>
      <c r="AJ10" s="606" t="s">
        <v>1779</v>
      </c>
      <c r="AP10" s="606" t="s">
        <v>1667</v>
      </c>
    </row>
    <row r="11" spans="2:46">
      <c r="B11" s="606" t="s">
        <v>1865</v>
      </c>
      <c r="C11" s="606" t="s">
        <v>1678</v>
      </c>
      <c r="D11" s="606" t="s">
        <v>1665</v>
      </c>
      <c r="E11" s="606" t="s">
        <v>1677</v>
      </c>
      <c r="F11" s="606" t="s">
        <v>1684</v>
      </c>
      <c r="G11" s="606">
        <f>AI11</f>
        <v>0.997</v>
      </c>
      <c r="H11" s="647">
        <f t="shared" ref="H11:L11" si="7">H31</f>
        <v>57.411412854815879</v>
      </c>
      <c r="I11" s="647">
        <f t="shared" si="7"/>
        <v>57.411412854815879</v>
      </c>
      <c r="J11" s="647">
        <f t="shared" si="7"/>
        <v>57.411412854815879</v>
      </c>
      <c r="K11" s="647">
        <f t="shared" si="7"/>
        <v>0</v>
      </c>
      <c r="L11" s="647">
        <f t="shared" si="7"/>
        <v>0</v>
      </c>
      <c r="M11" s="647">
        <f t="shared" si="1"/>
        <v>57.411412854815879</v>
      </c>
      <c r="N11" s="647">
        <f>M11*0.1</f>
        <v>5.7411412854815884</v>
      </c>
      <c r="O11" s="647">
        <f>M11</f>
        <v>57.411412854815879</v>
      </c>
      <c r="P11" s="647">
        <f t="shared" si="2"/>
        <v>57.411412854815879</v>
      </c>
      <c r="Q11" s="647">
        <f t="shared" si="2"/>
        <v>5.7411412854815884</v>
      </c>
      <c r="R11" s="647">
        <v>0</v>
      </c>
      <c r="S11" s="647">
        <f>R11*0.1</f>
        <v>0</v>
      </c>
      <c r="T11" s="647">
        <f>R11</f>
        <v>0</v>
      </c>
      <c r="U11" s="647">
        <f t="shared" si="3"/>
        <v>0</v>
      </c>
      <c r="V11" s="647">
        <f t="shared" si="3"/>
        <v>0</v>
      </c>
      <c r="W11" s="606">
        <v>50</v>
      </c>
      <c r="X11" s="608">
        <v>0.47499999999999998</v>
      </c>
      <c r="Y11" s="758">
        <v>3.1536000000000002E-2</v>
      </c>
      <c r="Z11" s="1271">
        <v>3.5340000000000002E-4</v>
      </c>
      <c r="AA11" s="808"/>
      <c r="AB11" s="1270">
        <f>(1-G11)*1000/53.6*25</f>
        <v>1.3992537313432849</v>
      </c>
      <c r="AC11" s="1270">
        <f>(1-G11)*1000/53.6*25</f>
        <v>1.3992537313432849</v>
      </c>
      <c r="AD11" s="1270">
        <v>5</v>
      </c>
      <c r="AE11" s="647">
        <v>0</v>
      </c>
      <c r="AF11" s="647">
        <v>5</v>
      </c>
      <c r="AH11" s="606">
        <v>100000000</v>
      </c>
      <c r="AI11" s="606">
        <v>0.997</v>
      </c>
      <c r="AP11" s="606" t="s">
        <v>1667</v>
      </c>
    </row>
    <row r="12" spans="2:46">
      <c r="B12" s="606" t="s">
        <v>1866</v>
      </c>
      <c r="C12" s="606" t="s">
        <v>1780</v>
      </c>
      <c r="D12" s="606" t="s">
        <v>1783</v>
      </c>
      <c r="E12" s="606" t="s">
        <v>1650</v>
      </c>
      <c r="F12" s="606" t="s">
        <v>1684</v>
      </c>
      <c r="G12" s="628">
        <f>1-'2019'!R26/'2019'!R16</f>
        <v>0.94300085616438356</v>
      </c>
      <c r="H12" s="647">
        <f t="shared" ref="H12:L12" si="8">H32</f>
        <v>204325.21562658547</v>
      </c>
      <c r="I12" s="647">
        <f t="shared" si="8"/>
        <v>0</v>
      </c>
      <c r="J12" s="647">
        <f t="shared" si="8"/>
        <v>0</v>
      </c>
      <c r="K12" s="647">
        <f t="shared" si="8"/>
        <v>0</v>
      </c>
      <c r="L12" s="647">
        <f t="shared" si="8"/>
        <v>0</v>
      </c>
      <c r="M12" s="647">
        <f t="shared" si="1"/>
        <v>204325.21562658547</v>
      </c>
      <c r="N12" s="647">
        <f t="shared" ref="N12:N14" si="9">I12</f>
        <v>0</v>
      </c>
      <c r="O12" s="647">
        <f t="shared" ref="O12:O14" si="10">J12</f>
        <v>0</v>
      </c>
      <c r="P12" s="647">
        <f t="shared" ref="P12:P14" si="11">K12</f>
        <v>0</v>
      </c>
      <c r="Q12" s="647">
        <f t="shared" ref="Q12:Q14" si="12">L12</f>
        <v>0</v>
      </c>
      <c r="R12" s="647">
        <f>M12*3/8</f>
        <v>76621.955859969545</v>
      </c>
      <c r="S12" s="647">
        <f t="shared" ref="S12:V14" si="13">N12*3/8</f>
        <v>0</v>
      </c>
      <c r="T12" s="647">
        <f t="shared" si="13"/>
        <v>0</v>
      </c>
      <c r="U12" s="647">
        <f t="shared" si="13"/>
        <v>0</v>
      </c>
      <c r="V12" s="647">
        <f t="shared" si="13"/>
        <v>0</v>
      </c>
      <c r="W12" s="606">
        <v>80</v>
      </c>
      <c r="X12" s="608">
        <v>0.2</v>
      </c>
      <c r="Y12" s="758">
        <v>3.1536000000000002E-2</v>
      </c>
      <c r="Z12" s="628"/>
      <c r="AA12" s="808">
        <v>0.41666666666666663</v>
      </c>
      <c r="AB12" s="808"/>
      <c r="AC12" s="1269"/>
      <c r="AD12" s="1269"/>
      <c r="AE12" s="647">
        <v>0</v>
      </c>
      <c r="AF12" s="647">
        <v>5</v>
      </c>
      <c r="AH12" s="606">
        <v>100000000</v>
      </c>
      <c r="AI12" s="606">
        <v>0.9</v>
      </c>
      <c r="AP12" s="606" t="s">
        <v>1667</v>
      </c>
    </row>
    <row r="13" spans="2:46">
      <c r="B13" s="606" t="s">
        <v>1863</v>
      </c>
      <c r="C13" s="606" t="s">
        <v>1781</v>
      </c>
      <c r="D13" s="606" t="s">
        <v>1783</v>
      </c>
      <c r="E13" s="606" t="s">
        <v>1870</v>
      </c>
      <c r="F13" s="606" t="s">
        <v>1684</v>
      </c>
      <c r="G13" s="628">
        <f>AI13</f>
        <v>0.81</v>
      </c>
      <c r="H13" s="647">
        <f t="shared" ref="H13:L13" si="14">H33</f>
        <v>160.13444951801114</v>
      </c>
      <c r="I13" s="647">
        <f t="shared" si="14"/>
        <v>0</v>
      </c>
      <c r="J13" s="647">
        <f t="shared" si="14"/>
        <v>0</v>
      </c>
      <c r="K13" s="647">
        <f t="shared" si="14"/>
        <v>0</v>
      </c>
      <c r="L13" s="647">
        <f t="shared" si="14"/>
        <v>0</v>
      </c>
      <c r="M13" s="647">
        <f t="shared" si="1"/>
        <v>160.13444951801114</v>
      </c>
      <c r="N13" s="647">
        <f t="shared" si="9"/>
        <v>0</v>
      </c>
      <c r="O13" s="647">
        <f t="shared" si="10"/>
        <v>0</v>
      </c>
      <c r="P13" s="647">
        <f t="shared" si="11"/>
        <v>0</v>
      </c>
      <c r="Q13" s="647">
        <f t="shared" si="12"/>
        <v>0</v>
      </c>
      <c r="R13" s="647">
        <f t="shared" ref="R13:R14" si="15">M13*3/8</f>
        <v>60.050418569254177</v>
      </c>
      <c r="S13" s="647">
        <f t="shared" si="13"/>
        <v>0</v>
      </c>
      <c r="T13" s="647">
        <f t="shared" si="13"/>
        <v>0</v>
      </c>
      <c r="U13" s="647">
        <f t="shared" si="13"/>
        <v>0</v>
      </c>
      <c r="V13" s="647">
        <f t="shared" si="13"/>
        <v>0</v>
      </c>
      <c r="W13" s="606">
        <v>80</v>
      </c>
      <c r="X13" s="608">
        <v>0.2</v>
      </c>
      <c r="Y13" s="758">
        <v>3.1536000000000002E-2</v>
      </c>
      <c r="Z13" s="628"/>
      <c r="AA13" s="808">
        <v>0.41666666666666663</v>
      </c>
      <c r="AB13" s="808"/>
      <c r="AC13" s="808"/>
      <c r="AD13" s="808"/>
      <c r="AE13" s="647">
        <v>0</v>
      </c>
      <c r="AF13" s="647">
        <v>5</v>
      </c>
      <c r="AH13" s="606">
        <v>100000000</v>
      </c>
      <c r="AI13" s="606">
        <v>0.81</v>
      </c>
      <c r="AP13" s="606" t="s">
        <v>1667</v>
      </c>
    </row>
    <row r="14" spans="2:46">
      <c r="B14" s="606" t="s">
        <v>1864</v>
      </c>
      <c r="C14" s="606" t="s">
        <v>1782</v>
      </c>
      <c r="D14" s="606" t="s">
        <v>1784</v>
      </c>
      <c r="E14" s="606" t="s">
        <v>1651</v>
      </c>
      <c r="F14" s="606" t="s">
        <v>1684</v>
      </c>
      <c r="G14" s="628">
        <f>AI14</f>
        <v>0.8</v>
      </c>
      <c r="H14" s="647">
        <f t="shared" ref="H14:L14" si="16">H34</f>
        <v>10984.271943176051</v>
      </c>
      <c r="I14" s="647">
        <f t="shared" si="16"/>
        <v>10984.271943176051</v>
      </c>
      <c r="J14" s="647">
        <f t="shared" si="16"/>
        <v>10984.271943176051</v>
      </c>
      <c r="K14" s="647">
        <f t="shared" si="16"/>
        <v>10984.271943176051</v>
      </c>
      <c r="L14" s="647">
        <f t="shared" si="16"/>
        <v>10984.271943176051</v>
      </c>
      <c r="M14" s="647">
        <f t="shared" si="1"/>
        <v>10984.271943176051</v>
      </c>
      <c r="N14" s="647">
        <f t="shared" si="9"/>
        <v>10984.271943176051</v>
      </c>
      <c r="O14" s="647">
        <f t="shared" si="10"/>
        <v>10984.271943176051</v>
      </c>
      <c r="P14" s="647">
        <f t="shared" si="11"/>
        <v>10984.271943176051</v>
      </c>
      <c r="Q14" s="647">
        <f t="shared" si="12"/>
        <v>10984.271943176051</v>
      </c>
      <c r="R14" s="647">
        <f t="shared" si="15"/>
        <v>4119.1019786910192</v>
      </c>
      <c r="S14" s="647">
        <f t="shared" si="13"/>
        <v>4119.1019786910192</v>
      </c>
      <c r="T14" s="647">
        <f t="shared" si="13"/>
        <v>4119.1019786910192</v>
      </c>
      <c r="U14" s="647">
        <f t="shared" si="13"/>
        <v>4119.1019786910192</v>
      </c>
      <c r="V14" s="647">
        <f t="shared" si="13"/>
        <v>4119.1019786910192</v>
      </c>
      <c r="W14" s="606">
        <v>80</v>
      </c>
      <c r="X14" s="608">
        <v>0.2</v>
      </c>
      <c r="Y14" s="758">
        <v>3.1536000000000002E-2</v>
      </c>
      <c r="Z14" s="628"/>
      <c r="AA14" s="808">
        <v>0.41666666666666663</v>
      </c>
      <c r="AB14" s="808"/>
      <c r="AE14" s="647">
        <v>0</v>
      </c>
      <c r="AF14" s="647">
        <v>5</v>
      </c>
      <c r="AH14" s="606">
        <v>100000000</v>
      </c>
      <c r="AI14" s="606">
        <v>0.8</v>
      </c>
    </row>
    <row r="15" spans="2:46">
      <c r="G15" s="628"/>
      <c r="H15" s="647"/>
      <c r="I15" s="647"/>
      <c r="J15" s="647"/>
      <c r="K15" s="647"/>
      <c r="L15" s="647"/>
      <c r="M15" s="647"/>
      <c r="N15" s="647"/>
      <c r="O15" s="647"/>
      <c r="P15" s="647"/>
      <c r="Q15" s="647"/>
      <c r="R15" s="647"/>
      <c r="S15" s="647"/>
      <c r="T15" s="647"/>
      <c r="U15" s="647"/>
      <c r="V15" s="647"/>
      <c r="X15" s="608"/>
      <c r="Y15" s="758"/>
      <c r="Z15" s="628"/>
      <c r="AA15" s="808"/>
      <c r="AB15" s="808"/>
      <c r="AE15" s="647"/>
      <c r="AF15" s="647"/>
    </row>
    <row r="16" spans="2:46">
      <c r="G16" s="765" t="s">
        <v>2293</v>
      </c>
      <c r="H16" s="765">
        <v>2010</v>
      </c>
      <c r="I16" s="765"/>
      <c r="J16" s="765"/>
      <c r="K16" s="765"/>
      <c r="L16" s="765"/>
      <c r="AE16" s="647"/>
      <c r="AF16" s="647"/>
    </row>
    <row r="17" spans="7:12">
      <c r="G17" s="765" t="s">
        <v>1656</v>
      </c>
      <c r="H17" s="606">
        <v>6695.48</v>
      </c>
      <c r="I17" s="606">
        <v>811.03</v>
      </c>
      <c r="J17" s="606">
        <v>1079.17</v>
      </c>
      <c r="L17" s="606">
        <v>0</v>
      </c>
    </row>
    <row r="18" spans="7:12">
      <c r="G18" s="765" t="s">
        <v>1658</v>
      </c>
      <c r="H18" s="606">
        <v>2715.47</v>
      </c>
      <c r="L18" s="606">
        <v>0</v>
      </c>
    </row>
    <row r="19" spans="7:12">
      <c r="G19" s="765" t="s">
        <v>1660</v>
      </c>
      <c r="H19" s="606">
        <v>1109.25</v>
      </c>
      <c r="L19" s="606">
        <v>0</v>
      </c>
    </row>
    <row r="20" spans="7:12">
      <c r="G20" s="765" t="s">
        <v>1665</v>
      </c>
      <c r="H20" s="606">
        <v>44.3</v>
      </c>
      <c r="I20" s="606">
        <v>1.29</v>
      </c>
      <c r="J20" s="606">
        <v>1.29</v>
      </c>
      <c r="K20" s="606">
        <v>0.1</v>
      </c>
      <c r="L20" s="606">
        <v>0.1</v>
      </c>
    </row>
    <row r="21" spans="7:12">
      <c r="G21" s="765" t="s">
        <v>1677</v>
      </c>
      <c r="H21" s="606">
        <v>0.86</v>
      </c>
      <c r="I21" s="606">
        <v>0.86</v>
      </c>
      <c r="J21" s="606">
        <v>0.86</v>
      </c>
    </row>
    <row r="22" spans="7:12">
      <c r="G22" s="765" t="s">
        <v>1650</v>
      </c>
      <c r="H22" s="606">
        <v>1288.72</v>
      </c>
    </row>
    <row r="23" spans="7:12">
      <c r="G23" s="765" t="s">
        <v>1870</v>
      </c>
      <c r="H23" s="606">
        <v>1.01</v>
      </c>
    </row>
    <row r="24" spans="7:12">
      <c r="G24" s="765" t="s">
        <v>1651</v>
      </c>
      <c r="H24" s="606">
        <v>69.28</v>
      </c>
      <c r="I24" s="606">
        <v>69.28</v>
      </c>
      <c r="J24" s="606">
        <v>69.28</v>
      </c>
      <c r="K24" s="606">
        <v>69.28</v>
      </c>
      <c r="L24" s="606">
        <v>69.28</v>
      </c>
    </row>
    <row r="26" spans="7:12">
      <c r="G26" s="606" t="s">
        <v>2294</v>
      </c>
    </row>
    <row r="27" spans="7:12">
      <c r="G27" s="765" t="s">
        <v>1656</v>
      </c>
      <c r="H27" s="606">
        <f>H17/$Y7/$X7</f>
        <v>471805.06229212461</v>
      </c>
      <c r="I27" s="606">
        <f t="shared" ref="I27:L27" si="17">I17/$Y7/$X7</f>
        <v>57150.205761316865</v>
      </c>
      <c r="J27" s="606">
        <f t="shared" si="17"/>
        <v>76045.013811376077</v>
      </c>
      <c r="K27" s="606">
        <f t="shared" si="17"/>
        <v>0</v>
      </c>
      <c r="L27" s="606">
        <f t="shared" si="17"/>
        <v>0</v>
      </c>
    </row>
    <row r="28" spans="7:12">
      <c r="G28" s="765" t="s">
        <v>1658</v>
      </c>
      <c r="H28" s="606">
        <f t="shared" ref="H28:L34" si="18">H18/$Y8/$X8</f>
        <v>191348.8640847849</v>
      </c>
      <c r="I28" s="606">
        <f t="shared" si="18"/>
        <v>0</v>
      </c>
      <c r="J28" s="606">
        <f t="shared" si="18"/>
        <v>0</v>
      </c>
      <c r="K28" s="606">
        <f t="shared" si="18"/>
        <v>0</v>
      </c>
      <c r="L28" s="606">
        <f t="shared" si="18"/>
        <v>0</v>
      </c>
    </row>
    <row r="29" spans="7:12">
      <c r="G29" s="765" t="s">
        <v>1660</v>
      </c>
      <c r="H29" s="606">
        <f t="shared" si="18"/>
        <v>74050.708964191304</v>
      </c>
      <c r="I29" s="606">
        <f t="shared" si="18"/>
        <v>0</v>
      </c>
      <c r="J29" s="606">
        <f t="shared" si="18"/>
        <v>0</v>
      </c>
      <c r="K29" s="606">
        <f t="shared" si="18"/>
        <v>0</v>
      </c>
      <c r="L29" s="606">
        <f t="shared" si="18"/>
        <v>0</v>
      </c>
    </row>
    <row r="30" spans="7:12">
      <c r="G30" s="765" t="s">
        <v>1665</v>
      </c>
      <c r="H30" s="606">
        <f t="shared" si="18"/>
        <v>7023.7189244038545</v>
      </c>
      <c r="I30" s="606">
        <f t="shared" si="18"/>
        <v>204.52815829528157</v>
      </c>
      <c r="J30" s="606">
        <f t="shared" si="18"/>
        <v>204.52815829528157</v>
      </c>
      <c r="K30" s="606">
        <f t="shared" si="18"/>
        <v>15.854895991882293</v>
      </c>
      <c r="L30" s="606">
        <f t="shared" si="18"/>
        <v>15.854895991882293</v>
      </c>
    </row>
    <row r="31" spans="7:12">
      <c r="G31" s="765" t="s">
        <v>1677</v>
      </c>
      <c r="H31" s="606">
        <f t="shared" si="18"/>
        <v>57.411412854815879</v>
      </c>
      <c r="I31" s="606">
        <f t="shared" si="18"/>
        <v>57.411412854815879</v>
      </c>
      <c r="J31" s="606">
        <f t="shared" si="18"/>
        <v>57.411412854815879</v>
      </c>
      <c r="K31" s="606">
        <f t="shared" si="18"/>
        <v>0</v>
      </c>
      <c r="L31" s="606">
        <f t="shared" si="18"/>
        <v>0</v>
      </c>
    </row>
    <row r="32" spans="7:12">
      <c r="G32" s="765" t="s">
        <v>1650</v>
      </c>
      <c r="H32" s="606">
        <f t="shared" si="18"/>
        <v>204325.21562658547</v>
      </c>
      <c r="I32" s="606">
        <f t="shared" si="18"/>
        <v>0</v>
      </c>
      <c r="J32" s="606">
        <f t="shared" si="18"/>
        <v>0</v>
      </c>
      <c r="K32" s="606">
        <f t="shared" si="18"/>
        <v>0</v>
      </c>
      <c r="L32" s="606">
        <f t="shared" si="18"/>
        <v>0</v>
      </c>
    </row>
    <row r="33" spans="7:12">
      <c r="G33" s="765" t="s">
        <v>1870</v>
      </c>
      <c r="H33" s="606">
        <f t="shared" si="18"/>
        <v>160.13444951801114</v>
      </c>
      <c r="I33" s="606">
        <f t="shared" si="18"/>
        <v>0</v>
      </c>
      <c r="J33" s="606">
        <f t="shared" si="18"/>
        <v>0</v>
      </c>
      <c r="K33" s="606">
        <f t="shared" si="18"/>
        <v>0</v>
      </c>
      <c r="L33" s="606">
        <f t="shared" si="18"/>
        <v>0</v>
      </c>
    </row>
    <row r="34" spans="7:12">
      <c r="G34" s="765" t="s">
        <v>1651</v>
      </c>
      <c r="H34" s="606">
        <f t="shared" si="18"/>
        <v>10984.271943176051</v>
      </c>
      <c r="I34" s="606">
        <f t="shared" si="18"/>
        <v>10984.271943176051</v>
      </c>
      <c r="J34" s="606">
        <f t="shared" si="18"/>
        <v>10984.271943176051</v>
      </c>
      <c r="K34" s="606">
        <f t="shared" si="18"/>
        <v>10984.271943176051</v>
      </c>
      <c r="L34" s="606">
        <f t="shared" si="18"/>
        <v>10984.271943176051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92D050"/>
  </sheetPr>
  <dimension ref="A1:DO2071"/>
  <sheetViews>
    <sheetView zoomScale="70" zoomScaleNormal="70" workbookViewId="0">
      <pane xSplit="2" ySplit="6" topLeftCell="AU68" activePane="bottomRight" state="frozen"/>
      <selection pane="topRight" activeCell="C1" sqref="C1"/>
      <selection pane="bottomLeft" activeCell="A6" sqref="A6"/>
      <selection pane="bottomRight" activeCell="BF81" sqref="BF81"/>
    </sheetView>
  </sheetViews>
  <sheetFormatPr baseColWidth="10" defaultColWidth="8.5" defaultRowHeight="13"/>
  <cols>
    <col min="1" max="1" width="3.5" style="484" customWidth="1"/>
    <col min="2" max="2" width="14.1640625" style="484" customWidth="1"/>
    <col min="3" max="3" width="42.5" style="484" customWidth="1"/>
    <col min="4" max="4" width="37.1640625" style="484" bestFit="1" customWidth="1"/>
    <col min="5" max="5" width="22.5" style="482" customWidth="1"/>
    <col min="6" max="6" width="13" style="485" customWidth="1"/>
    <col min="7" max="47" width="13" style="484" customWidth="1"/>
    <col min="48" max="48" width="10" style="484" bestFit="1" customWidth="1"/>
    <col min="49" max="49" width="12.83203125" style="484" bestFit="1" customWidth="1"/>
    <col min="50" max="51" width="17.5" style="484" bestFit="1" customWidth="1"/>
    <col min="52" max="52" width="14.5" style="484" bestFit="1" customWidth="1"/>
    <col min="53" max="53" width="12.83203125" style="484" bestFit="1" customWidth="1"/>
    <col min="54" max="55" width="17.5" style="484" bestFit="1" customWidth="1"/>
    <col min="56" max="56" width="14.5" style="602" bestFit="1" customWidth="1"/>
    <col min="57" max="57" width="12.83203125" style="602" bestFit="1" customWidth="1"/>
    <col min="58" max="58" width="17.5" style="602" bestFit="1" customWidth="1"/>
    <col min="59" max="59" width="17.5" style="602" customWidth="1"/>
    <col min="60" max="60" width="14.5" style="602" bestFit="1" customWidth="1"/>
    <col min="61" max="61" width="12.83203125" style="602" bestFit="1" customWidth="1"/>
    <col min="62" max="63" width="17.5" style="602" bestFit="1" customWidth="1"/>
    <col min="64" max="64" width="14.5" style="602" bestFit="1" customWidth="1"/>
    <col min="65" max="65" width="12.83203125" style="602" bestFit="1" customWidth="1"/>
    <col min="66" max="67" width="17.5" style="602" bestFit="1" customWidth="1"/>
    <col min="68" max="68" width="14.5" style="602" bestFit="1" customWidth="1"/>
    <col min="69" max="69" width="12" style="602" customWidth="1"/>
    <col min="70" max="84" width="8.5" style="602"/>
    <col min="85" max="85" width="8.5" style="484"/>
    <col min="86" max="86" width="8.5" style="484" customWidth="1"/>
    <col min="87" max="16384" width="8.5" style="484"/>
  </cols>
  <sheetData>
    <row r="1" spans="2:110">
      <c r="E1" s="5"/>
      <c r="F1" s="5"/>
      <c r="G1" s="485"/>
      <c r="H1" s="485"/>
      <c r="AU1" s="484" t="s">
        <v>1632</v>
      </c>
      <c r="AW1" s="600">
        <v>2989.6312499999999</v>
      </c>
      <c r="AX1" s="600">
        <v>2817.7530000000002</v>
      </c>
      <c r="AY1" s="600">
        <v>3164.2807499999999</v>
      </c>
      <c r="AZ1" s="600">
        <v>3002.0002500000001</v>
      </c>
      <c r="BA1" s="600">
        <v>2982.7717499999999</v>
      </c>
      <c r="BB1" s="601">
        <v>3164.2807499999999</v>
      </c>
      <c r="BC1" s="599">
        <v>5</v>
      </c>
      <c r="BD1" s="603"/>
      <c r="BE1" s="603"/>
      <c r="BF1" s="603"/>
      <c r="BG1" s="603"/>
      <c r="BH1" s="603"/>
      <c r="BI1" s="603"/>
      <c r="BJ1" s="603"/>
      <c r="BK1" s="603"/>
      <c r="BL1" s="603"/>
      <c r="BM1" s="603"/>
      <c r="BN1" s="603"/>
      <c r="BO1" s="603"/>
      <c r="BP1" s="603"/>
      <c r="BQ1" s="603"/>
      <c r="BR1" s="603"/>
      <c r="BS1" s="603"/>
      <c r="BT1" s="603"/>
      <c r="BU1" s="603"/>
      <c r="BV1" s="603"/>
      <c r="BW1" s="603"/>
      <c r="BX1" s="603"/>
      <c r="BY1" s="603"/>
      <c r="BZ1" s="603"/>
      <c r="CA1" s="603"/>
      <c r="CB1" s="603"/>
      <c r="CC1" s="603"/>
      <c r="CD1" s="603"/>
      <c r="CE1" s="603"/>
      <c r="CF1" s="603"/>
    </row>
    <row r="2" spans="2:110">
      <c r="D2" s="5"/>
      <c r="E2" s="2"/>
      <c r="F2" s="2"/>
      <c r="G2" s="485"/>
      <c r="H2" s="485"/>
      <c r="AU2" s="602" t="s">
        <v>1633</v>
      </c>
      <c r="AW2" s="600">
        <v>2861.8199999999997</v>
      </c>
      <c r="AX2" s="600">
        <v>2759.5574999999999</v>
      </c>
      <c r="AY2" s="600">
        <v>2443.7842500000002</v>
      </c>
      <c r="AZ2" s="600">
        <v>2352.4994999999999</v>
      </c>
      <c r="BA2" s="600">
        <v>2416.2464999999997</v>
      </c>
      <c r="BB2" s="601">
        <v>2861.8199999999997</v>
      </c>
      <c r="BC2" s="599">
        <v>5</v>
      </c>
      <c r="BD2" s="603"/>
      <c r="BE2" s="603"/>
      <c r="BF2" s="603"/>
      <c r="BG2" s="603"/>
      <c r="BH2" s="603"/>
      <c r="BI2" s="603"/>
      <c r="BJ2" s="603"/>
      <c r="BK2" s="603"/>
      <c r="BL2" s="603"/>
      <c r="BM2" s="603"/>
      <c r="BN2" s="603"/>
      <c r="BO2" s="603"/>
      <c r="BP2" s="603"/>
      <c r="BQ2" s="603"/>
      <c r="BR2" s="603"/>
      <c r="BS2" s="603"/>
      <c r="BT2" s="603"/>
      <c r="BU2" s="603"/>
      <c r="BV2" s="603"/>
      <c r="BW2" s="603"/>
      <c r="BX2" s="603"/>
      <c r="BY2" s="603"/>
      <c r="BZ2" s="603"/>
      <c r="CA2" s="603"/>
      <c r="CB2" s="603"/>
      <c r="CC2" s="603"/>
      <c r="CD2" s="603"/>
      <c r="CE2" s="603"/>
      <c r="CF2" s="603"/>
    </row>
    <row r="3" spans="2:110" s="602" customFormat="1">
      <c r="D3" s="5"/>
      <c r="E3" s="2"/>
      <c r="F3" s="2"/>
      <c r="G3" s="485"/>
      <c r="H3" s="485"/>
      <c r="AW3" s="604"/>
      <c r="AX3" s="604"/>
      <c r="AY3" s="604"/>
      <c r="AZ3" s="604"/>
      <c r="BA3" s="604"/>
      <c r="BB3" s="605"/>
      <c r="BC3" s="603"/>
      <c r="BD3" s="603"/>
      <c r="BE3" s="603"/>
      <c r="BF3" s="603"/>
      <c r="BG3" s="603"/>
      <c r="BH3" s="603"/>
      <c r="BI3" s="603"/>
      <c r="BJ3" s="603"/>
      <c r="BK3" s="603"/>
      <c r="BL3" s="603"/>
      <c r="BM3" s="603"/>
      <c r="BN3" s="603"/>
      <c r="BO3" s="603"/>
      <c r="BP3" s="603"/>
      <c r="BQ3" s="603"/>
      <c r="BR3" s="603"/>
      <c r="BS3" s="603"/>
      <c r="BT3" s="603"/>
      <c r="BU3" s="603"/>
      <c r="BV3" s="603"/>
      <c r="BW3" s="603"/>
      <c r="BX3" s="603"/>
      <c r="BY3" s="603"/>
      <c r="BZ3" s="603"/>
      <c r="CA3" s="603"/>
      <c r="CB3" s="603"/>
      <c r="CC3" s="603"/>
      <c r="CD3" s="603"/>
      <c r="CE3" s="603"/>
      <c r="CF3" s="603"/>
    </row>
    <row r="4" spans="2:110">
      <c r="F4" s="101" t="s">
        <v>204</v>
      </c>
      <c r="G4" s="485"/>
      <c r="H4" s="485"/>
      <c r="AW4" s="484">
        <v>2010</v>
      </c>
      <c r="AX4" s="484">
        <v>2015</v>
      </c>
      <c r="AY4" s="484">
        <v>2019</v>
      </c>
    </row>
    <row r="5" spans="2:110" ht="30">
      <c r="B5" s="11" t="s">
        <v>1</v>
      </c>
      <c r="C5" s="11" t="s">
        <v>21</v>
      </c>
      <c r="D5" s="11" t="s">
        <v>81</v>
      </c>
      <c r="E5" s="11" t="s">
        <v>13</v>
      </c>
      <c r="F5" s="11" t="s">
        <v>205</v>
      </c>
      <c r="G5" s="539" t="s">
        <v>63</v>
      </c>
      <c r="H5" s="79" t="s">
        <v>306</v>
      </c>
      <c r="I5" s="79" t="s">
        <v>198</v>
      </c>
      <c r="J5" s="79" t="s">
        <v>199</v>
      </c>
      <c r="K5" s="539" t="s">
        <v>200</v>
      </c>
      <c r="L5" s="539" t="s">
        <v>794</v>
      </c>
      <c r="M5" s="539" t="s">
        <v>795</v>
      </c>
      <c r="N5" s="539" t="s">
        <v>796</v>
      </c>
      <c r="O5" s="539" t="s">
        <v>797</v>
      </c>
      <c r="P5" s="539" t="s">
        <v>798</v>
      </c>
      <c r="Q5" s="539" t="s">
        <v>64</v>
      </c>
      <c r="R5" s="539" t="s">
        <v>799</v>
      </c>
      <c r="S5" s="539" t="s">
        <v>800</v>
      </c>
      <c r="T5" s="539" t="s">
        <v>801</v>
      </c>
      <c r="U5" s="539" t="s">
        <v>802</v>
      </c>
      <c r="V5" s="539" t="s">
        <v>803</v>
      </c>
      <c r="W5" s="539" t="s">
        <v>804</v>
      </c>
      <c r="X5" s="539" t="s">
        <v>805</v>
      </c>
      <c r="Y5" s="539" t="s">
        <v>806</v>
      </c>
      <c r="Z5" s="539" t="s">
        <v>807</v>
      </c>
      <c r="AA5" s="539" t="s">
        <v>67</v>
      </c>
      <c r="AB5" s="539" t="s">
        <v>808</v>
      </c>
      <c r="AC5" s="539" t="s">
        <v>809</v>
      </c>
      <c r="AD5" s="539" t="s">
        <v>810</v>
      </c>
      <c r="AE5" s="539" t="s">
        <v>811</v>
      </c>
      <c r="AF5" s="539" t="s">
        <v>812</v>
      </c>
      <c r="AG5" s="539" t="s">
        <v>813</v>
      </c>
      <c r="AH5" s="539" t="s">
        <v>814</v>
      </c>
      <c r="AI5" s="539" t="s">
        <v>815</v>
      </c>
      <c r="AJ5" s="539" t="s">
        <v>816</v>
      </c>
      <c r="AK5" s="539" t="s">
        <v>66</v>
      </c>
      <c r="AL5" s="539" t="s">
        <v>817</v>
      </c>
      <c r="AM5" s="539" t="s">
        <v>818</v>
      </c>
      <c r="AN5" s="539" t="s">
        <v>819</v>
      </c>
      <c r="AO5" s="539" t="s">
        <v>820</v>
      </c>
      <c r="AP5" s="539" t="s">
        <v>821</v>
      </c>
      <c r="AQ5" s="539" t="s">
        <v>822</v>
      </c>
      <c r="AR5" s="539" t="s">
        <v>823</v>
      </c>
      <c r="AS5" s="539" t="s">
        <v>824</v>
      </c>
      <c r="AT5" s="539" t="s">
        <v>825</v>
      </c>
      <c r="AU5" s="539" t="s">
        <v>65</v>
      </c>
      <c r="AV5" s="593" t="s">
        <v>744</v>
      </c>
      <c r="AW5" s="594" t="s">
        <v>1881</v>
      </c>
      <c r="AX5" s="594" t="s">
        <v>1882</v>
      </c>
      <c r="AY5" s="594" t="s">
        <v>1883</v>
      </c>
      <c r="AZ5" s="594" t="s">
        <v>1884</v>
      </c>
      <c r="BA5" s="594" t="s">
        <v>1877</v>
      </c>
      <c r="BB5" s="594" t="s">
        <v>1878</v>
      </c>
      <c r="BC5" s="594" t="s">
        <v>1879</v>
      </c>
      <c r="BD5" s="594" t="s">
        <v>1880</v>
      </c>
      <c r="BE5" s="594" t="s">
        <v>1873</v>
      </c>
      <c r="BF5" s="594" t="s">
        <v>1874</v>
      </c>
      <c r="BG5" s="594" t="s">
        <v>1875</v>
      </c>
      <c r="BH5" s="594" t="s">
        <v>1876</v>
      </c>
      <c r="BI5" s="594" t="s">
        <v>2196</v>
      </c>
      <c r="BJ5" s="594" t="s">
        <v>2197</v>
      </c>
      <c r="BK5" s="594" t="s">
        <v>2198</v>
      </c>
      <c r="BL5" s="594" t="s">
        <v>2199</v>
      </c>
      <c r="BM5" s="594" t="s">
        <v>2200</v>
      </c>
      <c r="BN5" s="594" t="s">
        <v>2201</v>
      </c>
      <c r="BO5" s="594" t="s">
        <v>2202</v>
      </c>
      <c r="BP5" s="594" t="s">
        <v>2203</v>
      </c>
      <c r="BQ5" s="1136"/>
      <c r="BR5" s="1166"/>
      <c r="BS5" s="1166"/>
      <c r="BT5" s="1166"/>
      <c r="BU5" s="1166"/>
      <c r="BV5" s="1166"/>
      <c r="BW5" s="1166"/>
      <c r="BX5" s="1166"/>
      <c r="BY5" s="1166"/>
      <c r="BZ5" s="1166"/>
      <c r="CA5" s="1166"/>
      <c r="CB5" s="1166"/>
      <c r="CC5" s="1166"/>
      <c r="CD5" s="1166"/>
      <c r="CE5" s="1166"/>
      <c r="CF5" s="1166"/>
      <c r="CG5" s="1166"/>
      <c r="CH5" s="1166"/>
      <c r="CI5" s="1166"/>
      <c r="CJ5" s="1166"/>
      <c r="CK5" s="1166"/>
      <c r="CL5" s="1166"/>
      <c r="CM5" s="1166"/>
      <c r="CN5" s="1166"/>
      <c r="CO5" s="1166"/>
      <c r="CP5" s="1166"/>
      <c r="CQ5" s="1166"/>
      <c r="CR5" s="1166"/>
      <c r="CS5" s="1166"/>
      <c r="CT5" s="1166"/>
      <c r="CU5" s="1166"/>
      <c r="CV5" s="1166"/>
      <c r="CW5" s="1166"/>
      <c r="CX5" s="1166"/>
      <c r="CY5" s="1166"/>
      <c r="CZ5" s="1166"/>
      <c r="DA5" s="1166"/>
      <c r="DB5" s="1166"/>
      <c r="DC5" s="1166"/>
      <c r="DD5" s="1166"/>
      <c r="DE5" s="1166"/>
      <c r="DF5" s="1166"/>
    </row>
    <row r="6" spans="2:110" ht="14" thickBot="1">
      <c r="B6" s="12" t="s">
        <v>22</v>
      </c>
      <c r="C6" s="214"/>
      <c r="D6" s="214"/>
      <c r="E6" s="214"/>
      <c r="F6" s="214" t="s">
        <v>207</v>
      </c>
      <c r="G6" s="215">
        <v>2010</v>
      </c>
      <c r="H6" s="215">
        <v>2011</v>
      </c>
      <c r="I6" s="215">
        <v>2012</v>
      </c>
      <c r="J6" s="215">
        <v>2013</v>
      </c>
      <c r="K6" s="215">
        <v>2014</v>
      </c>
      <c r="L6" s="215">
        <v>2015</v>
      </c>
      <c r="M6" s="215">
        <v>2016</v>
      </c>
      <c r="N6" s="215">
        <v>2017</v>
      </c>
      <c r="O6" s="215">
        <v>2018</v>
      </c>
      <c r="P6" s="215">
        <v>2019</v>
      </c>
      <c r="Q6" s="215">
        <v>2020</v>
      </c>
      <c r="R6" s="215">
        <v>2021</v>
      </c>
      <c r="S6" s="215">
        <v>2022</v>
      </c>
      <c r="T6" s="215">
        <v>2023</v>
      </c>
      <c r="U6" s="215">
        <v>2024</v>
      </c>
      <c r="V6" s="215">
        <v>2025</v>
      </c>
      <c r="W6" s="215">
        <v>2026</v>
      </c>
      <c r="X6" s="215">
        <v>2027</v>
      </c>
      <c r="Y6" s="215">
        <v>2028</v>
      </c>
      <c r="Z6" s="215">
        <v>2029</v>
      </c>
      <c r="AA6" s="215">
        <v>2030</v>
      </c>
      <c r="AB6" s="215">
        <v>2031</v>
      </c>
      <c r="AC6" s="215">
        <v>2032</v>
      </c>
      <c r="AD6" s="215">
        <v>2033</v>
      </c>
      <c r="AE6" s="215">
        <v>2034</v>
      </c>
      <c r="AF6" s="215">
        <v>2035</v>
      </c>
      <c r="AG6" s="215">
        <v>2036</v>
      </c>
      <c r="AH6" s="215">
        <v>2037</v>
      </c>
      <c r="AI6" s="215">
        <v>2038</v>
      </c>
      <c r="AJ6" s="215">
        <v>2039</v>
      </c>
      <c r="AK6" s="215">
        <v>2040</v>
      </c>
      <c r="AL6" s="215">
        <v>2041</v>
      </c>
      <c r="AM6" s="215">
        <v>2042</v>
      </c>
      <c r="AN6" s="215">
        <v>2043</v>
      </c>
      <c r="AO6" s="215">
        <v>2044</v>
      </c>
      <c r="AP6" s="215">
        <v>2045</v>
      </c>
      <c r="AQ6" s="215">
        <v>2046</v>
      </c>
      <c r="AR6" s="215">
        <v>2047</v>
      </c>
      <c r="AS6" s="215">
        <v>2048</v>
      </c>
      <c r="AT6" s="215">
        <v>2049</v>
      </c>
      <c r="AU6" s="215">
        <v>2050</v>
      </c>
      <c r="AV6" s="541"/>
      <c r="AW6" s="595" t="s">
        <v>62</v>
      </c>
      <c r="AX6" s="595" t="s">
        <v>62</v>
      </c>
      <c r="AY6" s="595" t="s">
        <v>62</v>
      </c>
      <c r="AZ6" s="595" t="s">
        <v>257</v>
      </c>
      <c r="BA6" s="595" t="s">
        <v>62</v>
      </c>
      <c r="BB6" s="595" t="s">
        <v>62</v>
      </c>
      <c r="BC6" s="595" t="s">
        <v>62</v>
      </c>
      <c r="BD6" s="595" t="s">
        <v>257</v>
      </c>
      <c r="BE6" s="595" t="s">
        <v>62</v>
      </c>
      <c r="BF6" s="595" t="s">
        <v>62</v>
      </c>
      <c r="BG6" s="595" t="s">
        <v>62</v>
      </c>
      <c r="BH6" s="595" t="s">
        <v>257</v>
      </c>
      <c r="BI6" s="595" t="s">
        <v>62</v>
      </c>
      <c r="BJ6" s="595" t="s">
        <v>62</v>
      </c>
      <c r="BK6" s="595" t="s">
        <v>62</v>
      </c>
      <c r="BL6" s="595" t="s">
        <v>257</v>
      </c>
      <c r="BM6" s="595" t="s">
        <v>62</v>
      </c>
      <c r="BN6" s="595" t="s">
        <v>62</v>
      </c>
      <c r="BO6" s="595" t="s">
        <v>62</v>
      </c>
      <c r="BP6" s="595" t="s">
        <v>257</v>
      </c>
      <c r="BQ6" s="1137"/>
      <c r="BR6" s="1167"/>
      <c r="BS6" s="1167"/>
      <c r="BT6" s="1167"/>
      <c r="BU6" s="1167"/>
      <c r="BV6" s="1167"/>
      <c r="BW6" s="1167"/>
      <c r="BX6" s="1167"/>
      <c r="BY6" s="1167"/>
      <c r="BZ6" s="1167"/>
      <c r="CA6" s="1167"/>
      <c r="CB6" s="1167"/>
      <c r="CC6" s="1167"/>
      <c r="CD6" s="1167"/>
      <c r="CE6" s="1167"/>
      <c r="CF6" s="3"/>
      <c r="CG6" s="3"/>
      <c r="CH6" s="3"/>
      <c r="CI6" s="3"/>
      <c r="CJ6" s="3"/>
      <c r="CK6" s="3"/>
      <c r="CL6" s="3"/>
      <c r="CM6" s="3"/>
      <c r="CN6" s="3"/>
      <c r="CO6" s="3"/>
      <c r="CP6" s="3"/>
      <c r="CQ6" s="3"/>
      <c r="CR6" s="3"/>
      <c r="CS6" s="3"/>
      <c r="CT6" s="3"/>
      <c r="CU6" s="3"/>
      <c r="CV6" s="3"/>
      <c r="CW6" s="3"/>
      <c r="CX6" s="3"/>
      <c r="CY6" s="3"/>
      <c r="CZ6" s="3"/>
      <c r="DA6" s="3"/>
      <c r="DB6" s="3"/>
      <c r="DC6" s="3"/>
      <c r="DD6" s="3"/>
      <c r="DE6" s="3"/>
      <c r="DF6" s="3"/>
    </row>
    <row r="7" spans="2:110" ht="15">
      <c r="B7" s="8" t="str">
        <f>Processes!D6</f>
        <v>IMPPEA</v>
      </c>
      <c r="C7" s="8" t="str">
        <f>Processes!E6</f>
        <v>Import technology - Peat</v>
      </c>
      <c r="D7" s="216"/>
      <c r="E7" s="216" t="str">
        <f>IF(LEN(B7)=6,RIGHT(B7,3),RIGHT(B7,4))</f>
        <v>PEA</v>
      </c>
      <c r="F7" s="540" t="s">
        <v>1579</v>
      </c>
      <c r="G7" s="483">
        <f t="shared" ref="G7:P16" si="0">IFERROR(INDEX($G$122:$AU$177,MATCH($E7,$E$122:$E$177,0),MATCH(G$6,$G$121:$AU$121,0)),0)</f>
        <v>46</v>
      </c>
      <c r="H7" s="483">
        <f t="shared" si="0"/>
        <v>46</v>
      </c>
      <c r="I7" s="483">
        <f t="shared" si="0"/>
        <v>46</v>
      </c>
      <c r="J7" s="483">
        <f t="shared" si="0"/>
        <v>45.7</v>
      </c>
      <c r="K7" s="483">
        <f t="shared" si="0"/>
        <v>45.3</v>
      </c>
      <c r="L7" s="483">
        <f t="shared" si="0"/>
        <v>44.9</v>
      </c>
      <c r="M7" s="483">
        <f t="shared" si="0"/>
        <v>45.4</v>
      </c>
      <c r="N7" s="483">
        <f t="shared" si="0"/>
        <v>45.9</v>
      </c>
      <c r="O7" s="483">
        <f t="shared" si="0"/>
        <v>45.179472202489855</v>
      </c>
      <c r="P7" s="483">
        <f t="shared" si="0"/>
        <v>45.117600562980392</v>
      </c>
      <c r="Q7" s="483">
        <f t="shared" ref="Q7:Z16" si="1">IFERROR(INDEX($G$122:$AU$177,MATCH($E7,$E$122:$E$177,0),MATCH(Q$6,$G$121:$AU$121,0)),0)</f>
        <v>45.248389703133633</v>
      </c>
      <c r="R7" s="483">
        <f t="shared" si="1"/>
        <v>45.190250127598674</v>
      </c>
      <c r="S7" s="483">
        <f t="shared" si="1"/>
        <v>45.392121473736516</v>
      </c>
      <c r="T7" s="483">
        <f t="shared" si="1"/>
        <v>45.644433925671841</v>
      </c>
      <c r="U7" s="483">
        <f t="shared" si="1"/>
        <v>45.923015098100862</v>
      </c>
      <c r="V7" s="483">
        <f t="shared" si="1"/>
        <v>46.207001444406053</v>
      </c>
      <c r="W7" s="483">
        <f t="shared" si="1"/>
        <v>46.419730980267232</v>
      </c>
      <c r="X7" s="483">
        <f t="shared" si="1"/>
        <v>46.631059323825987</v>
      </c>
      <c r="Y7" s="483">
        <f t="shared" si="1"/>
        <v>46.839924523073165</v>
      </c>
      <c r="Z7" s="483">
        <f t="shared" si="1"/>
        <v>47.054043906757286</v>
      </c>
      <c r="AA7" s="483">
        <f t="shared" ref="AA7:AJ16" si="2">IFERROR(INDEX($G$122:$AU$177,MATCH($E7,$E$122:$E$177,0),MATCH(AA$6,$G$121:$AU$121,0)),0)</f>
        <v>47.263106384197172</v>
      </c>
      <c r="AB7" s="483">
        <f t="shared" si="2"/>
        <v>47.363169268373781</v>
      </c>
      <c r="AC7" s="483">
        <f t="shared" si="2"/>
        <v>47.463048827686151</v>
      </c>
      <c r="AD7" s="483">
        <f t="shared" si="2"/>
        <v>47.562746231205452</v>
      </c>
      <c r="AE7" s="483">
        <f t="shared" si="2"/>
        <v>47.662262629564232</v>
      </c>
      <c r="AF7" s="483">
        <f t="shared" si="2"/>
        <v>47.761599155151828</v>
      </c>
      <c r="AG7" s="483">
        <f t="shared" si="2"/>
        <v>47.861557709026719</v>
      </c>
      <c r="AH7" s="483">
        <f t="shared" si="2"/>
        <v>47.961224086497161</v>
      </c>
      <c r="AI7" s="483">
        <f t="shared" si="2"/>
        <v>48.06060022028862</v>
      </c>
      <c r="AJ7" s="483">
        <f t="shared" si="2"/>
        <v>48.159688016832391</v>
      </c>
      <c r="AK7" s="483">
        <f t="shared" ref="AK7:AU16" si="3">IFERROR(INDEX($G$122:$AU$177,MATCH($E7,$E$122:$E$177,0),MATCH(AK$6,$G$121:$AU$121,0)),0)</f>
        <v>48.258489356547372</v>
      </c>
      <c r="AL7" s="483">
        <f t="shared" si="3"/>
        <v>48.37762671431922</v>
      </c>
      <c r="AM7" s="483">
        <f t="shared" si="3"/>
        <v>48.496315696545963</v>
      </c>
      <c r="AN7" s="483">
        <f t="shared" si="3"/>
        <v>48.614559135690349</v>
      </c>
      <c r="AO7" s="483">
        <f t="shared" si="3"/>
        <v>48.73235982855357</v>
      </c>
      <c r="AP7" s="483">
        <f t="shared" si="3"/>
        <v>48.849720536660548</v>
      </c>
      <c r="AQ7" s="483">
        <f t="shared" si="3"/>
        <v>49.024574818868821</v>
      </c>
      <c r="AR7" s="483">
        <f t="shared" si="3"/>
        <v>49.198719487894593</v>
      </c>
      <c r="AS7" s="483">
        <f t="shared" si="3"/>
        <v>49.372158440659689</v>
      </c>
      <c r="AT7" s="483">
        <f t="shared" si="3"/>
        <v>49.544895527221009</v>
      </c>
      <c r="AU7" s="483">
        <f t="shared" si="3"/>
        <v>49.716934551280723</v>
      </c>
      <c r="AV7" s="484">
        <v>5</v>
      </c>
      <c r="AW7" s="483"/>
      <c r="AX7" s="602"/>
      <c r="AY7" s="602"/>
      <c r="AZ7" s="602"/>
      <c r="BA7" s="602"/>
      <c r="BB7" s="602"/>
      <c r="BC7" s="602"/>
      <c r="BD7" s="603"/>
      <c r="BE7" s="603"/>
      <c r="BF7" s="603"/>
      <c r="BH7" s="603"/>
      <c r="BI7" s="603"/>
      <c r="BJ7" s="603"/>
      <c r="BL7" s="603"/>
      <c r="BM7" s="603"/>
      <c r="BN7" s="603"/>
      <c r="BP7" s="603"/>
      <c r="BQ7" s="603"/>
      <c r="BR7" s="603"/>
      <c r="BS7" s="603"/>
      <c r="BT7" s="603"/>
      <c r="BU7" s="603"/>
      <c r="BV7" s="603"/>
      <c r="BW7" s="603"/>
      <c r="BX7" s="603"/>
      <c r="BY7" s="603"/>
      <c r="BZ7" s="603"/>
      <c r="CA7" s="603"/>
      <c r="CB7" s="603"/>
      <c r="CC7" s="603"/>
      <c r="CD7" s="603"/>
      <c r="CE7" s="603"/>
      <c r="CF7" s="603"/>
      <c r="CG7" s="518"/>
      <c r="CH7" s="518"/>
    </row>
    <row r="8" spans="2:110" ht="15">
      <c r="B8" s="8" t="str">
        <f>Processes!D7</f>
        <v>IMPIWH</v>
      </c>
      <c r="C8" s="8" t="str">
        <f>Processes!E7</f>
        <v xml:space="preserve">Import technology - Industrial waste heat </v>
      </c>
      <c r="D8" s="216"/>
      <c r="E8" s="216" t="str">
        <f t="shared" ref="E8:E53" si="4">IF(LEN(B8)=6,RIGHT(B8,3),RIGHT(B8,4))</f>
        <v>IWH</v>
      </c>
      <c r="F8" s="540" t="s">
        <v>1579</v>
      </c>
      <c r="G8" s="483">
        <f t="shared" si="0"/>
        <v>0</v>
      </c>
      <c r="H8" s="483">
        <f t="shared" si="0"/>
        <v>0</v>
      </c>
      <c r="I8" s="483">
        <f t="shared" si="0"/>
        <v>0</v>
      </c>
      <c r="J8" s="483">
        <f t="shared" si="0"/>
        <v>0</v>
      </c>
      <c r="K8" s="483">
        <f t="shared" si="0"/>
        <v>0</v>
      </c>
      <c r="L8" s="483">
        <f t="shared" si="0"/>
        <v>0</v>
      </c>
      <c r="M8" s="483">
        <f t="shared" si="0"/>
        <v>0</v>
      </c>
      <c r="N8" s="483">
        <f t="shared" si="0"/>
        <v>0</v>
      </c>
      <c r="O8" s="483">
        <f t="shared" si="0"/>
        <v>0</v>
      </c>
      <c r="P8" s="483">
        <f t="shared" si="0"/>
        <v>0</v>
      </c>
      <c r="Q8" s="483">
        <f t="shared" si="1"/>
        <v>0</v>
      </c>
      <c r="R8" s="483">
        <f t="shared" si="1"/>
        <v>0</v>
      </c>
      <c r="S8" s="483">
        <f t="shared" si="1"/>
        <v>0</v>
      </c>
      <c r="T8" s="483">
        <f t="shared" si="1"/>
        <v>0</v>
      </c>
      <c r="U8" s="483">
        <f t="shared" si="1"/>
        <v>0</v>
      </c>
      <c r="V8" s="483">
        <f t="shared" si="1"/>
        <v>0</v>
      </c>
      <c r="W8" s="483">
        <f t="shared" si="1"/>
        <v>0</v>
      </c>
      <c r="X8" s="483">
        <f t="shared" si="1"/>
        <v>0</v>
      </c>
      <c r="Y8" s="483">
        <f t="shared" si="1"/>
        <v>0</v>
      </c>
      <c r="Z8" s="483">
        <f t="shared" si="1"/>
        <v>0</v>
      </c>
      <c r="AA8" s="483">
        <f t="shared" si="2"/>
        <v>0</v>
      </c>
      <c r="AB8" s="483">
        <f t="shared" si="2"/>
        <v>0</v>
      </c>
      <c r="AC8" s="483">
        <f t="shared" si="2"/>
        <v>0</v>
      </c>
      <c r="AD8" s="483">
        <f t="shared" si="2"/>
        <v>0</v>
      </c>
      <c r="AE8" s="483">
        <f t="shared" si="2"/>
        <v>0</v>
      </c>
      <c r="AF8" s="483">
        <f t="shared" si="2"/>
        <v>0</v>
      </c>
      <c r="AG8" s="483">
        <f t="shared" si="2"/>
        <v>0</v>
      </c>
      <c r="AH8" s="483">
        <f t="shared" si="2"/>
        <v>0</v>
      </c>
      <c r="AI8" s="483">
        <f t="shared" si="2"/>
        <v>0</v>
      </c>
      <c r="AJ8" s="483">
        <f t="shared" si="2"/>
        <v>0</v>
      </c>
      <c r="AK8" s="483">
        <f t="shared" si="3"/>
        <v>0</v>
      </c>
      <c r="AL8" s="483">
        <f t="shared" si="3"/>
        <v>0</v>
      </c>
      <c r="AM8" s="483">
        <f t="shared" si="3"/>
        <v>0</v>
      </c>
      <c r="AN8" s="483">
        <f t="shared" si="3"/>
        <v>0</v>
      </c>
      <c r="AO8" s="483">
        <f t="shared" si="3"/>
        <v>0</v>
      </c>
      <c r="AP8" s="483">
        <f t="shared" si="3"/>
        <v>0</v>
      </c>
      <c r="AQ8" s="483">
        <f t="shared" si="3"/>
        <v>0</v>
      </c>
      <c r="AR8" s="483">
        <f t="shared" si="3"/>
        <v>0</v>
      </c>
      <c r="AS8" s="483">
        <f t="shared" si="3"/>
        <v>0</v>
      </c>
      <c r="AT8" s="483">
        <f t="shared" si="3"/>
        <v>0</v>
      </c>
      <c r="AU8" s="483">
        <f t="shared" si="3"/>
        <v>0</v>
      </c>
      <c r="AV8" s="484">
        <v>5</v>
      </c>
      <c r="AX8" s="602"/>
      <c r="AY8" s="602"/>
      <c r="AZ8" s="602"/>
      <c r="BA8" s="602"/>
      <c r="BB8" s="602"/>
      <c r="BC8" s="518"/>
      <c r="BD8" s="603"/>
      <c r="BE8" s="603"/>
      <c r="BF8" s="603"/>
      <c r="BG8" s="603"/>
      <c r="BH8" s="603"/>
      <c r="BI8" s="603"/>
      <c r="BJ8" s="603"/>
      <c r="BK8" s="603"/>
      <c r="BL8" s="603"/>
      <c r="BM8" s="603"/>
      <c r="BN8" s="603"/>
      <c r="BO8" s="603"/>
      <c r="BP8" s="603"/>
      <c r="BQ8" s="603"/>
      <c r="BR8" s="603"/>
      <c r="BS8" s="603"/>
      <c r="BT8" s="603"/>
      <c r="BU8" s="603"/>
      <c r="BV8" s="603"/>
      <c r="BW8" s="603"/>
      <c r="BX8" s="603"/>
      <c r="BY8" s="603"/>
      <c r="BZ8" s="603"/>
      <c r="CA8" s="603"/>
      <c r="CB8" s="603"/>
      <c r="CC8" s="603"/>
      <c r="CD8" s="603"/>
      <c r="CE8" s="603"/>
      <c r="CF8" s="603"/>
      <c r="CG8" s="518"/>
      <c r="CH8" s="518"/>
    </row>
    <row r="9" spans="2:110" ht="15">
      <c r="B9" s="8" t="str">
        <f>Processes!D8</f>
        <v>IMPBFG</v>
      </c>
      <c r="C9" s="8" t="str">
        <f>Processes!E8</f>
        <v>Import technology - Blast furnace gas</v>
      </c>
      <c r="D9" s="216"/>
      <c r="E9" s="216" t="str">
        <f t="shared" si="4"/>
        <v>BFG</v>
      </c>
      <c r="F9" s="540" t="s">
        <v>1579</v>
      </c>
      <c r="G9" s="483">
        <f t="shared" si="0"/>
        <v>11.55</v>
      </c>
      <c r="H9" s="483">
        <f t="shared" si="0"/>
        <v>13.85</v>
      </c>
      <c r="I9" s="483">
        <f t="shared" si="0"/>
        <v>11.95</v>
      </c>
      <c r="J9" s="483">
        <f t="shared" si="0"/>
        <v>10.15</v>
      </c>
      <c r="K9" s="483">
        <f t="shared" si="0"/>
        <v>8.6</v>
      </c>
      <c r="L9" s="483">
        <f t="shared" si="0"/>
        <v>7.85</v>
      </c>
      <c r="M9" s="483">
        <f t="shared" si="0"/>
        <v>6.1</v>
      </c>
      <c r="N9" s="483">
        <f t="shared" si="0"/>
        <v>5.85</v>
      </c>
      <c r="O9" s="483">
        <f t="shared" si="0"/>
        <v>11.467898064011884</v>
      </c>
      <c r="P9" s="483">
        <f t="shared" si="0"/>
        <v>7.7663830030950765</v>
      </c>
      <c r="Q9" s="483">
        <f t="shared" si="1"/>
        <v>6.4647759447939386</v>
      </c>
      <c r="R9" s="483">
        <f t="shared" si="1"/>
        <v>6.5830294771624471</v>
      </c>
      <c r="S9" s="483">
        <f t="shared" si="1"/>
        <v>6.8367367407151214</v>
      </c>
      <c r="T9" s="483">
        <f t="shared" si="1"/>
        <v>7.0869633419431945</v>
      </c>
      <c r="U9" s="483">
        <f t="shared" si="1"/>
        <v>7.3237003604902249</v>
      </c>
      <c r="V9" s="483">
        <f t="shared" si="1"/>
        <v>7.2904494140519214</v>
      </c>
      <c r="W9" s="483">
        <f t="shared" si="1"/>
        <v>7.2658292469417001</v>
      </c>
      <c r="X9" s="483">
        <f t="shared" si="1"/>
        <v>7.2386152965441681</v>
      </c>
      <c r="Y9" s="483">
        <f t="shared" si="1"/>
        <v>7.2065953240946836</v>
      </c>
      <c r="Z9" s="483">
        <f t="shared" si="1"/>
        <v>7.1719818027432378</v>
      </c>
      <c r="AA9" s="483">
        <f t="shared" si="2"/>
        <v>7.1332515760414905</v>
      </c>
      <c r="AB9" s="483">
        <f t="shared" si="2"/>
        <v>7.1153465320667548</v>
      </c>
      <c r="AC9" s="483">
        <f t="shared" si="2"/>
        <v>7.097518632127068</v>
      </c>
      <c r="AD9" s="483">
        <f t="shared" si="2"/>
        <v>7.0795572350830023</v>
      </c>
      <c r="AE9" s="483">
        <f t="shared" si="2"/>
        <v>7.0616767132396783</v>
      </c>
      <c r="AF9" s="483">
        <f t="shared" si="2"/>
        <v>7.0437860033118742</v>
      </c>
      <c r="AG9" s="483">
        <f t="shared" si="2"/>
        <v>7.0259928453493545</v>
      </c>
      <c r="AH9" s="483">
        <f t="shared" si="2"/>
        <v>7.0080856252282011</v>
      </c>
      <c r="AI9" s="483">
        <f t="shared" si="2"/>
        <v>6.990255369175598</v>
      </c>
      <c r="AJ9" s="483">
        <f t="shared" si="2"/>
        <v>6.9723272493975728</v>
      </c>
      <c r="AK9" s="483">
        <f t="shared" si="3"/>
        <v>6.9544309358125274</v>
      </c>
      <c r="AL9" s="483">
        <f t="shared" si="3"/>
        <v>6.9365345690910853</v>
      </c>
      <c r="AM9" s="483">
        <f t="shared" si="3"/>
        <v>6.9183052264039517</v>
      </c>
      <c r="AN9" s="483">
        <f t="shared" si="3"/>
        <v>6.900075278683218</v>
      </c>
      <c r="AO9" s="483">
        <f t="shared" si="3"/>
        <v>6.8818447251553092</v>
      </c>
      <c r="AP9" s="483">
        <f t="shared" si="3"/>
        <v>6.8636135650456671</v>
      </c>
      <c r="AQ9" s="483">
        <f t="shared" si="3"/>
        <v>6.8453817975787317</v>
      </c>
      <c r="AR9" s="483">
        <f t="shared" si="3"/>
        <v>6.8271494219779587</v>
      </c>
      <c r="AS9" s="483">
        <f t="shared" si="3"/>
        <v>6.808916437465812</v>
      </c>
      <c r="AT9" s="483">
        <f t="shared" si="3"/>
        <v>6.7906828432637569</v>
      </c>
      <c r="AU9" s="483">
        <f t="shared" si="3"/>
        <v>6.7724486385922678</v>
      </c>
      <c r="AV9" s="484">
        <v>5</v>
      </c>
      <c r="AX9" s="602"/>
      <c r="AY9" s="602"/>
      <c r="AZ9" s="602"/>
      <c r="BA9" s="602"/>
      <c r="BB9" s="602"/>
      <c r="BC9" s="518"/>
      <c r="BD9" s="603"/>
      <c r="BE9" s="603"/>
      <c r="BF9" s="603"/>
      <c r="BG9" s="603"/>
      <c r="BH9" s="603"/>
      <c r="BI9" s="603"/>
      <c r="BJ9" s="603"/>
      <c r="BK9" s="603"/>
      <c r="BL9" s="603"/>
      <c r="BM9" s="603"/>
      <c r="BN9" s="603"/>
      <c r="BO9" s="603"/>
      <c r="BP9" s="603"/>
      <c r="BQ9" s="603"/>
      <c r="BR9" s="603"/>
      <c r="BS9" s="603"/>
      <c r="BT9" s="603"/>
      <c r="BU9" s="603"/>
      <c r="BV9" s="603"/>
      <c r="BW9" s="603"/>
      <c r="BX9" s="603"/>
      <c r="BY9" s="603"/>
      <c r="BZ9" s="603"/>
      <c r="CA9" s="603"/>
      <c r="CB9" s="603"/>
      <c r="CC9" s="603"/>
      <c r="CD9" s="603"/>
      <c r="CE9" s="603"/>
      <c r="CF9" s="603"/>
      <c r="CG9" s="518"/>
      <c r="CH9" s="518"/>
    </row>
    <row r="10" spans="2:110" ht="15">
      <c r="B10" s="8" t="str">
        <f>Processes!D9</f>
        <v>IMPAMB</v>
      </c>
      <c r="C10" s="8" t="str">
        <f>Processes!E9</f>
        <v>Import technology - Ambient Temperature for heat pump</v>
      </c>
      <c r="D10" s="216"/>
      <c r="E10" s="216" t="str">
        <f t="shared" si="4"/>
        <v>AMB</v>
      </c>
      <c r="F10" s="540" t="s">
        <v>1579</v>
      </c>
      <c r="G10" s="483">
        <f t="shared" si="0"/>
        <v>0</v>
      </c>
      <c r="H10" s="483">
        <f t="shared" si="0"/>
        <v>0</v>
      </c>
      <c r="I10" s="483">
        <f t="shared" si="0"/>
        <v>0</v>
      </c>
      <c r="J10" s="483">
        <f t="shared" si="0"/>
        <v>0</v>
      </c>
      <c r="K10" s="483">
        <f t="shared" si="0"/>
        <v>0</v>
      </c>
      <c r="L10" s="483">
        <f t="shared" si="0"/>
        <v>0</v>
      </c>
      <c r="M10" s="483">
        <f t="shared" si="0"/>
        <v>0</v>
      </c>
      <c r="N10" s="483">
        <f t="shared" si="0"/>
        <v>0</v>
      </c>
      <c r="O10" s="483">
        <f t="shared" si="0"/>
        <v>0</v>
      </c>
      <c r="P10" s="483">
        <f t="shared" si="0"/>
        <v>0</v>
      </c>
      <c r="Q10" s="483">
        <f t="shared" si="1"/>
        <v>0</v>
      </c>
      <c r="R10" s="483">
        <f t="shared" si="1"/>
        <v>0</v>
      </c>
      <c r="S10" s="483">
        <f t="shared" si="1"/>
        <v>0</v>
      </c>
      <c r="T10" s="483">
        <f t="shared" si="1"/>
        <v>0</v>
      </c>
      <c r="U10" s="483">
        <f t="shared" si="1"/>
        <v>0</v>
      </c>
      <c r="V10" s="483">
        <f t="shared" si="1"/>
        <v>0</v>
      </c>
      <c r="W10" s="483">
        <f t="shared" si="1"/>
        <v>0</v>
      </c>
      <c r="X10" s="483">
        <f t="shared" si="1"/>
        <v>0</v>
      </c>
      <c r="Y10" s="483">
        <f t="shared" si="1"/>
        <v>0</v>
      </c>
      <c r="Z10" s="483">
        <f t="shared" si="1"/>
        <v>0</v>
      </c>
      <c r="AA10" s="483">
        <f t="shared" si="2"/>
        <v>0</v>
      </c>
      <c r="AB10" s="483">
        <f t="shared" si="2"/>
        <v>0</v>
      </c>
      <c r="AC10" s="483">
        <f t="shared" si="2"/>
        <v>0</v>
      </c>
      <c r="AD10" s="483">
        <f t="shared" si="2"/>
        <v>0</v>
      </c>
      <c r="AE10" s="483">
        <f t="shared" si="2"/>
        <v>0</v>
      </c>
      <c r="AF10" s="483">
        <f t="shared" si="2"/>
        <v>0</v>
      </c>
      <c r="AG10" s="483">
        <f t="shared" si="2"/>
        <v>0</v>
      </c>
      <c r="AH10" s="483">
        <f t="shared" si="2"/>
        <v>0</v>
      </c>
      <c r="AI10" s="483">
        <f t="shared" si="2"/>
        <v>0</v>
      </c>
      <c r="AJ10" s="483">
        <f t="shared" si="2"/>
        <v>0</v>
      </c>
      <c r="AK10" s="483">
        <f t="shared" si="3"/>
        <v>0</v>
      </c>
      <c r="AL10" s="483">
        <f t="shared" si="3"/>
        <v>0</v>
      </c>
      <c r="AM10" s="483">
        <f t="shared" si="3"/>
        <v>0</v>
      </c>
      <c r="AN10" s="483">
        <f t="shared" si="3"/>
        <v>0</v>
      </c>
      <c r="AO10" s="483">
        <f t="shared" si="3"/>
        <v>0</v>
      </c>
      <c r="AP10" s="483">
        <f t="shared" si="3"/>
        <v>0</v>
      </c>
      <c r="AQ10" s="483">
        <f t="shared" si="3"/>
        <v>0</v>
      </c>
      <c r="AR10" s="483">
        <f t="shared" si="3"/>
        <v>0</v>
      </c>
      <c r="AS10" s="483">
        <f t="shared" si="3"/>
        <v>0</v>
      </c>
      <c r="AT10" s="483">
        <f t="shared" si="3"/>
        <v>0</v>
      </c>
      <c r="AU10" s="483">
        <f t="shared" si="3"/>
        <v>0</v>
      </c>
      <c r="AV10" s="484">
        <v>5</v>
      </c>
      <c r="AX10" s="602"/>
      <c r="AY10" s="602"/>
      <c r="AZ10" s="602"/>
      <c r="BA10" s="602"/>
      <c r="BB10" s="602"/>
      <c r="BC10" s="518"/>
      <c r="BD10" s="603"/>
      <c r="BE10" s="603"/>
      <c r="BF10" s="603"/>
      <c r="BG10" s="603"/>
      <c r="BH10" s="603"/>
      <c r="BI10" s="603"/>
      <c r="BJ10" s="603"/>
      <c r="BK10" s="603"/>
      <c r="BL10" s="603"/>
      <c r="BM10" s="603"/>
      <c r="BN10" s="603"/>
      <c r="BO10" s="603"/>
      <c r="BP10" s="603"/>
      <c r="BQ10" s="603"/>
      <c r="BR10" s="603"/>
      <c r="BS10" s="603"/>
      <c r="BT10" s="603"/>
      <c r="BU10" s="603"/>
      <c r="BV10" s="603"/>
      <c r="BW10" s="603"/>
      <c r="BX10" s="603"/>
      <c r="BY10" s="603"/>
      <c r="BZ10" s="603"/>
      <c r="CA10" s="603"/>
      <c r="CB10" s="603"/>
      <c r="CC10" s="603"/>
      <c r="CD10" s="603"/>
      <c r="CE10" s="603"/>
      <c r="CF10" s="603"/>
      <c r="CG10" s="518"/>
      <c r="CH10" s="518"/>
    </row>
    <row r="11" spans="2:110" ht="15">
      <c r="B11" s="8" t="str">
        <f>Processes!D10</f>
        <v>IMPURN</v>
      </c>
      <c r="C11" s="8" t="str">
        <f>Processes!E10</f>
        <v>Import technology - Nuclear fuel</v>
      </c>
      <c r="D11" s="216"/>
      <c r="E11" s="216" t="str">
        <f t="shared" si="4"/>
        <v>URN</v>
      </c>
      <c r="F11" s="540" t="s">
        <v>1579</v>
      </c>
      <c r="G11" s="483">
        <f t="shared" si="0"/>
        <v>4.1805555555555554</v>
      </c>
      <c r="H11" s="483">
        <f t="shared" si="0"/>
        <v>4.1805555555555554</v>
      </c>
      <c r="I11" s="483">
        <f t="shared" si="0"/>
        <v>4.1805555555555554</v>
      </c>
      <c r="J11" s="483">
        <f t="shared" si="0"/>
        <v>4.1805555555555554</v>
      </c>
      <c r="K11" s="483">
        <f t="shared" si="0"/>
        <v>4.1805555555555554</v>
      </c>
      <c r="L11" s="483">
        <f t="shared" si="0"/>
        <v>4.1805555555555554</v>
      </c>
      <c r="M11" s="483">
        <f t="shared" si="0"/>
        <v>4.1805555555555554</v>
      </c>
      <c r="N11" s="483">
        <f t="shared" si="0"/>
        <v>4.1805555555555554</v>
      </c>
      <c r="O11" s="483">
        <f t="shared" si="0"/>
        <v>4.1805555555555554</v>
      </c>
      <c r="P11" s="483">
        <f t="shared" si="0"/>
        <v>4.1805555555555554</v>
      </c>
      <c r="Q11" s="483">
        <f t="shared" si="1"/>
        <v>4.1805555555555554</v>
      </c>
      <c r="R11" s="483">
        <f t="shared" si="1"/>
        <v>4.1805555555555554</v>
      </c>
      <c r="S11" s="483">
        <f t="shared" si="1"/>
        <v>4.1805555555555554</v>
      </c>
      <c r="T11" s="483">
        <f t="shared" si="1"/>
        <v>4.1805555555555554</v>
      </c>
      <c r="U11" s="483">
        <f t="shared" si="1"/>
        <v>4.1805555555555554</v>
      </c>
      <c r="V11" s="483">
        <f t="shared" si="1"/>
        <v>4.1805555555555554</v>
      </c>
      <c r="W11" s="483">
        <f t="shared" si="1"/>
        <v>4.1805555555555554</v>
      </c>
      <c r="X11" s="483">
        <f t="shared" si="1"/>
        <v>4.1805555555555554</v>
      </c>
      <c r="Y11" s="483">
        <f t="shared" si="1"/>
        <v>4.1805555555555554</v>
      </c>
      <c r="Z11" s="483">
        <f t="shared" si="1"/>
        <v>4.1805555555555554</v>
      </c>
      <c r="AA11" s="483">
        <f t="shared" si="2"/>
        <v>4.1805555555555554</v>
      </c>
      <c r="AB11" s="483">
        <f t="shared" si="2"/>
        <v>4.1805555555555554</v>
      </c>
      <c r="AC11" s="483">
        <f t="shared" si="2"/>
        <v>4.1805555555555554</v>
      </c>
      <c r="AD11" s="483">
        <f t="shared" si="2"/>
        <v>4.1805555555555554</v>
      </c>
      <c r="AE11" s="483">
        <f t="shared" si="2"/>
        <v>4.1805555555555554</v>
      </c>
      <c r="AF11" s="483">
        <f t="shared" si="2"/>
        <v>4.1805555555555554</v>
      </c>
      <c r="AG11" s="483">
        <f t="shared" si="2"/>
        <v>4.1805555555555554</v>
      </c>
      <c r="AH11" s="483">
        <f t="shared" si="2"/>
        <v>4.1805555555555554</v>
      </c>
      <c r="AI11" s="483">
        <f t="shared" si="2"/>
        <v>4.1805555555555554</v>
      </c>
      <c r="AJ11" s="483">
        <f t="shared" si="2"/>
        <v>4.1805555555555554</v>
      </c>
      <c r="AK11" s="483">
        <f t="shared" si="3"/>
        <v>4.1805555555555554</v>
      </c>
      <c r="AL11" s="483">
        <f t="shared" si="3"/>
        <v>4.1805555555555554</v>
      </c>
      <c r="AM11" s="483">
        <f t="shared" si="3"/>
        <v>4.1805555555555554</v>
      </c>
      <c r="AN11" s="483">
        <f t="shared" si="3"/>
        <v>4.1805555555555554</v>
      </c>
      <c r="AO11" s="483">
        <f t="shared" si="3"/>
        <v>4.1805555555555554</v>
      </c>
      <c r="AP11" s="483">
        <f t="shared" si="3"/>
        <v>4.1805555555555554</v>
      </c>
      <c r="AQ11" s="483">
        <f t="shared" si="3"/>
        <v>4.1805555555555554</v>
      </c>
      <c r="AR11" s="483">
        <f t="shared" si="3"/>
        <v>4.1805555555555554</v>
      </c>
      <c r="AS11" s="483">
        <f t="shared" si="3"/>
        <v>4.1805555555555554</v>
      </c>
      <c r="AT11" s="483">
        <f t="shared" si="3"/>
        <v>4.1805555555555554</v>
      </c>
      <c r="AU11" s="483">
        <f t="shared" si="3"/>
        <v>4.1805555555555554</v>
      </c>
      <c r="AV11" s="484">
        <v>5</v>
      </c>
      <c r="AX11" s="602"/>
      <c r="AY11" s="602"/>
      <c r="AZ11" s="602"/>
      <c r="BA11" s="602"/>
      <c r="BB11" s="602"/>
      <c r="BC11" s="518"/>
      <c r="BD11" s="603"/>
      <c r="BE11" s="603"/>
      <c r="BF11" s="603"/>
      <c r="BG11" s="603"/>
      <c r="BH11" s="603"/>
      <c r="BI11" s="603"/>
      <c r="BJ11" s="603"/>
      <c r="BK11" s="603"/>
      <c r="BL11" s="603"/>
      <c r="BM11" s="603"/>
      <c r="BN11" s="603"/>
      <c r="BO11" s="603"/>
      <c r="BP11" s="603"/>
      <c r="BQ11" s="603"/>
      <c r="BR11" s="603"/>
      <c r="BS11" s="603"/>
      <c r="BT11" s="603"/>
      <c r="BU11" s="603"/>
      <c r="BV11" s="603"/>
      <c r="BW11" s="603"/>
      <c r="BX11" s="603"/>
      <c r="BY11" s="603"/>
      <c r="BZ11" s="603"/>
      <c r="CA11" s="603"/>
      <c r="CB11" s="603"/>
      <c r="CC11" s="603"/>
      <c r="CD11" s="603"/>
      <c r="CE11" s="603"/>
      <c r="CF11" s="603"/>
      <c r="CG11" s="518"/>
      <c r="CH11" s="518"/>
    </row>
    <row r="12" spans="2:110" ht="15">
      <c r="B12" s="8" t="str">
        <f>Processes!D11</f>
        <v>IMPBLQ</v>
      </c>
      <c r="C12" s="8" t="str">
        <f>Processes!E11</f>
        <v>Import technology - Black liquor</v>
      </c>
      <c r="D12" s="216"/>
      <c r="E12" s="216" t="str">
        <f t="shared" si="4"/>
        <v>BLQ</v>
      </c>
      <c r="F12" s="540" t="s">
        <v>1579</v>
      </c>
      <c r="G12" s="483">
        <f t="shared" si="0"/>
        <v>0.1</v>
      </c>
      <c r="H12" s="483">
        <f t="shared" si="0"/>
        <v>0.1</v>
      </c>
      <c r="I12" s="483">
        <f t="shared" si="0"/>
        <v>0.1</v>
      </c>
      <c r="J12" s="483">
        <f t="shared" si="0"/>
        <v>0.1</v>
      </c>
      <c r="K12" s="483">
        <f t="shared" si="0"/>
        <v>0.1</v>
      </c>
      <c r="L12" s="483">
        <f t="shared" si="0"/>
        <v>0.1</v>
      </c>
      <c r="M12" s="483">
        <f t="shared" si="0"/>
        <v>0.1</v>
      </c>
      <c r="N12" s="483">
        <f t="shared" si="0"/>
        <v>0.1</v>
      </c>
      <c r="O12" s="483">
        <f t="shared" si="0"/>
        <v>0.1</v>
      </c>
      <c r="P12" s="483">
        <f t="shared" si="0"/>
        <v>0.1</v>
      </c>
      <c r="Q12" s="483">
        <f t="shared" si="1"/>
        <v>0.1</v>
      </c>
      <c r="R12" s="483">
        <f t="shared" si="1"/>
        <v>0.1</v>
      </c>
      <c r="S12" s="483">
        <f t="shared" si="1"/>
        <v>0.1</v>
      </c>
      <c r="T12" s="483">
        <f t="shared" si="1"/>
        <v>0.1</v>
      </c>
      <c r="U12" s="483">
        <f t="shared" si="1"/>
        <v>0.1</v>
      </c>
      <c r="V12" s="483">
        <f t="shared" si="1"/>
        <v>0.1</v>
      </c>
      <c r="W12" s="483">
        <f t="shared" si="1"/>
        <v>0.1</v>
      </c>
      <c r="X12" s="483">
        <f t="shared" si="1"/>
        <v>0.1</v>
      </c>
      <c r="Y12" s="483">
        <f t="shared" si="1"/>
        <v>0.1</v>
      </c>
      <c r="Z12" s="483">
        <f t="shared" si="1"/>
        <v>0.1</v>
      </c>
      <c r="AA12" s="483">
        <f t="shared" si="2"/>
        <v>0.1</v>
      </c>
      <c r="AB12" s="483">
        <f t="shared" si="2"/>
        <v>0.1</v>
      </c>
      <c r="AC12" s="483">
        <f t="shared" si="2"/>
        <v>0.1</v>
      </c>
      <c r="AD12" s="483">
        <f t="shared" si="2"/>
        <v>0.1</v>
      </c>
      <c r="AE12" s="483">
        <f t="shared" si="2"/>
        <v>0.1</v>
      </c>
      <c r="AF12" s="483">
        <f t="shared" si="2"/>
        <v>0.1</v>
      </c>
      <c r="AG12" s="483">
        <f t="shared" si="2"/>
        <v>0.1</v>
      </c>
      <c r="AH12" s="483">
        <f t="shared" si="2"/>
        <v>0.1</v>
      </c>
      <c r="AI12" s="483">
        <f t="shared" si="2"/>
        <v>0.1</v>
      </c>
      <c r="AJ12" s="483">
        <f t="shared" si="2"/>
        <v>0.1</v>
      </c>
      <c r="AK12" s="483">
        <f t="shared" si="3"/>
        <v>0.1</v>
      </c>
      <c r="AL12" s="483">
        <f t="shared" si="3"/>
        <v>0.1</v>
      </c>
      <c r="AM12" s="483">
        <f t="shared" si="3"/>
        <v>0.1</v>
      </c>
      <c r="AN12" s="483">
        <f t="shared" si="3"/>
        <v>0.1</v>
      </c>
      <c r="AO12" s="483">
        <f t="shared" si="3"/>
        <v>0.1</v>
      </c>
      <c r="AP12" s="483">
        <f t="shared" si="3"/>
        <v>0.1</v>
      </c>
      <c r="AQ12" s="483">
        <f t="shared" si="3"/>
        <v>0.1</v>
      </c>
      <c r="AR12" s="483">
        <f t="shared" si="3"/>
        <v>0.1</v>
      </c>
      <c r="AS12" s="483">
        <f t="shared" si="3"/>
        <v>0.1</v>
      </c>
      <c r="AT12" s="483">
        <f t="shared" si="3"/>
        <v>0.1</v>
      </c>
      <c r="AU12" s="483">
        <f t="shared" si="3"/>
        <v>0.1</v>
      </c>
      <c r="AV12" s="484">
        <v>5</v>
      </c>
      <c r="AX12" s="602"/>
      <c r="AY12" s="602"/>
      <c r="AZ12" s="602"/>
      <c r="BA12" s="602"/>
      <c r="BB12" s="602"/>
      <c r="BC12" s="603"/>
      <c r="BD12" s="603"/>
      <c r="BE12" s="603"/>
      <c r="BF12" s="603"/>
      <c r="BG12" s="603"/>
      <c r="BH12" s="603"/>
      <c r="BI12" s="603"/>
      <c r="BJ12" s="603"/>
      <c r="BK12" s="603"/>
      <c r="BL12" s="603"/>
      <c r="BM12" s="603"/>
      <c r="BN12" s="603"/>
      <c r="BO12" s="603"/>
      <c r="BP12" s="603"/>
      <c r="BQ12" s="603"/>
      <c r="BR12" s="603"/>
      <c r="BS12" s="603"/>
      <c r="BT12" s="603"/>
      <c r="BU12" s="603"/>
      <c r="BV12" s="603"/>
      <c r="BW12" s="603"/>
      <c r="BX12" s="603"/>
      <c r="BY12" s="603"/>
      <c r="BZ12" s="603"/>
      <c r="CA12" s="603"/>
      <c r="CB12" s="603"/>
      <c r="CC12" s="603"/>
      <c r="CD12" s="603"/>
      <c r="CE12" s="603"/>
      <c r="CF12" s="603"/>
      <c r="CG12" s="518"/>
      <c r="CH12" s="518"/>
    </row>
    <row r="13" spans="2:110" ht="15">
      <c r="B13" s="8" t="str">
        <f>Processes!D12</f>
        <v>IMPCOA</v>
      </c>
      <c r="C13" s="8" t="str">
        <f>Processes!E12</f>
        <v>Import technology - Coal</v>
      </c>
      <c r="D13" s="216"/>
      <c r="E13" s="216" t="str">
        <f t="shared" si="4"/>
        <v>COA</v>
      </c>
      <c r="F13" s="1119" t="str">
        <f t="shared" ref="F13:F74" si="5">IFERROR(VLOOKUP(E13,$E$122:$F$174,2,FALSE),"MKr19")</f>
        <v>MKr19</v>
      </c>
      <c r="G13" s="483">
        <f t="shared" si="0"/>
        <v>23.1</v>
      </c>
      <c r="H13" s="483">
        <f t="shared" si="0"/>
        <v>27.7</v>
      </c>
      <c r="I13" s="483">
        <f t="shared" si="0"/>
        <v>23.9</v>
      </c>
      <c r="J13" s="483">
        <f t="shared" si="0"/>
        <v>20.3</v>
      </c>
      <c r="K13" s="483">
        <f t="shared" si="0"/>
        <v>17.2</v>
      </c>
      <c r="L13" s="483">
        <f t="shared" si="0"/>
        <v>15.7</v>
      </c>
      <c r="M13" s="483">
        <f t="shared" si="0"/>
        <v>12.2</v>
      </c>
      <c r="N13" s="483">
        <f t="shared" si="0"/>
        <v>11.7</v>
      </c>
      <c r="O13" s="483">
        <f t="shared" si="0"/>
        <v>22.935796128023767</v>
      </c>
      <c r="P13" s="483">
        <f t="shared" si="0"/>
        <v>15.532766006190153</v>
      </c>
      <c r="Q13" s="483">
        <f t="shared" si="1"/>
        <v>12.929551889587877</v>
      </c>
      <c r="R13" s="483">
        <f t="shared" si="1"/>
        <v>13.166058954324894</v>
      </c>
      <c r="S13" s="483">
        <f t="shared" si="1"/>
        <v>13.673473481430243</v>
      </c>
      <c r="T13" s="483">
        <f t="shared" si="1"/>
        <v>14.173926683886389</v>
      </c>
      <c r="U13" s="483">
        <f t="shared" si="1"/>
        <v>14.64740072098045</v>
      </c>
      <c r="V13" s="483">
        <f t="shared" si="1"/>
        <v>14.580898828103843</v>
      </c>
      <c r="W13" s="483">
        <f t="shared" si="1"/>
        <v>14.5316584938834</v>
      </c>
      <c r="X13" s="483">
        <f t="shared" si="1"/>
        <v>14.477230593088336</v>
      </c>
      <c r="Y13" s="483">
        <f t="shared" si="1"/>
        <v>14.413190648189367</v>
      </c>
      <c r="Z13" s="483">
        <f t="shared" si="1"/>
        <v>14.343963605486476</v>
      </c>
      <c r="AA13" s="483">
        <f t="shared" si="2"/>
        <v>14.266503152082981</v>
      </c>
      <c r="AB13" s="483">
        <f t="shared" si="2"/>
        <v>14.23069306413351</v>
      </c>
      <c r="AC13" s="483">
        <f t="shared" si="2"/>
        <v>14.195037264254136</v>
      </c>
      <c r="AD13" s="483">
        <f t="shared" si="2"/>
        <v>14.159114470166005</v>
      </c>
      <c r="AE13" s="483">
        <f t="shared" si="2"/>
        <v>14.123353426479357</v>
      </c>
      <c r="AF13" s="483">
        <f t="shared" si="2"/>
        <v>14.087572006623748</v>
      </c>
      <c r="AG13" s="483">
        <f t="shared" si="2"/>
        <v>14.051985690698709</v>
      </c>
      <c r="AH13" s="483">
        <f t="shared" si="2"/>
        <v>14.016171250456402</v>
      </c>
      <c r="AI13" s="483">
        <f t="shared" si="2"/>
        <v>13.980510738351196</v>
      </c>
      <c r="AJ13" s="483">
        <f t="shared" si="2"/>
        <v>13.944654498795146</v>
      </c>
      <c r="AK13" s="483">
        <f t="shared" si="3"/>
        <v>13.908861871625055</v>
      </c>
      <c r="AL13" s="483">
        <f t="shared" si="3"/>
        <v>13.873069138182171</v>
      </c>
      <c r="AM13" s="483">
        <f t="shared" si="3"/>
        <v>13.836610452807903</v>
      </c>
      <c r="AN13" s="483">
        <f t="shared" si="3"/>
        <v>13.800150557366436</v>
      </c>
      <c r="AO13" s="483">
        <f t="shared" si="3"/>
        <v>13.763689450310618</v>
      </c>
      <c r="AP13" s="483">
        <f t="shared" si="3"/>
        <v>13.727227130091334</v>
      </c>
      <c r="AQ13" s="483">
        <f t="shared" si="3"/>
        <v>13.690763595157463</v>
      </c>
      <c r="AR13" s="483">
        <f t="shared" si="3"/>
        <v>13.654298843955917</v>
      </c>
      <c r="AS13" s="483">
        <f t="shared" si="3"/>
        <v>13.617832874931624</v>
      </c>
      <c r="AT13" s="483">
        <f t="shared" si="3"/>
        <v>13.581365686527514</v>
      </c>
      <c r="AU13" s="483">
        <f t="shared" si="3"/>
        <v>13.544897277184536</v>
      </c>
      <c r="AV13" s="484">
        <v>5</v>
      </c>
      <c r="BB13" s="518"/>
      <c r="BC13" s="518"/>
      <c r="BD13" s="603"/>
      <c r="BE13" s="603"/>
      <c r="BF13" s="603"/>
      <c r="BG13" s="603"/>
      <c r="BH13" s="603"/>
      <c r="BI13" s="603"/>
      <c r="BJ13" s="603"/>
      <c r="BK13" s="603"/>
      <c r="BL13" s="603"/>
      <c r="BM13" s="603"/>
      <c r="BN13" s="603"/>
      <c r="BO13" s="603"/>
      <c r="BP13" s="603"/>
      <c r="BQ13" s="603"/>
      <c r="BR13" s="603"/>
      <c r="BS13" s="603"/>
      <c r="BT13" s="603"/>
      <c r="BU13" s="603"/>
      <c r="BV13" s="603"/>
      <c r="BW13" s="603"/>
      <c r="BX13" s="603"/>
      <c r="BY13" s="603"/>
      <c r="BZ13" s="603"/>
      <c r="CA13" s="603"/>
      <c r="CB13" s="603"/>
      <c r="CC13" s="603"/>
      <c r="CD13" s="603"/>
      <c r="CE13" s="603"/>
      <c r="CF13" s="603"/>
      <c r="CG13" s="518"/>
      <c r="CH13" s="518"/>
    </row>
    <row r="14" spans="2:110" ht="15">
      <c r="B14" s="8" t="str">
        <f>Processes!D13</f>
        <v>IMPNGA</v>
      </c>
      <c r="C14" s="8" t="str">
        <f>Processes!E13</f>
        <v>Import technology - Natural Gas</v>
      </c>
      <c r="D14" s="216"/>
      <c r="E14" s="216" t="str">
        <f t="shared" si="4"/>
        <v>NGA</v>
      </c>
      <c r="F14" s="1119" t="str">
        <f t="shared" si="5"/>
        <v>MKr19</v>
      </c>
      <c r="G14" s="483">
        <f t="shared" si="0"/>
        <v>44.4</v>
      </c>
      <c r="H14" s="483">
        <f t="shared" si="0"/>
        <v>46.1</v>
      </c>
      <c r="I14" s="483">
        <f t="shared" si="0"/>
        <v>55.1</v>
      </c>
      <c r="J14" s="483">
        <f t="shared" si="0"/>
        <v>54.2</v>
      </c>
      <c r="K14" s="483">
        <f t="shared" si="0"/>
        <v>45.7</v>
      </c>
      <c r="L14" s="483">
        <f t="shared" si="0"/>
        <v>44</v>
      </c>
      <c r="M14" s="483">
        <f t="shared" si="0"/>
        <v>36.799999999999997</v>
      </c>
      <c r="N14" s="483">
        <f t="shared" si="0"/>
        <v>36.9</v>
      </c>
      <c r="O14" s="483">
        <f t="shared" si="0"/>
        <v>53.422183381850253</v>
      </c>
      <c r="P14" s="483">
        <f t="shared" si="0"/>
        <v>34.261011240620462</v>
      </c>
      <c r="Q14" s="483">
        <f t="shared" si="1"/>
        <v>33.397849986482257</v>
      </c>
      <c r="R14" s="483">
        <f t="shared" si="1"/>
        <v>31.525290025438199</v>
      </c>
      <c r="S14" s="483">
        <f t="shared" si="1"/>
        <v>32.762548621541896</v>
      </c>
      <c r="T14" s="483">
        <f t="shared" si="1"/>
        <v>33.367688312875465</v>
      </c>
      <c r="U14" s="483">
        <f t="shared" si="1"/>
        <v>33.567123920362071</v>
      </c>
      <c r="V14" s="483">
        <f t="shared" si="1"/>
        <v>33.506083462913665</v>
      </c>
      <c r="W14" s="483">
        <f t="shared" si="1"/>
        <v>33.467639204304064</v>
      </c>
      <c r="X14" s="483">
        <f t="shared" si="1"/>
        <v>33.442947086231669</v>
      </c>
      <c r="Y14" s="483">
        <f t="shared" si="1"/>
        <v>33.42179959045346</v>
      </c>
      <c r="Z14" s="483">
        <f t="shared" si="1"/>
        <v>33.414220248022303</v>
      </c>
      <c r="AA14" s="483">
        <f t="shared" si="2"/>
        <v>33.412152610409883</v>
      </c>
      <c r="AB14" s="483">
        <f t="shared" si="2"/>
        <v>33.458238338148384</v>
      </c>
      <c r="AC14" s="483">
        <f t="shared" si="2"/>
        <v>33.504324065886884</v>
      </c>
      <c r="AD14" s="483">
        <f t="shared" si="2"/>
        <v>33.550409793625377</v>
      </c>
      <c r="AE14" s="483">
        <f t="shared" si="2"/>
        <v>33.59649552136387</v>
      </c>
      <c r="AF14" s="483">
        <f t="shared" si="2"/>
        <v>33.642581249102378</v>
      </c>
      <c r="AG14" s="483">
        <f t="shared" si="2"/>
        <v>33.688666976840878</v>
      </c>
      <c r="AH14" s="483">
        <f t="shared" si="2"/>
        <v>33.734752704579364</v>
      </c>
      <c r="AI14" s="483">
        <f t="shared" si="2"/>
        <v>33.780838432317864</v>
      </c>
      <c r="AJ14" s="483">
        <f t="shared" si="2"/>
        <v>33.82692416005635</v>
      </c>
      <c r="AK14" s="483">
        <f t="shared" si="3"/>
        <v>33.873009887794851</v>
      </c>
      <c r="AL14" s="483">
        <f t="shared" si="3"/>
        <v>33.919095615533351</v>
      </c>
      <c r="AM14" s="483">
        <f t="shared" si="3"/>
        <v>33.965181343271844</v>
      </c>
      <c r="AN14" s="483">
        <f t="shared" si="3"/>
        <v>34.011267071010337</v>
      </c>
      <c r="AO14" s="483">
        <f t="shared" si="3"/>
        <v>34.057352798748838</v>
      </c>
      <c r="AP14" s="483">
        <f t="shared" si="3"/>
        <v>34.103438526487338</v>
      </c>
      <c r="AQ14" s="483">
        <f t="shared" si="3"/>
        <v>34.149524254225838</v>
      </c>
      <c r="AR14" s="483">
        <f t="shared" si="3"/>
        <v>34.195609981964324</v>
      </c>
      <c r="AS14" s="483">
        <f t="shared" si="3"/>
        <v>34.241695709702832</v>
      </c>
      <c r="AT14" s="483">
        <f t="shared" si="3"/>
        <v>34.287781437441318</v>
      </c>
      <c r="AU14" s="483">
        <f t="shared" si="3"/>
        <v>34.333867165179825</v>
      </c>
      <c r="AV14" s="484">
        <v>5</v>
      </c>
      <c r="AW14" s="483"/>
      <c r="AX14" s="483"/>
      <c r="AY14" s="483"/>
      <c r="AZ14" s="1318"/>
      <c r="BA14" s="602"/>
      <c r="BB14" s="602"/>
      <c r="BC14" s="602"/>
      <c r="BQ14" s="603"/>
      <c r="BR14" s="603"/>
      <c r="BS14" s="603"/>
      <c r="BT14" s="603"/>
      <c r="BU14" s="603"/>
      <c r="BV14" s="603"/>
      <c r="BW14" s="603"/>
      <c r="BX14" s="603"/>
      <c r="BY14" s="603"/>
      <c r="BZ14" s="603"/>
      <c r="CA14" s="603"/>
      <c r="CB14" s="603"/>
      <c r="CC14" s="603"/>
      <c r="CD14" s="603"/>
      <c r="CE14" s="603"/>
      <c r="CF14" s="603"/>
      <c r="CG14" s="518"/>
      <c r="CH14" s="518"/>
    </row>
    <row r="15" spans="2:110" ht="15">
      <c r="B15" s="8" t="str">
        <f>Processes!D14</f>
        <v>IMPCRD</v>
      </c>
      <c r="C15" s="8" t="str">
        <f>Processes!E14</f>
        <v>Import technology - Crude Oil</v>
      </c>
      <c r="D15" s="216"/>
      <c r="E15" s="216" t="str">
        <f t="shared" si="4"/>
        <v>CRD</v>
      </c>
      <c r="F15" s="1119" t="str">
        <f t="shared" si="5"/>
        <v>MKr19</v>
      </c>
      <c r="G15" s="483">
        <f t="shared" si="0"/>
        <v>76.2</v>
      </c>
      <c r="H15" s="483">
        <f t="shared" si="0"/>
        <v>106.1</v>
      </c>
      <c r="I15" s="483">
        <f t="shared" si="0"/>
        <v>112.9</v>
      </c>
      <c r="J15" s="483">
        <f t="shared" si="0"/>
        <v>100.3</v>
      </c>
      <c r="K15" s="483">
        <f t="shared" si="0"/>
        <v>97.3</v>
      </c>
      <c r="L15" s="483">
        <f t="shared" si="0"/>
        <v>62.7</v>
      </c>
      <c r="M15" s="483">
        <f t="shared" si="0"/>
        <v>59.9</v>
      </c>
      <c r="N15" s="483">
        <f t="shared" si="0"/>
        <v>63.9</v>
      </c>
      <c r="O15" s="483">
        <f t="shared" si="0"/>
        <v>78.592912119302227</v>
      </c>
      <c r="P15" s="483">
        <f t="shared" si="0"/>
        <v>72.66780821917807</v>
      </c>
      <c r="Q15" s="483">
        <f t="shared" si="1"/>
        <v>71.191547947610658</v>
      </c>
      <c r="R15" s="483">
        <f t="shared" si="1"/>
        <v>49.181117057429148</v>
      </c>
      <c r="S15" s="483">
        <f t="shared" si="1"/>
        <v>52.581323432074825</v>
      </c>
      <c r="T15" s="483">
        <f t="shared" si="1"/>
        <v>54.889966476332738</v>
      </c>
      <c r="U15" s="483">
        <f t="shared" si="1"/>
        <v>56.568388062461416</v>
      </c>
      <c r="V15" s="483">
        <f t="shared" si="1"/>
        <v>57.786429057350325</v>
      </c>
      <c r="W15" s="483">
        <f t="shared" si="1"/>
        <v>59.146270171698553</v>
      </c>
      <c r="X15" s="483">
        <f t="shared" si="1"/>
        <v>60.478046986869018</v>
      </c>
      <c r="Y15" s="483">
        <f t="shared" si="1"/>
        <v>61.703174257304624</v>
      </c>
      <c r="Z15" s="483">
        <f t="shared" si="1"/>
        <v>62.989602327697277</v>
      </c>
      <c r="AA15" s="483">
        <f t="shared" si="2"/>
        <v>64.209121548162642</v>
      </c>
      <c r="AB15" s="483">
        <f t="shared" si="2"/>
        <v>63.901532941943884</v>
      </c>
      <c r="AC15" s="483">
        <f t="shared" si="2"/>
        <v>63.593944335725141</v>
      </c>
      <c r="AD15" s="483">
        <f t="shared" si="2"/>
        <v>63.286355729506404</v>
      </c>
      <c r="AE15" s="483">
        <f t="shared" si="2"/>
        <v>62.978767123287653</v>
      </c>
      <c r="AF15" s="483">
        <f t="shared" si="2"/>
        <v>62.671178517068917</v>
      </c>
      <c r="AG15" s="483">
        <f t="shared" si="2"/>
        <v>62.363589910850173</v>
      </c>
      <c r="AH15" s="483">
        <f t="shared" si="2"/>
        <v>62.056001304631437</v>
      </c>
      <c r="AI15" s="483">
        <f t="shared" si="2"/>
        <v>61.7484126984127</v>
      </c>
      <c r="AJ15" s="483">
        <f t="shared" si="2"/>
        <v>61.440824092193949</v>
      </c>
      <c r="AK15" s="483">
        <f t="shared" si="3"/>
        <v>61.133235485975206</v>
      </c>
      <c r="AL15" s="483">
        <f t="shared" si="3"/>
        <v>60.825646879756469</v>
      </c>
      <c r="AM15" s="483">
        <f t="shared" si="3"/>
        <v>60.518058273537719</v>
      </c>
      <c r="AN15" s="483">
        <f t="shared" si="3"/>
        <v>60.210469667318975</v>
      </c>
      <c r="AO15" s="483">
        <f t="shared" si="3"/>
        <v>59.902881061100238</v>
      </c>
      <c r="AP15" s="483">
        <f t="shared" si="3"/>
        <v>59.595292454881495</v>
      </c>
      <c r="AQ15" s="483">
        <f t="shared" si="3"/>
        <v>59.287703848662751</v>
      </c>
      <c r="AR15" s="483">
        <f t="shared" si="3"/>
        <v>58.980115242444008</v>
      </c>
      <c r="AS15" s="483">
        <f t="shared" si="3"/>
        <v>58.672526636225271</v>
      </c>
      <c r="AT15" s="483">
        <f t="shared" si="3"/>
        <v>58.364938030006527</v>
      </c>
      <c r="AU15" s="483">
        <f t="shared" si="3"/>
        <v>58.057349423787784</v>
      </c>
      <c r="AV15" s="484">
        <v>5</v>
      </c>
      <c r="AW15" s="483"/>
      <c r="AX15" s="483"/>
      <c r="AY15" s="483"/>
      <c r="AZ15" s="598"/>
      <c r="BA15" s="602"/>
      <c r="BB15" s="602"/>
      <c r="BC15" s="602"/>
      <c r="BQ15" s="603"/>
      <c r="BR15" s="603"/>
      <c r="BS15" s="603"/>
      <c r="BT15" s="603"/>
      <c r="BU15" s="603"/>
      <c r="BV15" s="603"/>
      <c r="BW15" s="603"/>
      <c r="BX15" s="603"/>
      <c r="BY15" s="603"/>
      <c r="BZ15" s="603"/>
      <c r="CA15" s="603"/>
      <c r="CB15" s="603"/>
      <c r="CC15" s="603"/>
      <c r="CD15" s="603"/>
      <c r="CE15" s="603"/>
      <c r="CF15" s="603"/>
      <c r="CG15" s="518"/>
      <c r="CH15" s="518"/>
    </row>
    <row r="16" spans="2:110" ht="15">
      <c r="B16" s="8" t="str">
        <f>Processes!D15</f>
        <v>IMPLPG</v>
      </c>
      <c r="C16" s="8" t="str">
        <f>Processes!E15</f>
        <v>Import technology - Liquid petrol gas</v>
      </c>
      <c r="D16" s="216"/>
      <c r="E16" s="216" t="str">
        <f t="shared" si="4"/>
        <v>LPG</v>
      </c>
      <c r="F16" s="1119" t="str">
        <f t="shared" si="5"/>
        <v>MKr14</v>
      </c>
      <c r="G16" s="483">
        <f t="shared" si="0"/>
        <v>88.8</v>
      </c>
      <c r="H16" s="483">
        <f t="shared" si="0"/>
        <v>92.2</v>
      </c>
      <c r="I16" s="483">
        <f t="shared" si="0"/>
        <v>110.2</v>
      </c>
      <c r="J16" s="483">
        <f t="shared" si="0"/>
        <v>108.4</v>
      </c>
      <c r="K16" s="483">
        <f t="shared" si="0"/>
        <v>91.4</v>
      </c>
      <c r="L16" s="483">
        <f t="shared" si="0"/>
        <v>88</v>
      </c>
      <c r="M16" s="483">
        <f t="shared" si="0"/>
        <v>73.599999999999994</v>
      </c>
      <c r="N16" s="483">
        <f t="shared" si="0"/>
        <v>73.8</v>
      </c>
      <c r="O16" s="483">
        <f t="shared" si="0"/>
        <v>106.84436676370051</v>
      </c>
      <c r="P16" s="483">
        <f t="shared" si="0"/>
        <v>68.522022481240924</v>
      </c>
      <c r="Q16" s="483">
        <f t="shared" si="1"/>
        <v>66.795699972964513</v>
      </c>
      <c r="R16" s="483">
        <f t="shared" si="1"/>
        <v>63.050580050876398</v>
      </c>
      <c r="S16" s="483">
        <f t="shared" si="1"/>
        <v>65.525097243083792</v>
      </c>
      <c r="T16" s="483">
        <f t="shared" si="1"/>
        <v>66.735376625750931</v>
      </c>
      <c r="U16" s="483">
        <f t="shared" si="1"/>
        <v>67.134247840724143</v>
      </c>
      <c r="V16" s="483">
        <f t="shared" si="1"/>
        <v>67.01216692582733</v>
      </c>
      <c r="W16" s="483">
        <f t="shared" si="1"/>
        <v>66.935278408608127</v>
      </c>
      <c r="X16" s="483">
        <f t="shared" si="1"/>
        <v>66.885894172463338</v>
      </c>
      <c r="Y16" s="483">
        <f t="shared" si="1"/>
        <v>66.843599180906921</v>
      </c>
      <c r="Z16" s="483">
        <f t="shared" si="1"/>
        <v>66.828440496044607</v>
      </c>
      <c r="AA16" s="483">
        <f t="shared" si="2"/>
        <v>66.824305220819767</v>
      </c>
      <c r="AB16" s="483">
        <f t="shared" si="2"/>
        <v>66.916476676296767</v>
      </c>
      <c r="AC16" s="483">
        <f t="shared" si="2"/>
        <v>67.008648131773768</v>
      </c>
      <c r="AD16" s="483">
        <f t="shared" si="2"/>
        <v>67.100819587250754</v>
      </c>
      <c r="AE16" s="483">
        <f t="shared" si="2"/>
        <v>67.192991042727741</v>
      </c>
      <c r="AF16" s="483">
        <f t="shared" si="2"/>
        <v>67.285162498204755</v>
      </c>
      <c r="AG16" s="483">
        <f t="shared" si="2"/>
        <v>67.377333953681756</v>
      </c>
      <c r="AH16" s="483">
        <f t="shared" si="2"/>
        <v>67.469505409158728</v>
      </c>
      <c r="AI16" s="483">
        <f t="shared" si="2"/>
        <v>67.561676864635729</v>
      </c>
      <c r="AJ16" s="483">
        <f t="shared" si="2"/>
        <v>67.653848320112701</v>
      </c>
      <c r="AK16" s="483">
        <f t="shared" si="3"/>
        <v>67.746019775589701</v>
      </c>
      <c r="AL16" s="483">
        <f t="shared" si="3"/>
        <v>67.838191231066702</v>
      </c>
      <c r="AM16" s="483">
        <f t="shared" si="3"/>
        <v>67.930362686543688</v>
      </c>
      <c r="AN16" s="483">
        <f t="shared" si="3"/>
        <v>68.022534142020675</v>
      </c>
      <c r="AO16" s="483">
        <f t="shared" si="3"/>
        <v>68.114705597497675</v>
      </c>
      <c r="AP16" s="483">
        <f t="shared" si="3"/>
        <v>68.206877052974676</v>
      </c>
      <c r="AQ16" s="483">
        <f t="shared" si="3"/>
        <v>68.299048508451676</v>
      </c>
      <c r="AR16" s="483">
        <f t="shared" si="3"/>
        <v>68.391219963928648</v>
      </c>
      <c r="AS16" s="483">
        <f t="shared" si="3"/>
        <v>68.483391419405663</v>
      </c>
      <c r="AT16" s="483">
        <f t="shared" si="3"/>
        <v>68.575562874882635</v>
      </c>
      <c r="AU16" s="483">
        <f t="shared" si="3"/>
        <v>68.66773433035965</v>
      </c>
      <c r="AV16" s="484">
        <v>5</v>
      </c>
      <c r="AW16" s="483"/>
      <c r="AX16" s="483"/>
      <c r="AY16" s="483"/>
      <c r="AZ16" s="598"/>
      <c r="BA16" s="602"/>
      <c r="BB16" s="602"/>
      <c r="BC16" s="602"/>
      <c r="BQ16" s="603"/>
      <c r="BR16" s="603"/>
      <c r="BS16" s="603"/>
      <c r="BT16" s="603"/>
      <c r="BU16" s="603"/>
      <c r="BV16" s="603"/>
      <c r="BW16" s="603"/>
      <c r="BX16" s="603"/>
      <c r="BY16" s="603"/>
      <c r="BZ16" s="603"/>
      <c r="CA16" s="603"/>
      <c r="CB16" s="603"/>
      <c r="CC16" s="603"/>
      <c r="CD16" s="603"/>
      <c r="CE16" s="603"/>
      <c r="CF16" s="603"/>
      <c r="CG16" s="518"/>
      <c r="CH16" s="518"/>
    </row>
    <row r="17" spans="2:90" ht="15">
      <c r="B17" s="8" t="str">
        <f>Processes!D16</f>
        <v>IMPLVN</v>
      </c>
      <c r="C17" s="8" t="str">
        <f>Processes!E16</f>
        <v>Import technology - Naphtha (Petroleoum)</v>
      </c>
      <c r="D17" s="216"/>
      <c r="E17" s="216" t="str">
        <f t="shared" si="4"/>
        <v>LVN</v>
      </c>
      <c r="F17" s="1119" t="str">
        <f t="shared" si="5"/>
        <v>MKr14</v>
      </c>
      <c r="G17" s="483">
        <f t="shared" ref="G17:P26" si="6">IFERROR(INDEX($G$122:$AU$177,MATCH($E17,$E$122:$E$177,0),MATCH(G$6,$G$121:$AU$121,0)),0)</f>
        <v>88.8</v>
      </c>
      <c r="H17" s="483">
        <f t="shared" si="6"/>
        <v>92.2</v>
      </c>
      <c r="I17" s="483">
        <f t="shared" si="6"/>
        <v>110.2</v>
      </c>
      <c r="J17" s="483">
        <f t="shared" si="6"/>
        <v>108.4</v>
      </c>
      <c r="K17" s="483">
        <f t="shared" si="6"/>
        <v>91.4</v>
      </c>
      <c r="L17" s="483">
        <f t="shared" si="6"/>
        <v>88</v>
      </c>
      <c r="M17" s="483">
        <f t="shared" si="6"/>
        <v>73.599999999999994</v>
      </c>
      <c r="N17" s="483">
        <f t="shared" si="6"/>
        <v>73.8</v>
      </c>
      <c r="O17" s="483">
        <f t="shared" si="6"/>
        <v>106.84436676370051</v>
      </c>
      <c r="P17" s="483">
        <f t="shared" si="6"/>
        <v>68.522022481240924</v>
      </c>
      <c r="Q17" s="483">
        <f t="shared" ref="Q17:Z26" si="7">IFERROR(INDEX($G$122:$AU$177,MATCH($E17,$E$122:$E$177,0),MATCH(Q$6,$G$121:$AU$121,0)),0)</f>
        <v>66.795699972964513</v>
      </c>
      <c r="R17" s="483">
        <f t="shared" si="7"/>
        <v>63.050580050876398</v>
      </c>
      <c r="S17" s="483">
        <f t="shared" si="7"/>
        <v>65.525097243083792</v>
      </c>
      <c r="T17" s="483">
        <f t="shared" si="7"/>
        <v>66.735376625750931</v>
      </c>
      <c r="U17" s="483">
        <f t="shared" si="7"/>
        <v>67.134247840724143</v>
      </c>
      <c r="V17" s="483">
        <f t="shared" si="7"/>
        <v>67.01216692582733</v>
      </c>
      <c r="W17" s="483">
        <f t="shared" si="7"/>
        <v>66.935278408608127</v>
      </c>
      <c r="X17" s="483">
        <f t="shared" si="7"/>
        <v>66.885894172463338</v>
      </c>
      <c r="Y17" s="483">
        <f t="shared" si="7"/>
        <v>66.843599180906921</v>
      </c>
      <c r="Z17" s="483">
        <f t="shared" si="7"/>
        <v>66.828440496044607</v>
      </c>
      <c r="AA17" s="483">
        <f t="shared" ref="AA17:AJ26" si="8">IFERROR(INDEX($G$122:$AU$177,MATCH($E17,$E$122:$E$177,0),MATCH(AA$6,$G$121:$AU$121,0)),0)</f>
        <v>66.824305220819767</v>
      </c>
      <c r="AB17" s="483">
        <f t="shared" si="8"/>
        <v>66.916476676296767</v>
      </c>
      <c r="AC17" s="483">
        <f t="shared" si="8"/>
        <v>67.008648131773768</v>
      </c>
      <c r="AD17" s="483">
        <f t="shared" si="8"/>
        <v>67.100819587250754</v>
      </c>
      <c r="AE17" s="483">
        <f t="shared" si="8"/>
        <v>67.192991042727741</v>
      </c>
      <c r="AF17" s="483">
        <f t="shared" si="8"/>
        <v>67.285162498204755</v>
      </c>
      <c r="AG17" s="483">
        <f t="shared" si="8"/>
        <v>67.377333953681756</v>
      </c>
      <c r="AH17" s="483">
        <f t="shared" si="8"/>
        <v>67.469505409158728</v>
      </c>
      <c r="AI17" s="483">
        <f t="shared" si="8"/>
        <v>67.561676864635729</v>
      </c>
      <c r="AJ17" s="483">
        <f t="shared" si="8"/>
        <v>67.653848320112701</v>
      </c>
      <c r="AK17" s="483">
        <f t="shared" ref="AK17:AU26" si="9">IFERROR(INDEX($G$122:$AU$177,MATCH($E17,$E$122:$E$177,0),MATCH(AK$6,$G$121:$AU$121,0)),0)</f>
        <v>67.746019775589701</v>
      </c>
      <c r="AL17" s="483">
        <f t="shared" si="9"/>
        <v>67.838191231066702</v>
      </c>
      <c r="AM17" s="483">
        <f t="shared" si="9"/>
        <v>67.930362686543688</v>
      </c>
      <c r="AN17" s="483">
        <f t="shared" si="9"/>
        <v>68.022534142020675</v>
      </c>
      <c r="AO17" s="483">
        <f t="shared" si="9"/>
        <v>68.114705597497675</v>
      </c>
      <c r="AP17" s="483">
        <f t="shared" si="9"/>
        <v>68.206877052974676</v>
      </c>
      <c r="AQ17" s="483">
        <f t="shared" si="9"/>
        <v>68.299048508451676</v>
      </c>
      <c r="AR17" s="483">
        <f t="shared" si="9"/>
        <v>68.391219963928648</v>
      </c>
      <c r="AS17" s="483">
        <f t="shared" si="9"/>
        <v>68.483391419405663</v>
      </c>
      <c r="AT17" s="483">
        <f t="shared" si="9"/>
        <v>68.575562874882635</v>
      </c>
      <c r="AU17" s="483">
        <f t="shared" si="9"/>
        <v>68.66773433035965</v>
      </c>
      <c r="AV17" s="484">
        <v>5</v>
      </c>
      <c r="AW17" s="598"/>
      <c r="AX17" s="604"/>
      <c r="AY17" s="604"/>
      <c r="AZ17" s="598"/>
      <c r="BA17" s="602"/>
      <c r="BB17" s="602"/>
      <c r="BC17" s="602"/>
      <c r="BQ17" s="603"/>
      <c r="BR17" s="603"/>
      <c r="BS17" s="603"/>
      <c r="BT17" s="603"/>
      <c r="BU17" s="603"/>
      <c r="BV17" s="603"/>
      <c r="BW17" s="603"/>
      <c r="BX17" s="603"/>
      <c r="BY17" s="603"/>
      <c r="BZ17" s="603"/>
      <c r="CA17" s="603"/>
      <c r="CB17" s="603"/>
      <c r="CC17" s="603"/>
      <c r="CD17" s="603"/>
      <c r="CE17" s="603"/>
      <c r="CF17" s="603"/>
      <c r="CG17" s="518"/>
      <c r="CH17" s="518"/>
    </row>
    <row r="18" spans="2:90" ht="15">
      <c r="B18" s="8" t="str">
        <f>Processes!D17</f>
        <v>IMPGSL</v>
      </c>
      <c r="C18" s="8" t="str">
        <f>Processes!E17</f>
        <v>Import technology - Gasoline</v>
      </c>
      <c r="D18" s="216"/>
      <c r="E18" s="216" t="str">
        <f t="shared" si="4"/>
        <v>GSL</v>
      </c>
      <c r="F18" s="1119" t="str">
        <f t="shared" si="5"/>
        <v>MKr19</v>
      </c>
      <c r="G18" s="483">
        <f t="shared" si="6"/>
        <v>92.8</v>
      </c>
      <c r="H18" s="483">
        <f t="shared" si="6"/>
        <v>122.9</v>
      </c>
      <c r="I18" s="483">
        <f t="shared" si="6"/>
        <v>136.69999999999999</v>
      </c>
      <c r="J18" s="483">
        <f t="shared" si="6"/>
        <v>122</v>
      </c>
      <c r="K18" s="483">
        <f t="shared" si="6"/>
        <v>114.8</v>
      </c>
      <c r="L18" s="483">
        <f t="shared" si="6"/>
        <v>78.2</v>
      </c>
      <c r="M18" s="483">
        <f t="shared" si="6"/>
        <v>75.3</v>
      </c>
      <c r="N18" s="483">
        <f t="shared" si="6"/>
        <v>79.400000000000006</v>
      </c>
      <c r="O18" s="483">
        <f t="shared" si="6"/>
        <v>102.40107579472352</v>
      </c>
      <c r="P18" s="483">
        <f t="shared" si="6"/>
        <v>97.746963615472367</v>
      </c>
      <c r="Q18" s="483">
        <f t="shared" si="7"/>
        <v>96.267025086546809</v>
      </c>
      <c r="R18" s="483">
        <f t="shared" si="7"/>
        <v>74.282939675183428</v>
      </c>
      <c r="S18" s="483">
        <f t="shared" si="7"/>
        <v>77.691438545887451</v>
      </c>
      <c r="T18" s="483">
        <f t="shared" si="7"/>
        <v>80.014522441042786</v>
      </c>
      <c r="U18" s="483">
        <f t="shared" si="7"/>
        <v>81.712731586007934</v>
      </c>
      <c r="V18" s="483">
        <f t="shared" si="7"/>
        <v>82.949209412536121</v>
      </c>
      <c r="W18" s="483">
        <f t="shared" si="7"/>
        <v>84.314672750845261</v>
      </c>
      <c r="X18" s="483">
        <f t="shared" si="7"/>
        <v>85.652811517689884</v>
      </c>
      <c r="Y18" s="483">
        <f t="shared" si="7"/>
        <v>86.883932814730045</v>
      </c>
      <c r="Z18" s="483">
        <f t="shared" si="7"/>
        <v>88.17668470166312</v>
      </c>
      <c r="AA18" s="483">
        <f t="shared" si="8"/>
        <v>89.399874602600562</v>
      </c>
      <c r="AB18" s="483">
        <f t="shared" si="8"/>
        <v>89.093730840397711</v>
      </c>
      <c r="AC18" s="483">
        <f t="shared" si="8"/>
        <v>88.786854893898322</v>
      </c>
      <c r="AD18" s="483">
        <f t="shared" si="8"/>
        <v>88.481245986171288</v>
      </c>
      <c r="AE18" s="483">
        <f t="shared" si="8"/>
        <v>88.174869481157842</v>
      </c>
      <c r="AF18" s="483">
        <f t="shared" si="8"/>
        <v>87.868589672609204</v>
      </c>
      <c r="AG18" s="483">
        <f t="shared" si="8"/>
        <v>87.561383985383955</v>
      </c>
      <c r="AH18" s="483">
        <f t="shared" si="8"/>
        <v>87.255260877276157</v>
      </c>
      <c r="AI18" s="483">
        <f t="shared" si="8"/>
        <v>86.948407292957839</v>
      </c>
      <c r="AJ18" s="483">
        <f t="shared" si="8"/>
        <v>86.642482546272987</v>
      </c>
      <c r="AK18" s="483">
        <f t="shared" si="9"/>
        <v>86.336255922780509</v>
      </c>
      <c r="AL18" s="483">
        <f t="shared" si="9"/>
        <v>86.030029803612607</v>
      </c>
      <c r="AM18" s="483">
        <f t="shared" si="9"/>
        <v>85.726964003619855</v>
      </c>
      <c r="AN18" s="483">
        <f t="shared" si="9"/>
        <v>85.423903946081424</v>
      </c>
      <c r="AO18" s="483">
        <f t="shared" si="9"/>
        <v>85.120849638339479</v>
      </c>
      <c r="AP18" s="483">
        <f t="shared" si="9"/>
        <v>84.817801087745465</v>
      </c>
      <c r="AQ18" s="483">
        <f t="shared" si="9"/>
        <v>84.514758301660265</v>
      </c>
      <c r="AR18" s="483">
        <f t="shared" si="9"/>
        <v>84.211721287454196</v>
      </c>
      <c r="AS18" s="483">
        <f t="shared" si="9"/>
        <v>83.908690052506984</v>
      </c>
      <c r="AT18" s="483">
        <f t="shared" si="9"/>
        <v>83.60566460420776</v>
      </c>
      <c r="AU18" s="483">
        <f t="shared" si="9"/>
        <v>83.302644949955152</v>
      </c>
      <c r="AV18" s="484">
        <v>5</v>
      </c>
      <c r="AW18" s="483"/>
      <c r="AX18" s="483"/>
      <c r="AY18" s="483"/>
      <c r="AZ18" s="598"/>
      <c r="BA18" s="602"/>
      <c r="BB18" s="602"/>
      <c r="BC18" s="602"/>
      <c r="BQ18" s="603"/>
      <c r="BR18" s="603"/>
      <c r="BS18" s="603"/>
      <c r="BT18" s="603"/>
      <c r="BU18" s="603"/>
      <c r="BV18" s="603"/>
      <c r="BW18" s="603"/>
      <c r="BX18" s="603"/>
      <c r="BY18" s="603"/>
      <c r="BZ18" s="603"/>
      <c r="CA18" s="603"/>
      <c r="CB18" s="603"/>
      <c r="CC18" s="603"/>
      <c r="CD18" s="603"/>
      <c r="CE18" s="603"/>
      <c r="CF18" s="603"/>
      <c r="CG18" s="518"/>
      <c r="CH18" s="518"/>
    </row>
    <row r="19" spans="2:90" ht="15">
      <c r="B19" s="8" t="str">
        <f>Processes!D18</f>
        <v>IMPKER</v>
      </c>
      <c r="C19" s="8" t="str">
        <f>Processes!E18</f>
        <v>Import technology - Kerosene</v>
      </c>
      <c r="D19" s="216"/>
      <c r="E19" s="216" t="str">
        <f t="shared" si="4"/>
        <v>KER</v>
      </c>
      <c r="F19" s="1119" t="str">
        <f t="shared" si="5"/>
        <v>MKr19</v>
      </c>
      <c r="G19" s="483">
        <f t="shared" si="6"/>
        <v>76.5</v>
      </c>
      <c r="H19" s="483">
        <f t="shared" si="6"/>
        <v>112.4</v>
      </c>
      <c r="I19" s="483">
        <f t="shared" si="6"/>
        <v>116.3</v>
      </c>
      <c r="J19" s="483">
        <f t="shared" si="6"/>
        <v>118.6</v>
      </c>
      <c r="K19" s="483">
        <f t="shared" si="6"/>
        <v>110.1</v>
      </c>
      <c r="L19" s="483">
        <f t="shared" si="6"/>
        <v>73.5</v>
      </c>
      <c r="M19" s="483">
        <f t="shared" si="6"/>
        <v>70.599999999999994</v>
      </c>
      <c r="N19" s="483">
        <f t="shared" si="6"/>
        <v>74.7</v>
      </c>
      <c r="O19" s="483">
        <f t="shared" si="6"/>
        <v>99.501075794723519</v>
      </c>
      <c r="P19" s="483">
        <f t="shared" si="6"/>
        <v>92.996963615472367</v>
      </c>
      <c r="Q19" s="483">
        <f t="shared" si="7"/>
        <v>91.517025086546809</v>
      </c>
      <c r="R19" s="483">
        <f t="shared" si="7"/>
        <v>69.532939675183428</v>
      </c>
      <c r="S19" s="483">
        <f t="shared" si="7"/>
        <v>72.941438545887451</v>
      </c>
      <c r="T19" s="483">
        <f t="shared" si="7"/>
        <v>75.264522441042786</v>
      </c>
      <c r="U19" s="483">
        <f t="shared" si="7"/>
        <v>76.962731586007934</v>
      </c>
      <c r="V19" s="483">
        <f t="shared" si="7"/>
        <v>78.199209412536121</v>
      </c>
      <c r="W19" s="483">
        <f t="shared" si="7"/>
        <v>79.564672750845261</v>
      </c>
      <c r="X19" s="483">
        <f t="shared" si="7"/>
        <v>80.902811517689884</v>
      </c>
      <c r="Y19" s="483">
        <f t="shared" si="7"/>
        <v>82.133932814730045</v>
      </c>
      <c r="Z19" s="483">
        <f t="shared" si="7"/>
        <v>83.42668470166312</v>
      </c>
      <c r="AA19" s="483">
        <f t="shared" si="8"/>
        <v>84.649874602600562</v>
      </c>
      <c r="AB19" s="483">
        <f t="shared" si="8"/>
        <v>84.343730840397711</v>
      </c>
      <c r="AC19" s="483">
        <f t="shared" si="8"/>
        <v>84.036854893898322</v>
      </c>
      <c r="AD19" s="483">
        <f t="shared" si="8"/>
        <v>83.731245986171288</v>
      </c>
      <c r="AE19" s="483">
        <f t="shared" si="8"/>
        <v>83.424869481157842</v>
      </c>
      <c r="AF19" s="483">
        <f t="shared" si="8"/>
        <v>83.118589672609204</v>
      </c>
      <c r="AG19" s="483">
        <f t="shared" si="8"/>
        <v>82.811383985383955</v>
      </c>
      <c r="AH19" s="483">
        <f t="shared" si="8"/>
        <v>82.505260877276157</v>
      </c>
      <c r="AI19" s="483">
        <f t="shared" si="8"/>
        <v>82.198407292957839</v>
      </c>
      <c r="AJ19" s="483">
        <f t="shared" si="8"/>
        <v>81.892482546272987</v>
      </c>
      <c r="AK19" s="483">
        <f t="shared" si="9"/>
        <v>81.586255922780509</v>
      </c>
      <c r="AL19" s="483">
        <f t="shared" si="9"/>
        <v>81.280029803612607</v>
      </c>
      <c r="AM19" s="483">
        <f t="shared" si="9"/>
        <v>80.976964003619855</v>
      </c>
      <c r="AN19" s="483">
        <f t="shared" si="9"/>
        <v>80.673903946081424</v>
      </c>
      <c r="AO19" s="483">
        <f t="shared" si="9"/>
        <v>80.370849638339479</v>
      </c>
      <c r="AP19" s="483">
        <f t="shared" si="9"/>
        <v>80.067801087745465</v>
      </c>
      <c r="AQ19" s="483">
        <f t="shared" si="9"/>
        <v>79.764758301660265</v>
      </c>
      <c r="AR19" s="483">
        <f t="shared" si="9"/>
        <v>79.461721287454196</v>
      </c>
      <c r="AS19" s="483">
        <f t="shared" si="9"/>
        <v>79.158690052506984</v>
      </c>
      <c r="AT19" s="483">
        <f t="shared" si="9"/>
        <v>78.85566460420776</v>
      </c>
      <c r="AU19" s="483">
        <f t="shared" si="9"/>
        <v>78.552644949955152</v>
      </c>
      <c r="AV19" s="484">
        <v>5</v>
      </c>
      <c r="AW19" s="483"/>
      <c r="AX19" s="483"/>
      <c r="AY19" s="483"/>
      <c r="AZ19" s="598"/>
      <c r="BA19" s="602"/>
      <c r="BB19" s="602"/>
      <c r="BC19" s="602"/>
      <c r="BQ19" s="603"/>
      <c r="BR19" s="603"/>
      <c r="BS19" s="603"/>
      <c r="BT19" s="603"/>
      <c r="BU19" s="603"/>
      <c r="BV19" s="603"/>
      <c r="BW19" s="603"/>
      <c r="BX19" s="603"/>
      <c r="BY19" s="603"/>
      <c r="BZ19" s="603"/>
      <c r="CA19" s="603"/>
      <c r="CB19" s="603"/>
      <c r="CC19" s="603"/>
      <c r="CD19" s="603"/>
      <c r="CE19" s="603"/>
      <c r="CF19" s="603"/>
      <c r="CG19" s="518"/>
      <c r="CH19" s="518"/>
    </row>
    <row r="20" spans="2:90" s="1" customFormat="1" ht="15">
      <c r="B20" s="8" t="str">
        <f>Processes!D19</f>
        <v>IMPDSL</v>
      </c>
      <c r="C20" s="8" t="str">
        <f>Processes!E19</f>
        <v>Import technology - Diesel</v>
      </c>
      <c r="D20" s="216"/>
      <c r="E20" s="216" t="str">
        <f t="shared" si="4"/>
        <v>DSL</v>
      </c>
      <c r="F20" s="1119" t="str">
        <f t="shared" si="5"/>
        <v>MKr19</v>
      </c>
      <c r="G20" s="483">
        <f t="shared" si="6"/>
        <v>105.4</v>
      </c>
      <c r="H20" s="483">
        <f t="shared" si="6"/>
        <v>117.4</v>
      </c>
      <c r="I20" s="483">
        <f t="shared" si="6"/>
        <v>134.19999999999999</v>
      </c>
      <c r="J20" s="483">
        <f t="shared" si="6"/>
        <v>123.2</v>
      </c>
      <c r="K20" s="483">
        <f t="shared" si="6"/>
        <v>113.5</v>
      </c>
      <c r="L20" s="483">
        <f t="shared" si="6"/>
        <v>77</v>
      </c>
      <c r="M20" s="483">
        <f t="shared" si="6"/>
        <v>74</v>
      </c>
      <c r="N20" s="483">
        <f t="shared" si="6"/>
        <v>78.2</v>
      </c>
      <c r="O20" s="483">
        <f t="shared" si="6"/>
        <v>101.50107579472352</v>
      </c>
      <c r="P20" s="483">
        <f t="shared" si="6"/>
        <v>95.586963615472371</v>
      </c>
      <c r="Q20" s="483">
        <f t="shared" si="7"/>
        <v>94.107025086546813</v>
      </c>
      <c r="R20" s="483">
        <f t="shared" si="7"/>
        <v>72.122939675183432</v>
      </c>
      <c r="S20" s="483">
        <f t="shared" si="7"/>
        <v>75.531438545887454</v>
      </c>
      <c r="T20" s="483">
        <f t="shared" si="7"/>
        <v>77.854522441042789</v>
      </c>
      <c r="U20" s="483">
        <f t="shared" si="7"/>
        <v>79.552731586007937</v>
      </c>
      <c r="V20" s="483">
        <f t="shared" si="7"/>
        <v>80.789209412536124</v>
      </c>
      <c r="W20" s="483">
        <f t="shared" si="7"/>
        <v>82.154672750845265</v>
      </c>
      <c r="X20" s="483">
        <f t="shared" si="7"/>
        <v>83.492811517689887</v>
      </c>
      <c r="Y20" s="483">
        <f t="shared" si="7"/>
        <v>84.723932814730048</v>
      </c>
      <c r="Z20" s="483">
        <f t="shared" si="7"/>
        <v>86.016684701663124</v>
      </c>
      <c r="AA20" s="483">
        <f t="shared" si="8"/>
        <v>87.239874602600565</v>
      </c>
      <c r="AB20" s="483">
        <f t="shared" si="8"/>
        <v>86.933730840397715</v>
      </c>
      <c r="AC20" s="483">
        <f t="shared" si="8"/>
        <v>86.626854893898326</v>
      </c>
      <c r="AD20" s="483">
        <f t="shared" si="8"/>
        <v>86.321245986171292</v>
      </c>
      <c r="AE20" s="483">
        <f t="shared" si="8"/>
        <v>86.014869481157845</v>
      </c>
      <c r="AF20" s="483">
        <f t="shared" si="8"/>
        <v>85.708589672609207</v>
      </c>
      <c r="AG20" s="483">
        <f t="shared" si="8"/>
        <v>85.401383985383958</v>
      </c>
      <c r="AH20" s="483">
        <f t="shared" si="8"/>
        <v>85.095260877276161</v>
      </c>
      <c r="AI20" s="483">
        <f t="shared" si="8"/>
        <v>84.788407292957842</v>
      </c>
      <c r="AJ20" s="483">
        <f t="shared" si="8"/>
        <v>84.48248254627299</v>
      </c>
      <c r="AK20" s="483">
        <f t="shared" si="9"/>
        <v>84.176255922780513</v>
      </c>
      <c r="AL20" s="483">
        <f t="shared" si="9"/>
        <v>83.87002980361261</v>
      </c>
      <c r="AM20" s="483">
        <f t="shared" si="9"/>
        <v>83.566964003619859</v>
      </c>
      <c r="AN20" s="483">
        <f t="shared" si="9"/>
        <v>83.263903946081427</v>
      </c>
      <c r="AO20" s="483">
        <f t="shared" si="9"/>
        <v>82.960849638339482</v>
      </c>
      <c r="AP20" s="483">
        <f t="shared" si="9"/>
        <v>82.657801087745469</v>
      </c>
      <c r="AQ20" s="483">
        <f t="shared" si="9"/>
        <v>82.354758301660269</v>
      </c>
      <c r="AR20" s="483">
        <f t="shared" si="9"/>
        <v>82.0517212874542</v>
      </c>
      <c r="AS20" s="483">
        <f t="shared" si="9"/>
        <v>81.748690052506987</v>
      </c>
      <c r="AT20" s="483">
        <f t="shared" si="9"/>
        <v>81.445664604207764</v>
      </c>
      <c r="AU20" s="483">
        <f t="shared" si="9"/>
        <v>81.142644949955155</v>
      </c>
      <c r="AV20" s="484">
        <v>5</v>
      </c>
      <c r="AW20" s="483"/>
      <c r="AX20" s="483"/>
      <c r="AY20" s="483"/>
      <c r="AZ20" s="596"/>
      <c r="BA20" s="602"/>
      <c r="BB20" s="602"/>
      <c r="BC20" s="602"/>
      <c r="BD20" s="602"/>
      <c r="BE20" s="602"/>
      <c r="BF20" s="602"/>
      <c r="BG20" s="602"/>
      <c r="BH20" s="602"/>
      <c r="BI20" s="602"/>
      <c r="BJ20" s="602"/>
      <c r="BK20" s="602"/>
      <c r="BL20" s="602"/>
      <c r="BM20" s="602"/>
      <c r="BN20" s="602"/>
      <c r="BO20" s="602"/>
      <c r="BP20" s="602"/>
      <c r="BQ20" s="603"/>
      <c r="BR20" s="603"/>
      <c r="BS20" s="603"/>
      <c r="BT20" s="603"/>
      <c r="BU20" s="603"/>
      <c r="BV20" s="603"/>
      <c r="BW20" s="603"/>
      <c r="BX20" s="603"/>
      <c r="BY20" s="603"/>
      <c r="BZ20" s="603"/>
      <c r="CA20" s="603"/>
      <c r="CB20" s="603"/>
      <c r="CC20" s="603"/>
      <c r="CD20" s="603"/>
      <c r="CE20" s="603"/>
      <c r="CF20" s="603"/>
      <c r="CG20" s="518"/>
      <c r="CH20" s="518"/>
    </row>
    <row r="21" spans="2:90" s="1" customFormat="1" ht="15">
      <c r="B21" s="8" t="str">
        <f>Processes!D20</f>
        <v>IMPHFO</v>
      </c>
      <c r="C21" s="8" t="str">
        <f>Processes!E20</f>
        <v>Import technology - Heavy Fuel Oil</v>
      </c>
      <c r="D21" s="486"/>
      <c r="E21" s="216" t="str">
        <f t="shared" si="4"/>
        <v>HFO</v>
      </c>
      <c r="F21" s="1119" t="str">
        <f t="shared" si="5"/>
        <v>MKr19</v>
      </c>
      <c r="G21" s="483">
        <f t="shared" si="6"/>
        <v>68.2</v>
      </c>
      <c r="H21" s="483">
        <f t="shared" si="6"/>
        <v>102</v>
      </c>
      <c r="I21" s="483">
        <f t="shared" si="6"/>
        <v>96.2</v>
      </c>
      <c r="J21" s="483">
        <f t="shared" si="6"/>
        <v>91.7</v>
      </c>
      <c r="K21" s="483">
        <f t="shared" si="6"/>
        <v>84</v>
      </c>
      <c r="L21" s="483">
        <f t="shared" si="6"/>
        <v>47.5</v>
      </c>
      <c r="M21" s="483">
        <f t="shared" si="6"/>
        <v>44.5</v>
      </c>
      <c r="N21" s="483">
        <f t="shared" si="6"/>
        <v>48.7</v>
      </c>
      <c r="O21" s="483">
        <f t="shared" si="6"/>
        <v>67.735141438725293</v>
      </c>
      <c r="P21" s="483">
        <f t="shared" si="6"/>
        <v>61.821029259474152</v>
      </c>
      <c r="Q21" s="483">
        <f t="shared" si="7"/>
        <v>60.341090730548601</v>
      </c>
      <c r="R21" s="483">
        <f t="shared" si="7"/>
        <v>38.35700531918522</v>
      </c>
      <c r="S21" s="483">
        <f t="shared" si="7"/>
        <v>41.765504189889249</v>
      </c>
      <c r="T21" s="483">
        <f t="shared" si="7"/>
        <v>44.088588085044584</v>
      </c>
      <c r="U21" s="483">
        <f t="shared" si="7"/>
        <v>45.786797230009718</v>
      </c>
      <c r="V21" s="483">
        <f t="shared" si="7"/>
        <v>47.023275056537912</v>
      </c>
      <c r="W21" s="483">
        <f t="shared" si="7"/>
        <v>48.388738394847046</v>
      </c>
      <c r="X21" s="483">
        <f t="shared" si="7"/>
        <v>49.726877161691675</v>
      </c>
      <c r="Y21" s="483">
        <f t="shared" si="7"/>
        <v>50.957998458731836</v>
      </c>
      <c r="Z21" s="483">
        <f t="shared" si="7"/>
        <v>52.250750345664912</v>
      </c>
      <c r="AA21" s="483">
        <f t="shared" si="8"/>
        <v>53.473940246602353</v>
      </c>
      <c r="AB21" s="483">
        <f t="shared" si="8"/>
        <v>53.16779648439951</v>
      </c>
      <c r="AC21" s="483">
        <f t="shared" si="8"/>
        <v>52.860920537900107</v>
      </c>
      <c r="AD21" s="483">
        <f t="shared" si="8"/>
        <v>52.55531163017308</v>
      </c>
      <c r="AE21" s="483">
        <f t="shared" si="8"/>
        <v>52.248935125159633</v>
      </c>
      <c r="AF21" s="483">
        <f t="shared" si="8"/>
        <v>51.942655316610988</v>
      </c>
      <c r="AG21" s="483">
        <f t="shared" si="8"/>
        <v>51.635449629385747</v>
      </c>
      <c r="AH21" s="483">
        <f t="shared" si="8"/>
        <v>51.329326521277956</v>
      </c>
      <c r="AI21" s="483">
        <f t="shared" si="8"/>
        <v>51.022472936959623</v>
      </c>
      <c r="AJ21" s="483">
        <f t="shared" si="8"/>
        <v>50.716548190274779</v>
      </c>
      <c r="AK21" s="483">
        <f t="shared" si="9"/>
        <v>50.410321566782294</v>
      </c>
      <c r="AL21" s="483">
        <f t="shared" si="9"/>
        <v>50.104095447614391</v>
      </c>
      <c r="AM21" s="483">
        <f t="shared" si="9"/>
        <v>49.801029647621633</v>
      </c>
      <c r="AN21" s="483">
        <f t="shared" si="9"/>
        <v>49.497969590083216</v>
      </c>
      <c r="AO21" s="483">
        <f t="shared" si="9"/>
        <v>49.19491528234127</v>
      </c>
      <c r="AP21" s="483">
        <f t="shared" si="9"/>
        <v>48.89186673174725</v>
      </c>
      <c r="AQ21" s="483">
        <f t="shared" si="9"/>
        <v>48.588823945662064</v>
      </c>
      <c r="AR21" s="483">
        <f t="shared" si="9"/>
        <v>48.285786931455988</v>
      </c>
      <c r="AS21" s="483">
        <f t="shared" si="9"/>
        <v>47.982755696508768</v>
      </c>
      <c r="AT21" s="483">
        <f t="shared" si="9"/>
        <v>47.679730248209545</v>
      </c>
      <c r="AU21" s="483">
        <f t="shared" si="9"/>
        <v>47.376710593956936</v>
      </c>
      <c r="AV21" s="484">
        <v>5</v>
      </c>
      <c r="AW21" s="596"/>
      <c r="AX21" s="604"/>
      <c r="AY21" s="604"/>
      <c r="AZ21" s="596"/>
      <c r="BA21" s="602"/>
      <c r="BB21" s="602"/>
      <c r="BC21" s="602"/>
      <c r="BD21" s="602"/>
      <c r="BE21" s="602"/>
      <c r="BF21" s="602"/>
      <c r="BG21" s="602"/>
      <c r="BH21" s="602"/>
      <c r="BI21" s="602"/>
      <c r="BJ21" s="602"/>
      <c r="BK21" s="602"/>
      <c r="BL21" s="602"/>
      <c r="BM21" s="602"/>
      <c r="BN21" s="602"/>
      <c r="BO21" s="602"/>
      <c r="BP21" s="602"/>
      <c r="BQ21" s="603"/>
      <c r="BR21" s="603"/>
      <c r="BS21" s="603"/>
      <c r="BT21" s="603"/>
      <c r="BU21" s="603"/>
      <c r="BV21" s="603"/>
      <c r="BW21" s="603"/>
      <c r="BX21" s="603"/>
      <c r="BY21" s="603"/>
      <c r="BZ21" s="603"/>
      <c r="CA21" s="603"/>
      <c r="CB21" s="603"/>
      <c r="CC21" s="603"/>
      <c r="CD21" s="603"/>
      <c r="CE21" s="603"/>
      <c r="CF21" s="603"/>
      <c r="CJ21" s="523"/>
      <c r="CK21" s="523"/>
      <c r="CL21" s="523"/>
    </row>
    <row r="22" spans="2:90" ht="15">
      <c r="B22" s="8" t="str">
        <f>Processes!D21</f>
        <v>IMPMGO</v>
      </c>
      <c r="C22" s="8" t="str">
        <f>Processes!E21</f>
        <v>Import technology - Marine Gas Oil</v>
      </c>
      <c r="D22" s="216"/>
      <c r="E22" s="216" t="str">
        <f t="shared" si="4"/>
        <v>MGO</v>
      </c>
      <c r="F22" s="1119" t="str">
        <f t="shared" si="5"/>
        <v>MKr19</v>
      </c>
      <c r="G22" s="483">
        <f t="shared" si="6"/>
        <v>68.2</v>
      </c>
      <c r="H22" s="483">
        <f t="shared" si="6"/>
        <v>102</v>
      </c>
      <c r="I22" s="483">
        <f t="shared" si="6"/>
        <v>96.2</v>
      </c>
      <c r="J22" s="483">
        <f t="shared" si="6"/>
        <v>91.7</v>
      </c>
      <c r="K22" s="483">
        <f t="shared" si="6"/>
        <v>84</v>
      </c>
      <c r="L22" s="483">
        <f t="shared" si="6"/>
        <v>47.5</v>
      </c>
      <c r="M22" s="483">
        <f t="shared" si="6"/>
        <v>44.5</v>
      </c>
      <c r="N22" s="483">
        <f t="shared" si="6"/>
        <v>48.7</v>
      </c>
      <c r="O22" s="483">
        <f t="shared" si="6"/>
        <v>67.735141438725293</v>
      </c>
      <c r="P22" s="483">
        <f t="shared" si="6"/>
        <v>61.821029259474152</v>
      </c>
      <c r="Q22" s="483">
        <f t="shared" si="7"/>
        <v>60.341090730548601</v>
      </c>
      <c r="R22" s="483">
        <f t="shared" si="7"/>
        <v>38.35700531918522</v>
      </c>
      <c r="S22" s="483">
        <f t="shared" si="7"/>
        <v>41.765504189889249</v>
      </c>
      <c r="T22" s="483">
        <f t="shared" si="7"/>
        <v>44.088588085044584</v>
      </c>
      <c r="U22" s="483">
        <f t="shared" si="7"/>
        <v>45.786797230009718</v>
      </c>
      <c r="V22" s="483">
        <f t="shared" si="7"/>
        <v>47.023275056537912</v>
      </c>
      <c r="W22" s="483">
        <f t="shared" si="7"/>
        <v>48.388738394847046</v>
      </c>
      <c r="X22" s="483">
        <f t="shared" si="7"/>
        <v>49.726877161691675</v>
      </c>
      <c r="Y22" s="483">
        <f t="shared" si="7"/>
        <v>50.957998458731836</v>
      </c>
      <c r="Z22" s="483">
        <f t="shared" si="7"/>
        <v>52.250750345664912</v>
      </c>
      <c r="AA22" s="483">
        <f t="shared" si="8"/>
        <v>53.473940246602353</v>
      </c>
      <c r="AB22" s="483">
        <f t="shared" si="8"/>
        <v>53.16779648439951</v>
      </c>
      <c r="AC22" s="483">
        <f t="shared" si="8"/>
        <v>52.860920537900107</v>
      </c>
      <c r="AD22" s="483">
        <f t="shared" si="8"/>
        <v>52.55531163017308</v>
      </c>
      <c r="AE22" s="483">
        <f t="shared" si="8"/>
        <v>52.248935125159633</v>
      </c>
      <c r="AF22" s="483">
        <f t="shared" si="8"/>
        <v>51.942655316610988</v>
      </c>
      <c r="AG22" s="483">
        <f t="shared" si="8"/>
        <v>51.635449629385747</v>
      </c>
      <c r="AH22" s="483">
        <f t="shared" si="8"/>
        <v>51.329326521277956</v>
      </c>
      <c r="AI22" s="483">
        <f t="shared" si="8"/>
        <v>51.022472936959623</v>
      </c>
      <c r="AJ22" s="483">
        <f t="shared" si="8"/>
        <v>50.716548190274779</v>
      </c>
      <c r="AK22" s="483">
        <f t="shared" si="9"/>
        <v>50.410321566782294</v>
      </c>
      <c r="AL22" s="483">
        <f t="shared" si="9"/>
        <v>50.104095447614391</v>
      </c>
      <c r="AM22" s="483">
        <f t="shared" si="9"/>
        <v>49.801029647621633</v>
      </c>
      <c r="AN22" s="483">
        <f t="shared" si="9"/>
        <v>49.497969590083216</v>
      </c>
      <c r="AO22" s="483">
        <f t="shared" si="9"/>
        <v>49.19491528234127</v>
      </c>
      <c r="AP22" s="483">
        <f t="shared" si="9"/>
        <v>48.89186673174725</v>
      </c>
      <c r="AQ22" s="483">
        <f t="shared" si="9"/>
        <v>48.588823945662064</v>
      </c>
      <c r="AR22" s="483">
        <f t="shared" si="9"/>
        <v>48.285786931455988</v>
      </c>
      <c r="AS22" s="483">
        <f t="shared" si="9"/>
        <v>47.982755696508768</v>
      </c>
      <c r="AT22" s="483">
        <f t="shared" si="9"/>
        <v>47.679730248209545</v>
      </c>
      <c r="AU22" s="483">
        <f t="shared" si="9"/>
        <v>47.376710593956936</v>
      </c>
      <c r="AV22" s="484">
        <v>5</v>
      </c>
      <c r="AW22" s="483"/>
      <c r="AX22" s="483"/>
      <c r="AY22" s="483"/>
      <c r="BA22" s="602"/>
      <c r="BB22" s="602"/>
      <c r="BC22" s="602"/>
      <c r="CG22" s="518"/>
      <c r="CH22" s="518"/>
    </row>
    <row r="23" spans="2:90" ht="15">
      <c r="B23" s="8" t="str">
        <f>Processes!D22</f>
        <v>IMPAGSL</v>
      </c>
      <c r="C23" s="8" t="str">
        <f>Processes!E22</f>
        <v>Import technology - Aviation gasoline</v>
      </c>
      <c r="D23" s="216"/>
      <c r="E23" s="216" t="str">
        <f t="shared" si="4"/>
        <v>AGSL</v>
      </c>
      <c r="F23" s="1119" t="str">
        <f t="shared" si="5"/>
        <v>MKr19</v>
      </c>
      <c r="G23" s="483">
        <f t="shared" si="6"/>
        <v>76.5</v>
      </c>
      <c r="H23" s="483">
        <f t="shared" si="6"/>
        <v>112.4</v>
      </c>
      <c r="I23" s="483">
        <f t="shared" si="6"/>
        <v>116.3</v>
      </c>
      <c r="J23" s="483">
        <f t="shared" si="6"/>
        <v>118.6</v>
      </c>
      <c r="K23" s="483">
        <f t="shared" si="6"/>
        <v>110.1</v>
      </c>
      <c r="L23" s="483">
        <f t="shared" si="6"/>
        <v>73.5</v>
      </c>
      <c r="M23" s="483">
        <f t="shared" si="6"/>
        <v>70.599999999999994</v>
      </c>
      <c r="N23" s="483">
        <f t="shared" si="6"/>
        <v>74.7</v>
      </c>
      <c r="O23" s="483">
        <f t="shared" si="6"/>
        <v>99.501075794723519</v>
      </c>
      <c r="P23" s="483">
        <f t="shared" si="6"/>
        <v>92.996963615472367</v>
      </c>
      <c r="Q23" s="483">
        <f t="shared" si="7"/>
        <v>91.517025086546809</v>
      </c>
      <c r="R23" s="483">
        <f t="shared" si="7"/>
        <v>69.532939675183428</v>
      </c>
      <c r="S23" s="483">
        <f t="shared" si="7"/>
        <v>72.941438545887451</v>
      </c>
      <c r="T23" s="483">
        <f t="shared" si="7"/>
        <v>75.264522441042786</v>
      </c>
      <c r="U23" s="483">
        <f t="shared" si="7"/>
        <v>76.962731586007934</v>
      </c>
      <c r="V23" s="483">
        <f t="shared" si="7"/>
        <v>78.199209412536121</v>
      </c>
      <c r="W23" s="483">
        <f t="shared" si="7"/>
        <v>79.564672750845261</v>
      </c>
      <c r="X23" s="483">
        <f t="shared" si="7"/>
        <v>80.902811517689884</v>
      </c>
      <c r="Y23" s="483">
        <f t="shared" si="7"/>
        <v>82.133932814730045</v>
      </c>
      <c r="Z23" s="483">
        <f t="shared" si="7"/>
        <v>83.42668470166312</v>
      </c>
      <c r="AA23" s="483">
        <f t="shared" si="8"/>
        <v>84.649874602600562</v>
      </c>
      <c r="AB23" s="483">
        <f t="shared" si="8"/>
        <v>84.343730840397711</v>
      </c>
      <c r="AC23" s="483">
        <f t="shared" si="8"/>
        <v>84.036854893898322</v>
      </c>
      <c r="AD23" s="483">
        <f t="shared" si="8"/>
        <v>83.731245986171288</v>
      </c>
      <c r="AE23" s="483">
        <f t="shared" si="8"/>
        <v>83.424869481157842</v>
      </c>
      <c r="AF23" s="483">
        <f t="shared" si="8"/>
        <v>83.118589672609204</v>
      </c>
      <c r="AG23" s="483">
        <f t="shared" si="8"/>
        <v>82.811383985383955</v>
      </c>
      <c r="AH23" s="483">
        <f t="shared" si="8"/>
        <v>82.505260877276157</v>
      </c>
      <c r="AI23" s="483">
        <f t="shared" si="8"/>
        <v>82.198407292957839</v>
      </c>
      <c r="AJ23" s="483">
        <f t="shared" si="8"/>
        <v>81.892482546272987</v>
      </c>
      <c r="AK23" s="483">
        <f t="shared" si="9"/>
        <v>81.586255922780509</v>
      </c>
      <c r="AL23" s="483">
        <f t="shared" si="9"/>
        <v>81.280029803612607</v>
      </c>
      <c r="AM23" s="483">
        <f t="shared" si="9"/>
        <v>80.976964003619855</v>
      </c>
      <c r="AN23" s="483">
        <f t="shared" si="9"/>
        <v>80.673903946081424</v>
      </c>
      <c r="AO23" s="483">
        <f t="shared" si="9"/>
        <v>80.370849638339479</v>
      </c>
      <c r="AP23" s="483">
        <f t="shared" si="9"/>
        <v>80.067801087745465</v>
      </c>
      <c r="AQ23" s="483">
        <f t="shared" si="9"/>
        <v>79.764758301660265</v>
      </c>
      <c r="AR23" s="483">
        <f t="shared" si="9"/>
        <v>79.461721287454196</v>
      </c>
      <c r="AS23" s="483">
        <f t="shared" si="9"/>
        <v>79.158690052506984</v>
      </c>
      <c r="AT23" s="483">
        <f t="shared" si="9"/>
        <v>78.85566460420776</v>
      </c>
      <c r="AU23" s="483">
        <f t="shared" si="9"/>
        <v>78.552644949955152</v>
      </c>
      <c r="AV23" s="484">
        <v>5</v>
      </c>
      <c r="CG23" s="518"/>
      <c r="CH23" s="518"/>
    </row>
    <row r="24" spans="2:90" ht="15">
      <c r="B24" s="8" t="str">
        <f>Processes!D23</f>
        <v>IMPBGA</v>
      </c>
      <c r="C24" s="8" t="str">
        <f>Processes!E23</f>
        <v>Import technology - Biogas</v>
      </c>
      <c r="D24" s="216"/>
      <c r="E24" s="216" t="str">
        <f t="shared" si="4"/>
        <v>BGA</v>
      </c>
      <c r="F24" s="1119" t="str">
        <f t="shared" si="5"/>
        <v>MKr19</v>
      </c>
      <c r="G24" s="483">
        <f t="shared" si="6"/>
        <v>133.19999999999999</v>
      </c>
      <c r="H24" s="483">
        <f t="shared" si="6"/>
        <v>138.30000000000001</v>
      </c>
      <c r="I24" s="483">
        <f t="shared" si="6"/>
        <v>165.3</v>
      </c>
      <c r="J24" s="483">
        <f t="shared" si="6"/>
        <v>162.60000000000002</v>
      </c>
      <c r="K24" s="483">
        <f t="shared" si="6"/>
        <v>137.10000000000002</v>
      </c>
      <c r="L24" s="483">
        <f t="shared" si="6"/>
        <v>132</v>
      </c>
      <c r="M24" s="483">
        <f t="shared" si="6"/>
        <v>110.39999999999999</v>
      </c>
      <c r="N24" s="483">
        <f t="shared" si="6"/>
        <v>110.69999999999999</v>
      </c>
      <c r="O24" s="483">
        <f t="shared" si="6"/>
        <v>160.26655014555075</v>
      </c>
      <c r="P24" s="483">
        <f t="shared" si="6"/>
        <v>102.78303372186139</v>
      </c>
      <c r="Q24" s="483">
        <f t="shared" si="7"/>
        <v>100.19354995944677</v>
      </c>
      <c r="R24" s="483">
        <f t="shared" si="7"/>
        <v>94.575870076314601</v>
      </c>
      <c r="S24" s="483">
        <f t="shared" si="7"/>
        <v>98.287645864625688</v>
      </c>
      <c r="T24" s="483">
        <f t="shared" si="7"/>
        <v>100.1030649386264</v>
      </c>
      <c r="U24" s="483">
        <f t="shared" si="7"/>
        <v>100.70137176108622</v>
      </c>
      <c r="V24" s="483">
        <f t="shared" si="7"/>
        <v>100.518250388741</v>
      </c>
      <c r="W24" s="483">
        <f t="shared" si="7"/>
        <v>100.40291761291219</v>
      </c>
      <c r="X24" s="483">
        <f t="shared" si="7"/>
        <v>100.32884125869501</v>
      </c>
      <c r="Y24" s="483">
        <f t="shared" si="7"/>
        <v>100.26539877136038</v>
      </c>
      <c r="Z24" s="483">
        <f t="shared" si="7"/>
        <v>100.24266074406691</v>
      </c>
      <c r="AA24" s="483">
        <f t="shared" si="8"/>
        <v>100.23645783122964</v>
      </c>
      <c r="AB24" s="483">
        <f t="shared" si="8"/>
        <v>100.37471501444514</v>
      </c>
      <c r="AC24" s="483">
        <f t="shared" si="8"/>
        <v>100.51297219766064</v>
      </c>
      <c r="AD24" s="483">
        <f t="shared" si="8"/>
        <v>100.65122938087613</v>
      </c>
      <c r="AE24" s="483">
        <f t="shared" si="8"/>
        <v>100.78948656409162</v>
      </c>
      <c r="AF24" s="483">
        <f t="shared" si="8"/>
        <v>100.92774374730713</v>
      </c>
      <c r="AG24" s="483">
        <f t="shared" si="8"/>
        <v>101.06600093052263</v>
      </c>
      <c r="AH24" s="483">
        <f t="shared" si="8"/>
        <v>101.20425811373809</v>
      </c>
      <c r="AI24" s="483">
        <f t="shared" si="8"/>
        <v>101.34251529695359</v>
      </c>
      <c r="AJ24" s="483">
        <f t="shared" si="8"/>
        <v>101.48077248016905</v>
      </c>
      <c r="AK24" s="483">
        <f t="shared" si="9"/>
        <v>101.61902966338455</v>
      </c>
      <c r="AL24" s="483">
        <f t="shared" si="9"/>
        <v>101.75728684660005</v>
      </c>
      <c r="AM24" s="483">
        <f t="shared" si="9"/>
        <v>101.89554402981554</v>
      </c>
      <c r="AN24" s="483">
        <f t="shared" si="9"/>
        <v>102.03380121303101</v>
      </c>
      <c r="AO24" s="483">
        <f t="shared" si="9"/>
        <v>102.17205839624651</v>
      </c>
      <c r="AP24" s="483">
        <f t="shared" si="9"/>
        <v>102.31031557946201</v>
      </c>
      <c r="AQ24" s="483">
        <f t="shared" si="9"/>
        <v>102.44857276267751</v>
      </c>
      <c r="AR24" s="483">
        <f t="shared" si="9"/>
        <v>102.58682994589297</v>
      </c>
      <c r="AS24" s="483">
        <f t="shared" si="9"/>
        <v>102.72508712910849</v>
      </c>
      <c r="AT24" s="483">
        <f t="shared" si="9"/>
        <v>102.86334431232396</v>
      </c>
      <c r="AU24" s="483">
        <f t="shared" si="9"/>
        <v>103.00160149553948</v>
      </c>
      <c r="AV24" s="484">
        <v>5</v>
      </c>
      <c r="BB24" s="518"/>
      <c r="BC24" s="518"/>
      <c r="BD24" s="603"/>
      <c r="BE24" s="603"/>
      <c r="BF24" s="603"/>
      <c r="BG24" s="603"/>
      <c r="BH24" s="603"/>
      <c r="BI24" s="603"/>
      <c r="BJ24" s="603"/>
      <c r="BK24" s="603"/>
      <c r="BL24" s="603"/>
      <c r="BM24" s="603"/>
      <c r="BN24" s="603"/>
      <c r="BO24" s="603"/>
      <c r="BP24" s="603"/>
      <c r="BQ24" s="603"/>
      <c r="BR24" s="603"/>
      <c r="BS24" s="603"/>
      <c r="BT24" s="603"/>
      <c r="BU24" s="603"/>
      <c r="BV24" s="603"/>
      <c r="BW24" s="603"/>
      <c r="BX24" s="603"/>
      <c r="BY24" s="603"/>
      <c r="BZ24" s="603"/>
      <c r="CA24" s="603"/>
      <c r="CB24" s="603"/>
      <c r="CC24" s="603"/>
      <c r="CD24" s="603"/>
      <c r="CE24" s="603"/>
      <c r="CF24" s="603"/>
      <c r="CG24" s="518"/>
      <c r="CH24" s="518"/>
    </row>
    <row r="25" spans="2:90" ht="15">
      <c r="B25" s="8" t="str">
        <f>Processes!D24</f>
        <v>IMPHFB</v>
      </c>
      <c r="C25" s="8" t="str">
        <f>Processes!E24</f>
        <v>Import technology - Heavy Fuel Bio Oil</v>
      </c>
      <c r="D25" s="216"/>
      <c r="E25" s="216" t="str">
        <f t="shared" si="4"/>
        <v>HFB</v>
      </c>
      <c r="F25" s="1119" t="str">
        <f t="shared" si="5"/>
        <v>MKr19</v>
      </c>
      <c r="G25" s="483">
        <f t="shared" si="6"/>
        <v>131.87375303359801</v>
      </c>
      <c r="H25" s="483">
        <f t="shared" si="6"/>
        <v>165.67375303359799</v>
      </c>
      <c r="I25" s="483">
        <f t="shared" si="6"/>
        <v>159.87375303359801</v>
      </c>
      <c r="J25" s="483">
        <f t="shared" si="6"/>
        <v>155.37375303359801</v>
      </c>
      <c r="K25" s="483">
        <f t="shared" si="6"/>
        <v>147.67375303359799</v>
      </c>
      <c r="L25" s="483">
        <f t="shared" si="6"/>
        <v>111.17375303359799</v>
      </c>
      <c r="M25" s="483">
        <f t="shared" si="6"/>
        <v>108.17375303359799</v>
      </c>
      <c r="N25" s="483">
        <f t="shared" si="6"/>
        <v>112.37375303359801</v>
      </c>
      <c r="O25" s="483">
        <f t="shared" si="6"/>
        <v>131.40889447232328</v>
      </c>
      <c r="P25" s="483">
        <f t="shared" si="6"/>
        <v>125.49478229307215</v>
      </c>
      <c r="Q25" s="483">
        <f t="shared" si="7"/>
        <v>124.0148437641466</v>
      </c>
      <c r="R25" s="483">
        <f t="shared" si="7"/>
        <v>102.03075835278321</v>
      </c>
      <c r="S25" s="483">
        <f t="shared" si="7"/>
        <v>105.43925722348725</v>
      </c>
      <c r="T25" s="483">
        <f t="shared" si="7"/>
        <v>107.76234111864258</v>
      </c>
      <c r="U25" s="483">
        <f t="shared" si="7"/>
        <v>109.46055026360771</v>
      </c>
      <c r="V25" s="483">
        <f t="shared" si="7"/>
        <v>110.69702809013592</v>
      </c>
      <c r="W25" s="483">
        <f t="shared" si="7"/>
        <v>112.06249142844504</v>
      </c>
      <c r="X25" s="483">
        <f t="shared" si="7"/>
        <v>113.40063019528966</v>
      </c>
      <c r="Y25" s="483">
        <f t="shared" si="7"/>
        <v>114.63175149232984</v>
      </c>
      <c r="Z25" s="483">
        <f t="shared" si="7"/>
        <v>115.92450337926292</v>
      </c>
      <c r="AA25" s="483">
        <f t="shared" si="8"/>
        <v>117.14769328020034</v>
      </c>
      <c r="AB25" s="483">
        <f t="shared" si="8"/>
        <v>116.84154951799751</v>
      </c>
      <c r="AC25" s="483">
        <f t="shared" si="8"/>
        <v>116.5346735714981</v>
      </c>
      <c r="AD25" s="483">
        <f t="shared" si="8"/>
        <v>116.22906466377108</v>
      </c>
      <c r="AE25" s="483">
        <f t="shared" si="8"/>
        <v>115.92268815875764</v>
      </c>
      <c r="AF25" s="483">
        <f t="shared" si="8"/>
        <v>115.61640835020899</v>
      </c>
      <c r="AG25" s="483">
        <f t="shared" si="8"/>
        <v>115.30920266298375</v>
      </c>
      <c r="AH25" s="483">
        <f t="shared" si="8"/>
        <v>115.00307955487595</v>
      </c>
      <c r="AI25" s="483">
        <f t="shared" si="8"/>
        <v>114.69622597055762</v>
      </c>
      <c r="AJ25" s="483">
        <f t="shared" si="8"/>
        <v>114.39030122387277</v>
      </c>
      <c r="AK25" s="483">
        <f t="shared" si="9"/>
        <v>114.08407460038029</v>
      </c>
      <c r="AL25" s="483">
        <f t="shared" si="9"/>
        <v>113.77784848121239</v>
      </c>
      <c r="AM25" s="483">
        <f t="shared" si="9"/>
        <v>113.47478268121964</v>
      </c>
      <c r="AN25" s="483">
        <f t="shared" si="9"/>
        <v>113.17172262368121</v>
      </c>
      <c r="AO25" s="483">
        <f t="shared" si="9"/>
        <v>112.86866831593926</v>
      </c>
      <c r="AP25" s="483">
        <f t="shared" si="9"/>
        <v>112.56561976534525</v>
      </c>
      <c r="AQ25" s="483">
        <f t="shared" si="9"/>
        <v>112.26257697926006</v>
      </c>
      <c r="AR25" s="483">
        <f t="shared" si="9"/>
        <v>111.95953996505398</v>
      </c>
      <c r="AS25" s="483">
        <f t="shared" si="9"/>
        <v>111.65650873010676</v>
      </c>
      <c r="AT25" s="483">
        <f t="shared" si="9"/>
        <v>111.35348328180754</v>
      </c>
      <c r="AU25" s="483">
        <f t="shared" si="9"/>
        <v>111.05046362755493</v>
      </c>
      <c r="AV25" s="484">
        <v>5</v>
      </c>
      <c r="BB25" s="518"/>
      <c r="BC25" s="518"/>
      <c r="BD25" s="603"/>
      <c r="BE25" s="603"/>
      <c r="BF25" s="603"/>
      <c r="BG25" s="603"/>
      <c r="BH25" s="603"/>
      <c r="BI25" s="603"/>
      <c r="BJ25" s="603"/>
      <c r="BK25" s="603"/>
      <c r="BL25" s="603"/>
      <c r="BM25" s="603"/>
      <c r="BN25" s="603"/>
      <c r="BO25" s="603"/>
      <c r="BP25" s="603"/>
      <c r="BQ25" s="603"/>
      <c r="BR25" s="603"/>
      <c r="BS25" s="603"/>
      <c r="BT25" s="603"/>
      <c r="BU25" s="603"/>
      <c r="BV25" s="603"/>
      <c r="BW25" s="603"/>
      <c r="BX25" s="603"/>
      <c r="BY25" s="603"/>
      <c r="BZ25" s="603"/>
      <c r="CA25" s="603"/>
      <c r="CB25" s="603"/>
      <c r="CC25" s="603"/>
      <c r="CD25" s="603"/>
      <c r="CE25" s="603"/>
      <c r="CF25" s="603"/>
      <c r="CG25" s="518"/>
      <c r="CH25" s="518"/>
    </row>
    <row r="26" spans="2:90" ht="15">
      <c r="B26" s="8" t="str">
        <f>Processes!D25</f>
        <v>IMPDDGS</v>
      </c>
      <c r="C26" s="8" t="str">
        <f>Processes!E25</f>
        <v>Import technology - Ethanol</v>
      </c>
      <c r="D26" s="216"/>
      <c r="E26" s="216" t="str">
        <f t="shared" si="4"/>
        <v>DDGS</v>
      </c>
      <c r="F26" s="1119" t="str">
        <f t="shared" si="5"/>
        <v>MKr14</v>
      </c>
      <c r="G26" s="483">
        <f t="shared" si="6"/>
        <v>10</v>
      </c>
      <c r="H26" s="483">
        <f t="shared" si="6"/>
        <v>10</v>
      </c>
      <c r="I26" s="483">
        <f t="shared" si="6"/>
        <v>10</v>
      </c>
      <c r="J26" s="483">
        <f t="shared" si="6"/>
        <v>10</v>
      </c>
      <c r="K26" s="483">
        <f t="shared" si="6"/>
        <v>10</v>
      </c>
      <c r="L26" s="483">
        <f t="shared" si="6"/>
        <v>10</v>
      </c>
      <c r="M26" s="483">
        <f t="shared" si="6"/>
        <v>10</v>
      </c>
      <c r="N26" s="483">
        <f t="shared" si="6"/>
        <v>10</v>
      </c>
      <c r="O26" s="483">
        <f t="shared" si="6"/>
        <v>10</v>
      </c>
      <c r="P26" s="483">
        <f t="shared" si="6"/>
        <v>10</v>
      </c>
      <c r="Q26" s="483">
        <f t="shared" si="7"/>
        <v>10</v>
      </c>
      <c r="R26" s="483">
        <f t="shared" si="7"/>
        <v>10</v>
      </c>
      <c r="S26" s="483">
        <f t="shared" si="7"/>
        <v>10</v>
      </c>
      <c r="T26" s="483">
        <f t="shared" si="7"/>
        <v>10</v>
      </c>
      <c r="U26" s="483">
        <f t="shared" si="7"/>
        <v>10</v>
      </c>
      <c r="V26" s="483">
        <f t="shared" si="7"/>
        <v>10</v>
      </c>
      <c r="W26" s="483">
        <f t="shared" si="7"/>
        <v>10</v>
      </c>
      <c r="X26" s="483">
        <f t="shared" si="7"/>
        <v>10</v>
      </c>
      <c r="Y26" s="483">
        <f t="shared" si="7"/>
        <v>10</v>
      </c>
      <c r="Z26" s="483">
        <f t="shared" si="7"/>
        <v>10</v>
      </c>
      <c r="AA26" s="483">
        <f t="shared" si="8"/>
        <v>10</v>
      </c>
      <c r="AB26" s="483">
        <f t="shared" si="8"/>
        <v>10</v>
      </c>
      <c r="AC26" s="483">
        <f t="shared" si="8"/>
        <v>10</v>
      </c>
      <c r="AD26" s="483">
        <f t="shared" si="8"/>
        <v>10</v>
      </c>
      <c r="AE26" s="483">
        <f t="shared" si="8"/>
        <v>10</v>
      </c>
      <c r="AF26" s="483">
        <f t="shared" si="8"/>
        <v>10</v>
      </c>
      <c r="AG26" s="483">
        <f t="shared" si="8"/>
        <v>10</v>
      </c>
      <c r="AH26" s="483">
        <f t="shared" si="8"/>
        <v>10</v>
      </c>
      <c r="AI26" s="483">
        <f t="shared" si="8"/>
        <v>10</v>
      </c>
      <c r="AJ26" s="483">
        <f t="shared" si="8"/>
        <v>10</v>
      </c>
      <c r="AK26" s="483">
        <f t="shared" si="9"/>
        <v>10</v>
      </c>
      <c r="AL26" s="483">
        <f t="shared" si="9"/>
        <v>10</v>
      </c>
      <c r="AM26" s="483">
        <f t="shared" si="9"/>
        <v>10</v>
      </c>
      <c r="AN26" s="483">
        <f t="shared" si="9"/>
        <v>10</v>
      </c>
      <c r="AO26" s="483">
        <f t="shared" si="9"/>
        <v>10</v>
      </c>
      <c r="AP26" s="483">
        <f t="shared" si="9"/>
        <v>10</v>
      </c>
      <c r="AQ26" s="483">
        <f t="shared" si="9"/>
        <v>10</v>
      </c>
      <c r="AR26" s="483">
        <f t="shared" si="9"/>
        <v>10</v>
      </c>
      <c r="AS26" s="483">
        <f t="shared" si="9"/>
        <v>10</v>
      </c>
      <c r="AT26" s="483">
        <f t="shared" si="9"/>
        <v>10</v>
      </c>
      <c r="AU26" s="483">
        <f t="shared" si="9"/>
        <v>10</v>
      </c>
      <c r="AV26" s="484">
        <v>5</v>
      </c>
      <c r="BB26" s="518"/>
      <c r="BC26" s="518"/>
      <c r="BD26" s="603"/>
      <c r="BE26" s="603"/>
      <c r="BF26" s="603"/>
      <c r="BG26" s="603"/>
      <c r="BH26" s="603"/>
      <c r="BI26" s="603"/>
      <c r="BJ26" s="603"/>
      <c r="BK26" s="603"/>
      <c r="BL26" s="603"/>
      <c r="BM26" s="603"/>
      <c r="BN26" s="603"/>
      <c r="BO26" s="603"/>
      <c r="BP26" s="603"/>
      <c r="BQ26" s="603"/>
      <c r="BR26" s="603"/>
      <c r="BS26" s="603"/>
      <c r="BT26" s="603"/>
      <c r="BU26" s="603"/>
      <c r="BV26" s="603"/>
      <c r="BW26" s="603"/>
      <c r="BX26" s="603"/>
      <c r="BY26" s="603"/>
      <c r="BZ26" s="603"/>
      <c r="CA26" s="603"/>
      <c r="CB26" s="603"/>
      <c r="CC26" s="603"/>
      <c r="CD26" s="603"/>
      <c r="CE26" s="603"/>
      <c r="CF26" s="603"/>
      <c r="CG26" s="518"/>
      <c r="CH26" s="518"/>
    </row>
    <row r="27" spans="2:90" ht="15">
      <c r="B27" s="8" t="str">
        <f>Processes!D26</f>
        <v>IMPH2</v>
      </c>
      <c r="C27" s="8" t="str">
        <f>Processes!E26</f>
        <v>Import technology - Hydrogen</v>
      </c>
      <c r="D27" s="216"/>
      <c r="E27" s="486" t="s">
        <v>755</v>
      </c>
      <c r="F27" s="1119" t="str">
        <f t="shared" si="5"/>
        <v>MKr14</v>
      </c>
      <c r="G27" s="483">
        <f t="shared" ref="G27:P36" si="10">IFERROR(INDEX($G$122:$AU$177,MATCH($E27,$E$122:$E$177,0),MATCH(G$6,$G$121:$AU$121,0)),0)</f>
        <v>586.08000000000004</v>
      </c>
      <c r="H27" s="483">
        <f t="shared" si="10"/>
        <v>807.895012134392</v>
      </c>
      <c r="I27" s="483">
        <f t="shared" si="10"/>
        <v>915.895012134392</v>
      </c>
      <c r="J27" s="483">
        <f t="shared" si="10"/>
        <v>905.09501213439205</v>
      </c>
      <c r="K27" s="483">
        <f t="shared" si="10"/>
        <v>803.09501213439205</v>
      </c>
      <c r="L27" s="483">
        <f t="shared" si="10"/>
        <v>782.69501213439196</v>
      </c>
      <c r="M27" s="483">
        <f t="shared" si="10"/>
        <v>696.29501213439198</v>
      </c>
      <c r="N27" s="483">
        <f t="shared" si="10"/>
        <v>697.49501213439191</v>
      </c>
      <c r="O27" s="483">
        <f t="shared" si="10"/>
        <v>895.76121271659497</v>
      </c>
      <c r="P27" s="483">
        <f t="shared" si="10"/>
        <v>665.8271470218375</v>
      </c>
      <c r="Q27" s="483">
        <f t="shared" ref="Q27:Z36" si="11">IFERROR(INDEX($G$122:$AU$177,MATCH($E27,$E$122:$E$177,0),MATCH(Q$6,$G$121:$AU$121,0)),0)</f>
        <v>655.4692119721791</v>
      </c>
      <c r="R27" s="483">
        <f t="shared" si="11"/>
        <v>632.99849243965036</v>
      </c>
      <c r="S27" s="483">
        <f t="shared" si="11"/>
        <v>647.84559559289471</v>
      </c>
      <c r="T27" s="483">
        <f t="shared" si="11"/>
        <v>655.10727188889757</v>
      </c>
      <c r="U27" s="483">
        <f t="shared" si="11"/>
        <v>657.50049917873685</v>
      </c>
      <c r="V27" s="483">
        <f t="shared" si="11"/>
        <v>656.76801368935594</v>
      </c>
      <c r="W27" s="483">
        <f t="shared" si="11"/>
        <v>656.30668258604078</v>
      </c>
      <c r="X27" s="483">
        <f t="shared" si="11"/>
        <v>656.01037716917199</v>
      </c>
      <c r="Y27" s="483">
        <f t="shared" si="11"/>
        <v>655.75660721983354</v>
      </c>
      <c r="Z27" s="483">
        <f t="shared" si="11"/>
        <v>655.6656551106596</v>
      </c>
      <c r="AA27" s="483">
        <f t="shared" ref="AA27:AJ36" si="12">IFERROR(INDEX($G$122:$AU$177,MATCH($E27,$E$122:$E$177,0),MATCH(AA$6,$G$121:$AU$121,0)),0)</f>
        <v>655.64084345931053</v>
      </c>
      <c r="AB27" s="483">
        <f t="shared" si="12"/>
        <v>656.19387219217253</v>
      </c>
      <c r="AC27" s="483">
        <f t="shared" si="12"/>
        <v>656.74690092503454</v>
      </c>
      <c r="AD27" s="483">
        <f t="shared" si="12"/>
        <v>657.29992965789654</v>
      </c>
      <c r="AE27" s="483">
        <f t="shared" si="12"/>
        <v>657.85295839075843</v>
      </c>
      <c r="AF27" s="483">
        <f t="shared" si="12"/>
        <v>658.40598712362055</v>
      </c>
      <c r="AG27" s="483">
        <f t="shared" si="12"/>
        <v>658.95901585648255</v>
      </c>
      <c r="AH27" s="483">
        <f t="shared" si="12"/>
        <v>659.51204458934433</v>
      </c>
      <c r="AI27" s="483">
        <f t="shared" si="12"/>
        <v>660.06507332220633</v>
      </c>
      <c r="AJ27" s="483">
        <f t="shared" si="12"/>
        <v>660.61810205506822</v>
      </c>
      <c r="AK27" s="483">
        <f t="shared" ref="AK27:AU36" si="13">IFERROR(INDEX($G$122:$AU$177,MATCH($E27,$E$122:$E$177,0),MATCH(AK$6,$G$121:$AU$121,0)),0)</f>
        <v>661.17113078793022</v>
      </c>
      <c r="AL27" s="483">
        <f t="shared" si="13"/>
        <v>661.72415952079223</v>
      </c>
      <c r="AM27" s="483">
        <f t="shared" si="13"/>
        <v>662.27718825365412</v>
      </c>
      <c r="AN27" s="483">
        <f t="shared" si="13"/>
        <v>662.83021698651601</v>
      </c>
      <c r="AO27" s="483">
        <f t="shared" si="13"/>
        <v>663.38324571937801</v>
      </c>
      <c r="AP27" s="483">
        <f t="shared" si="13"/>
        <v>663.93627445224001</v>
      </c>
      <c r="AQ27" s="483">
        <f t="shared" si="13"/>
        <v>664.48930318510202</v>
      </c>
      <c r="AR27" s="483">
        <f t="shared" si="13"/>
        <v>665.04233191796391</v>
      </c>
      <c r="AS27" s="483">
        <f t="shared" si="13"/>
        <v>665.59536065082591</v>
      </c>
      <c r="AT27" s="483">
        <f t="shared" si="13"/>
        <v>666.1483893836878</v>
      </c>
      <c r="AU27" s="483">
        <f t="shared" si="13"/>
        <v>666.70141811654992</v>
      </c>
      <c r="AV27" s="484">
        <v>5</v>
      </c>
      <c r="BB27" s="518"/>
      <c r="BC27" s="518"/>
      <c r="BD27" s="603"/>
      <c r="BE27" s="603"/>
      <c r="BF27" s="603"/>
      <c r="BG27" s="603"/>
      <c r="BH27" s="603"/>
      <c r="BI27" s="603"/>
      <c r="BJ27" s="603"/>
      <c r="BK27" s="603"/>
      <c r="BL27" s="603"/>
      <c r="BM27" s="603"/>
      <c r="BN27" s="603"/>
      <c r="BO27" s="603"/>
      <c r="BP27" s="603"/>
      <c r="BQ27" s="603"/>
      <c r="BR27" s="603"/>
      <c r="BS27" s="603"/>
      <c r="BT27" s="603"/>
      <c r="BU27" s="603"/>
      <c r="BV27" s="603"/>
      <c r="BW27" s="603"/>
      <c r="BX27" s="603"/>
      <c r="BY27" s="603"/>
      <c r="BZ27" s="603"/>
      <c r="CA27" s="603"/>
      <c r="CB27" s="603"/>
      <c r="CC27" s="603"/>
      <c r="CD27" s="603"/>
      <c r="CE27" s="603"/>
      <c r="CF27" s="603"/>
      <c r="CG27" s="518"/>
      <c r="CH27" s="518"/>
    </row>
    <row r="28" spans="2:90" ht="15">
      <c r="B28" s="8" t="str">
        <f>Processes!D27</f>
        <v>IMPH2G</v>
      </c>
      <c r="C28" s="8" t="str">
        <f>Processes!E27</f>
        <v>Import technology - Hydrogen Gas</v>
      </c>
      <c r="D28" s="216"/>
      <c r="E28" s="216" t="str">
        <f t="shared" si="4"/>
        <v>H2G</v>
      </c>
      <c r="F28" s="1119" t="str">
        <f t="shared" si="5"/>
        <v>MKr14</v>
      </c>
      <c r="G28" s="483">
        <f t="shared" si="10"/>
        <v>586.08000000000004</v>
      </c>
      <c r="H28" s="483">
        <f t="shared" si="10"/>
        <v>807.895012134392</v>
      </c>
      <c r="I28" s="483">
        <f t="shared" si="10"/>
        <v>915.895012134392</v>
      </c>
      <c r="J28" s="483">
        <f t="shared" si="10"/>
        <v>905.09501213439205</v>
      </c>
      <c r="K28" s="483">
        <f t="shared" si="10"/>
        <v>803.09501213439205</v>
      </c>
      <c r="L28" s="483">
        <f t="shared" si="10"/>
        <v>782.69501213439196</v>
      </c>
      <c r="M28" s="483">
        <f t="shared" si="10"/>
        <v>696.29501213439198</v>
      </c>
      <c r="N28" s="483">
        <f t="shared" si="10"/>
        <v>697.49501213439191</v>
      </c>
      <c r="O28" s="483">
        <f t="shared" si="10"/>
        <v>895.76121271659497</v>
      </c>
      <c r="P28" s="483">
        <f t="shared" si="10"/>
        <v>665.8271470218375</v>
      </c>
      <c r="Q28" s="483">
        <f t="shared" si="11"/>
        <v>655.4692119721791</v>
      </c>
      <c r="R28" s="483">
        <f t="shared" si="11"/>
        <v>632.99849243965036</v>
      </c>
      <c r="S28" s="483">
        <f t="shared" si="11"/>
        <v>647.84559559289471</v>
      </c>
      <c r="T28" s="483">
        <f t="shared" si="11"/>
        <v>655.10727188889757</v>
      </c>
      <c r="U28" s="483">
        <f t="shared" si="11"/>
        <v>657.50049917873685</v>
      </c>
      <c r="V28" s="483">
        <f t="shared" si="11"/>
        <v>656.76801368935594</v>
      </c>
      <c r="W28" s="483">
        <f t="shared" si="11"/>
        <v>656.30668258604078</v>
      </c>
      <c r="X28" s="483">
        <f t="shared" si="11"/>
        <v>656.01037716917199</v>
      </c>
      <c r="Y28" s="483">
        <f t="shared" si="11"/>
        <v>655.75660721983354</v>
      </c>
      <c r="Z28" s="483">
        <f t="shared" si="11"/>
        <v>655.6656551106596</v>
      </c>
      <c r="AA28" s="483">
        <f t="shared" si="12"/>
        <v>655.64084345931053</v>
      </c>
      <c r="AB28" s="483">
        <f t="shared" si="12"/>
        <v>656.19387219217253</v>
      </c>
      <c r="AC28" s="483">
        <f t="shared" si="12"/>
        <v>656.74690092503454</v>
      </c>
      <c r="AD28" s="483">
        <f t="shared" si="12"/>
        <v>657.29992965789654</v>
      </c>
      <c r="AE28" s="483">
        <f t="shared" si="12"/>
        <v>657.85295839075843</v>
      </c>
      <c r="AF28" s="483">
        <f t="shared" si="12"/>
        <v>658.40598712362055</v>
      </c>
      <c r="AG28" s="483">
        <f t="shared" si="12"/>
        <v>658.95901585648255</v>
      </c>
      <c r="AH28" s="483">
        <f t="shared" si="12"/>
        <v>659.51204458934433</v>
      </c>
      <c r="AI28" s="483">
        <f t="shared" si="12"/>
        <v>660.06507332220633</v>
      </c>
      <c r="AJ28" s="483">
        <f t="shared" si="12"/>
        <v>660.61810205506822</v>
      </c>
      <c r="AK28" s="483">
        <f t="shared" si="13"/>
        <v>661.17113078793022</v>
      </c>
      <c r="AL28" s="483">
        <f t="shared" si="13"/>
        <v>661.72415952079223</v>
      </c>
      <c r="AM28" s="483">
        <f t="shared" si="13"/>
        <v>662.27718825365412</v>
      </c>
      <c r="AN28" s="483">
        <f t="shared" si="13"/>
        <v>662.83021698651601</v>
      </c>
      <c r="AO28" s="483">
        <f t="shared" si="13"/>
        <v>663.38324571937801</v>
      </c>
      <c r="AP28" s="483">
        <f t="shared" si="13"/>
        <v>663.93627445224001</v>
      </c>
      <c r="AQ28" s="483">
        <f t="shared" si="13"/>
        <v>664.48930318510202</v>
      </c>
      <c r="AR28" s="483">
        <f t="shared" si="13"/>
        <v>665.04233191796391</v>
      </c>
      <c r="AS28" s="483">
        <f t="shared" si="13"/>
        <v>665.59536065082591</v>
      </c>
      <c r="AT28" s="483">
        <f t="shared" si="13"/>
        <v>666.1483893836878</v>
      </c>
      <c r="AU28" s="483">
        <f t="shared" si="13"/>
        <v>666.70141811654992</v>
      </c>
      <c r="AV28" s="484">
        <v>5</v>
      </c>
      <c r="BB28" s="518"/>
      <c r="BC28" s="518"/>
      <c r="BD28" s="603"/>
      <c r="BE28" s="603"/>
      <c r="BF28" s="603"/>
      <c r="BG28" s="603"/>
      <c r="BH28" s="603"/>
      <c r="BI28" s="603"/>
      <c r="BJ28" s="603"/>
      <c r="BK28" s="603"/>
      <c r="BL28" s="603"/>
      <c r="BM28" s="603"/>
      <c r="BN28" s="603"/>
      <c r="BO28" s="603"/>
      <c r="BP28" s="603"/>
      <c r="BQ28" s="603"/>
      <c r="BR28" s="603"/>
      <c r="BS28" s="603"/>
      <c r="BT28" s="603"/>
      <c r="BU28" s="603"/>
      <c r="BV28" s="603"/>
      <c r="BW28" s="603"/>
      <c r="BX28" s="603"/>
      <c r="BY28" s="603"/>
      <c r="BZ28" s="603"/>
      <c r="CA28" s="603"/>
      <c r="CB28" s="603"/>
      <c r="CC28" s="603"/>
      <c r="CD28" s="603"/>
      <c r="CE28" s="603"/>
      <c r="CF28" s="603"/>
      <c r="CG28" s="518"/>
      <c r="CH28" s="518"/>
    </row>
    <row r="29" spans="2:90" ht="15">
      <c r="B29" s="8" t="str">
        <f>Processes!D28</f>
        <v>IMPAMM</v>
      </c>
      <c r="C29" s="8" t="str">
        <f>Processes!E28</f>
        <v>Import technology - Ammonia (Liquid)</v>
      </c>
      <c r="D29" s="216"/>
      <c r="E29" s="216" t="str">
        <f t="shared" si="4"/>
        <v>AMM</v>
      </c>
      <c r="F29" s="1119" t="str">
        <f t="shared" si="5"/>
        <v>MKr19</v>
      </c>
      <c r="G29" s="483">
        <f t="shared" si="10"/>
        <v>263.74750606719601</v>
      </c>
      <c r="H29" s="483">
        <f t="shared" si="10"/>
        <v>331.34750606719598</v>
      </c>
      <c r="I29" s="483">
        <f t="shared" si="10"/>
        <v>319.74750606719601</v>
      </c>
      <c r="J29" s="483">
        <f t="shared" si="10"/>
        <v>310.74750606719601</v>
      </c>
      <c r="K29" s="483">
        <f t="shared" si="10"/>
        <v>295.34750606719598</v>
      </c>
      <c r="L29" s="483">
        <f t="shared" si="10"/>
        <v>222.34750606719598</v>
      </c>
      <c r="M29" s="483">
        <f t="shared" si="10"/>
        <v>216.34750606719598</v>
      </c>
      <c r="N29" s="483">
        <f t="shared" si="10"/>
        <v>224.74750606719601</v>
      </c>
      <c r="O29" s="483">
        <f t="shared" si="10"/>
        <v>262.81778894464657</v>
      </c>
      <c r="P29" s="483">
        <f t="shared" si="10"/>
        <v>250.9895645861443</v>
      </c>
      <c r="Q29" s="483">
        <f t="shared" si="11"/>
        <v>248.02968752829321</v>
      </c>
      <c r="R29" s="483">
        <f t="shared" si="11"/>
        <v>204.06151670556642</v>
      </c>
      <c r="S29" s="483">
        <f t="shared" si="11"/>
        <v>210.87851444697449</v>
      </c>
      <c r="T29" s="483">
        <f t="shared" si="11"/>
        <v>215.52468223728516</v>
      </c>
      <c r="U29" s="483">
        <f t="shared" si="11"/>
        <v>218.92110052721543</v>
      </c>
      <c r="V29" s="483">
        <f t="shared" si="11"/>
        <v>221.39405618027183</v>
      </c>
      <c r="W29" s="483">
        <f t="shared" si="11"/>
        <v>224.12498285689009</v>
      </c>
      <c r="X29" s="483">
        <f t="shared" si="11"/>
        <v>226.80126039057933</v>
      </c>
      <c r="Y29" s="483">
        <f t="shared" si="11"/>
        <v>229.26350298465968</v>
      </c>
      <c r="Z29" s="483">
        <f t="shared" si="11"/>
        <v>231.84900675852583</v>
      </c>
      <c r="AA29" s="483">
        <f t="shared" si="12"/>
        <v>234.29538656040069</v>
      </c>
      <c r="AB29" s="483">
        <f t="shared" si="12"/>
        <v>233.68309903599501</v>
      </c>
      <c r="AC29" s="483">
        <f t="shared" si="12"/>
        <v>233.06934714299621</v>
      </c>
      <c r="AD29" s="483">
        <f t="shared" si="12"/>
        <v>232.45812932754217</v>
      </c>
      <c r="AE29" s="483">
        <f t="shared" si="12"/>
        <v>231.84537631751527</v>
      </c>
      <c r="AF29" s="483">
        <f t="shared" si="12"/>
        <v>231.23281670041797</v>
      </c>
      <c r="AG29" s="483">
        <f t="shared" si="12"/>
        <v>230.6184053259675</v>
      </c>
      <c r="AH29" s="483">
        <f t="shared" si="12"/>
        <v>230.00615910975191</v>
      </c>
      <c r="AI29" s="483">
        <f t="shared" si="12"/>
        <v>229.39245194111524</v>
      </c>
      <c r="AJ29" s="483">
        <f t="shared" si="12"/>
        <v>228.78060244774554</v>
      </c>
      <c r="AK29" s="483">
        <f t="shared" si="13"/>
        <v>228.16814920076058</v>
      </c>
      <c r="AL29" s="483">
        <f t="shared" si="13"/>
        <v>227.55569696242478</v>
      </c>
      <c r="AM29" s="483">
        <f t="shared" si="13"/>
        <v>226.94956536243927</v>
      </c>
      <c r="AN29" s="483">
        <f t="shared" si="13"/>
        <v>226.34344524736241</v>
      </c>
      <c r="AO29" s="483">
        <f t="shared" si="13"/>
        <v>225.73733663187852</v>
      </c>
      <c r="AP29" s="483">
        <f t="shared" si="13"/>
        <v>225.13123953069049</v>
      </c>
      <c r="AQ29" s="483">
        <f t="shared" si="13"/>
        <v>224.52515395852012</v>
      </c>
      <c r="AR29" s="483">
        <f t="shared" si="13"/>
        <v>223.91907993010796</v>
      </c>
      <c r="AS29" s="483">
        <f t="shared" si="13"/>
        <v>223.31301746021353</v>
      </c>
      <c r="AT29" s="483">
        <f t="shared" si="13"/>
        <v>222.70696656361508</v>
      </c>
      <c r="AU29" s="483">
        <f t="shared" si="13"/>
        <v>222.10092725510987</v>
      </c>
      <c r="AV29" s="484">
        <v>5</v>
      </c>
      <c r="BB29" s="518"/>
      <c r="BC29" s="518"/>
      <c r="BD29" s="603"/>
      <c r="BE29" s="603"/>
      <c r="BF29" s="603"/>
      <c r="BG29" s="603"/>
      <c r="BH29" s="603"/>
      <c r="BI29" s="603"/>
      <c r="BJ29" s="603"/>
      <c r="BK29" s="603"/>
      <c r="BL29" s="603"/>
      <c r="BM29" s="603"/>
      <c r="BN29" s="603"/>
      <c r="BO29" s="603"/>
      <c r="BP29" s="603"/>
      <c r="BQ29" s="603"/>
      <c r="BR29" s="603"/>
      <c r="BS29" s="603"/>
      <c r="BT29" s="603"/>
      <c r="BU29" s="603"/>
      <c r="BV29" s="603"/>
      <c r="BW29" s="603"/>
      <c r="BX29" s="603"/>
      <c r="BY29" s="603"/>
      <c r="BZ29" s="603"/>
      <c r="CA29" s="603"/>
      <c r="CB29" s="603"/>
      <c r="CC29" s="603"/>
      <c r="CD29" s="603"/>
      <c r="CE29" s="603"/>
      <c r="CF29" s="603"/>
      <c r="CG29" s="518"/>
      <c r="CH29" s="518"/>
    </row>
    <row r="30" spans="2:90" ht="15">
      <c r="B30" s="8" t="str">
        <f>Processes!D29</f>
        <v>IMPDME</v>
      </c>
      <c r="C30" s="8" t="str">
        <f>Processes!E29</f>
        <v>Import technology - Dimethyl ether</v>
      </c>
      <c r="D30" s="216"/>
      <c r="E30" s="216" t="str">
        <f t="shared" si="4"/>
        <v>DME</v>
      </c>
      <c r="F30" s="1119" t="str">
        <f t="shared" si="5"/>
        <v>MKr19</v>
      </c>
      <c r="G30" s="483">
        <f t="shared" si="10"/>
        <v>185.98112833695782</v>
      </c>
      <c r="H30" s="483">
        <f t="shared" si="10"/>
        <v>244.74750606719599</v>
      </c>
      <c r="I30" s="483">
        <f t="shared" si="10"/>
        <v>261.54750606719597</v>
      </c>
      <c r="J30" s="483">
        <f t="shared" si="10"/>
        <v>250.547506067196</v>
      </c>
      <c r="K30" s="483">
        <f t="shared" si="10"/>
        <v>240.84750606719598</v>
      </c>
      <c r="L30" s="483">
        <f t="shared" si="10"/>
        <v>204.34750606719598</v>
      </c>
      <c r="M30" s="483">
        <f t="shared" si="10"/>
        <v>201.34750606719598</v>
      </c>
      <c r="N30" s="483">
        <f t="shared" si="10"/>
        <v>205.547506067196</v>
      </c>
      <c r="O30" s="483">
        <f t="shared" si="10"/>
        <v>228.84858186191951</v>
      </c>
      <c r="P30" s="483">
        <f t="shared" si="10"/>
        <v>222.93446968266835</v>
      </c>
      <c r="Q30" s="483">
        <f t="shared" si="11"/>
        <v>221.45453115374281</v>
      </c>
      <c r="R30" s="483">
        <f t="shared" si="11"/>
        <v>199.47044574237941</v>
      </c>
      <c r="S30" s="483">
        <f t="shared" si="11"/>
        <v>202.87894461308343</v>
      </c>
      <c r="T30" s="483">
        <f t="shared" si="11"/>
        <v>205.20202850823878</v>
      </c>
      <c r="U30" s="483">
        <f t="shared" si="11"/>
        <v>206.90023765320393</v>
      </c>
      <c r="V30" s="483">
        <f t="shared" si="11"/>
        <v>208.13671547973212</v>
      </c>
      <c r="W30" s="483">
        <f t="shared" si="11"/>
        <v>209.50217881804124</v>
      </c>
      <c r="X30" s="483">
        <f t="shared" si="11"/>
        <v>210.84031758488587</v>
      </c>
      <c r="Y30" s="483">
        <f t="shared" si="11"/>
        <v>212.07143888192604</v>
      </c>
      <c r="Z30" s="483">
        <f t="shared" si="11"/>
        <v>213.36419076885912</v>
      </c>
      <c r="AA30" s="483">
        <f t="shared" si="12"/>
        <v>214.58738066979654</v>
      </c>
      <c r="AB30" s="483">
        <f t="shared" si="12"/>
        <v>214.28123690759369</v>
      </c>
      <c r="AC30" s="483">
        <f t="shared" si="12"/>
        <v>213.97436096109431</v>
      </c>
      <c r="AD30" s="483">
        <f t="shared" si="12"/>
        <v>213.66875205336729</v>
      </c>
      <c r="AE30" s="483">
        <f t="shared" si="12"/>
        <v>213.36237554835384</v>
      </c>
      <c r="AF30" s="483">
        <f t="shared" si="12"/>
        <v>213.05609573980519</v>
      </c>
      <c r="AG30" s="483">
        <f t="shared" si="12"/>
        <v>212.74889005257995</v>
      </c>
      <c r="AH30" s="483">
        <f t="shared" si="12"/>
        <v>212.44276694447214</v>
      </c>
      <c r="AI30" s="483">
        <f t="shared" si="12"/>
        <v>212.13591336015384</v>
      </c>
      <c r="AJ30" s="483">
        <f t="shared" si="12"/>
        <v>211.82998861346897</v>
      </c>
      <c r="AK30" s="483">
        <f t="shared" si="13"/>
        <v>211.52376198997649</v>
      </c>
      <c r="AL30" s="483">
        <f t="shared" si="13"/>
        <v>211.2175358708086</v>
      </c>
      <c r="AM30" s="483">
        <f t="shared" si="13"/>
        <v>210.91447007081584</v>
      </c>
      <c r="AN30" s="483">
        <f t="shared" si="13"/>
        <v>210.61141001327741</v>
      </c>
      <c r="AO30" s="483">
        <f t="shared" si="13"/>
        <v>210.30835570553546</v>
      </c>
      <c r="AP30" s="483">
        <f t="shared" si="13"/>
        <v>210.00530715494145</v>
      </c>
      <c r="AQ30" s="483">
        <f t="shared" si="13"/>
        <v>209.70226436885625</v>
      </c>
      <c r="AR30" s="483">
        <f t="shared" si="13"/>
        <v>209.39922735465018</v>
      </c>
      <c r="AS30" s="483">
        <f t="shared" si="13"/>
        <v>209.09619611970297</v>
      </c>
      <c r="AT30" s="483">
        <f t="shared" si="13"/>
        <v>208.79317067140374</v>
      </c>
      <c r="AU30" s="483">
        <f t="shared" si="13"/>
        <v>208.49015101715113</v>
      </c>
      <c r="AV30" s="484">
        <v>5</v>
      </c>
      <c r="BB30" s="518"/>
      <c r="BC30" s="518"/>
      <c r="BD30" s="603"/>
      <c r="BE30" s="603"/>
      <c r="BF30" s="603"/>
      <c r="BG30" s="603"/>
      <c r="BH30" s="603"/>
      <c r="BI30" s="603"/>
      <c r="BJ30" s="603"/>
      <c r="BK30" s="603"/>
      <c r="BL30" s="603"/>
      <c r="BM30" s="603"/>
      <c r="BN30" s="603"/>
      <c r="BO30" s="603"/>
      <c r="BP30" s="603"/>
      <c r="BQ30" s="603"/>
      <c r="BR30" s="603"/>
      <c r="BS30" s="603"/>
      <c r="BT30" s="603"/>
      <c r="BU30" s="603"/>
      <c r="BV30" s="603"/>
      <c r="BW30" s="603"/>
      <c r="BX30" s="603"/>
      <c r="BY30" s="603"/>
      <c r="BZ30" s="603"/>
      <c r="CA30" s="603"/>
      <c r="CB30" s="603"/>
      <c r="CC30" s="603"/>
      <c r="CD30" s="603"/>
      <c r="CE30" s="603"/>
      <c r="CF30" s="603"/>
      <c r="CG30" s="518"/>
      <c r="CH30" s="518"/>
    </row>
    <row r="31" spans="2:90" ht="15">
      <c r="B31" s="8" t="str">
        <f>Processes!D30</f>
        <v>IMPKRB1</v>
      </c>
      <c r="C31" s="8" t="str">
        <f>Processes!E30</f>
        <v>Import technology - Bio Kerosene G1</v>
      </c>
      <c r="D31" s="216"/>
      <c r="E31" s="216" t="str">
        <f t="shared" si="4"/>
        <v>KRB1</v>
      </c>
      <c r="F31" s="1119" t="str">
        <f t="shared" si="5"/>
        <v>MKr19</v>
      </c>
      <c r="G31" s="483">
        <f t="shared" si="10"/>
        <v>229.5</v>
      </c>
      <c r="H31" s="483">
        <f t="shared" si="10"/>
        <v>337.20000000000005</v>
      </c>
      <c r="I31" s="483">
        <f t="shared" si="10"/>
        <v>348.9</v>
      </c>
      <c r="J31" s="483">
        <f t="shared" si="10"/>
        <v>355.79999999999995</v>
      </c>
      <c r="K31" s="483">
        <f t="shared" si="10"/>
        <v>330.29999999999995</v>
      </c>
      <c r="L31" s="483">
        <f t="shared" si="10"/>
        <v>220.5</v>
      </c>
      <c r="M31" s="483">
        <f t="shared" si="10"/>
        <v>211.79999999999998</v>
      </c>
      <c r="N31" s="483">
        <f t="shared" si="10"/>
        <v>224.10000000000002</v>
      </c>
      <c r="O31" s="483">
        <f t="shared" si="10"/>
        <v>298.50322738417054</v>
      </c>
      <c r="P31" s="483">
        <f t="shared" si="10"/>
        <v>278.99089084641707</v>
      </c>
      <c r="Q31" s="483">
        <f t="shared" si="11"/>
        <v>274.55107525964041</v>
      </c>
      <c r="R31" s="483">
        <f t="shared" si="11"/>
        <v>208.59881902555028</v>
      </c>
      <c r="S31" s="483">
        <f t="shared" si="11"/>
        <v>218.82431563766235</v>
      </c>
      <c r="T31" s="483">
        <f t="shared" si="11"/>
        <v>225.79356732312834</v>
      </c>
      <c r="U31" s="483">
        <f t="shared" si="11"/>
        <v>230.88819475802381</v>
      </c>
      <c r="V31" s="483">
        <f t="shared" si="11"/>
        <v>234.59762823760838</v>
      </c>
      <c r="W31" s="483">
        <f t="shared" si="11"/>
        <v>238.69401825253578</v>
      </c>
      <c r="X31" s="483">
        <f t="shared" si="11"/>
        <v>242.70843455306965</v>
      </c>
      <c r="Y31" s="483">
        <f t="shared" si="11"/>
        <v>246.40179844419015</v>
      </c>
      <c r="Z31" s="483">
        <f t="shared" si="11"/>
        <v>250.28005410498935</v>
      </c>
      <c r="AA31" s="483">
        <f t="shared" si="12"/>
        <v>253.94962380780169</v>
      </c>
      <c r="AB31" s="483">
        <f t="shared" si="12"/>
        <v>253.03119252119313</v>
      </c>
      <c r="AC31" s="483">
        <f t="shared" si="12"/>
        <v>252.11056468169497</v>
      </c>
      <c r="AD31" s="483">
        <f t="shared" si="12"/>
        <v>251.19373795851385</v>
      </c>
      <c r="AE31" s="483">
        <f t="shared" si="12"/>
        <v>250.27460844347354</v>
      </c>
      <c r="AF31" s="483">
        <f t="shared" si="12"/>
        <v>249.35576901782761</v>
      </c>
      <c r="AG31" s="483">
        <f t="shared" si="12"/>
        <v>248.43415195615188</v>
      </c>
      <c r="AH31" s="483">
        <f t="shared" si="12"/>
        <v>247.51578263182847</v>
      </c>
      <c r="AI31" s="483">
        <f t="shared" si="12"/>
        <v>246.59522187887353</v>
      </c>
      <c r="AJ31" s="483">
        <f t="shared" si="12"/>
        <v>245.67744763881896</v>
      </c>
      <c r="AK31" s="483">
        <f t="shared" si="13"/>
        <v>244.75876776834153</v>
      </c>
      <c r="AL31" s="483">
        <f t="shared" si="13"/>
        <v>243.84008941083783</v>
      </c>
      <c r="AM31" s="483">
        <f t="shared" si="13"/>
        <v>242.93089201085957</v>
      </c>
      <c r="AN31" s="483">
        <f t="shared" si="13"/>
        <v>242.02171183824427</v>
      </c>
      <c r="AO31" s="483">
        <f t="shared" si="13"/>
        <v>241.11254891501844</v>
      </c>
      <c r="AP31" s="483">
        <f t="shared" si="13"/>
        <v>240.2034032632364</v>
      </c>
      <c r="AQ31" s="483">
        <f t="shared" si="13"/>
        <v>239.2942749049808</v>
      </c>
      <c r="AR31" s="483">
        <f t="shared" si="13"/>
        <v>238.38516386236259</v>
      </c>
      <c r="AS31" s="483">
        <f t="shared" si="13"/>
        <v>237.47607015752095</v>
      </c>
      <c r="AT31" s="483">
        <f t="shared" si="13"/>
        <v>236.56699381262328</v>
      </c>
      <c r="AU31" s="483">
        <f t="shared" si="13"/>
        <v>235.65793484986546</v>
      </c>
      <c r="AV31" s="484">
        <v>5</v>
      </c>
      <c r="BB31" s="518"/>
      <c r="BC31" s="518"/>
      <c r="BD31" s="603"/>
      <c r="BE31" s="603"/>
      <c r="BF31" s="603"/>
      <c r="BG31" s="603"/>
      <c r="BH31" s="603"/>
      <c r="BI31" s="603"/>
      <c r="BJ31" s="603"/>
      <c r="BK31" s="603"/>
      <c r="BL31" s="603"/>
      <c r="BM31" s="603"/>
      <c r="BN31" s="603"/>
      <c r="BO31" s="603"/>
      <c r="BP31" s="603"/>
      <c r="BQ31" s="603"/>
      <c r="BR31" s="603"/>
      <c r="BS31" s="603"/>
      <c r="BT31" s="603"/>
      <c r="BU31" s="603"/>
      <c r="BV31" s="603"/>
      <c r="BW31" s="603"/>
      <c r="BX31" s="603"/>
      <c r="BY31" s="603"/>
      <c r="BZ31" s="603"/>
      <c r="CA31" s="603"/>
      <c r="CB31" s="603"/>
      <c r="CC31" s="603"/>
      <c r="CD31" s="603"/>
      <c r="CE31" s="603"/>
      <c r="CF31" s="603"/>
      <c r="CG31" s="518"/>
      <c r="CH31" s="518"/>
    </row>
    <row r="32" spans="2:90" ht="15">
      <c r="B32" s="8" t="str">
        <f>Processes!D31</f>
        <v>IMPKRB2</v>
      </c>
      <c r="C32" s="8" t="str">
        <f>Processes!E31</f>
        <v>Import technology - Bio Kerosene G2</v>
      </c>
      <c r="D32" s="216"/>
      <c r="E32" s="216" t="str">
        <f t="shared" si="4"/>
        <v>KRB2</v>
      </c>
      <c r="F32" s="1119" t="str">
        <f t="shared" si="5"/>
        <v>MKr19</v>
      </c>
      <c r="G32" s="483">
        <f t="shared" si="10"/>
        <v>252.45000000000002</v>
      </c>
      <c r="H32" s="483">
        <f t="shared" si="10"/>
        <v>400.87375303359806</v>
      </c>
      <c r="I32" s="483">
        <f t="shared" si="10"/>
        <v>412.573753033598</v>
      </c>
      <c r="J32" s="483">
        <f t="shared" si="10"/>
        <v>419.47375303359797</v>
      </c>
      <c r="K32" s="483">
        <f t="shared" si="10"/>
        <v>393.97375303359797</v>
      </c>
      <c r="L32" s="483">
        <f t="shared" si="10"/>
        <v>284.17375303359802</v>
      </c>
      <c r="M32" s="483">
        <f t="shared" si="10"/>
        <v>275.47375303359797</v>
      </c>
      <c r="N32" s="483">
        <f t="shared" si="10"/>
        <v>287.77375303359804</v>
      </c>
      <c r="O32" s="483">
        <f t="shared" si="10"/>
        <v>362.17698041776856</v>
      </c>
      <c r="P32" s="483">
        <f t="shared" si="10"/>
        <v>342.66464388001509</v>
      </c>
      <c r="Q32" s="483">
        <f t="shared" si="11"/>
        <v>338.22482829323843</v>
      </c>
      <c r="R32" s="483">
        <f t="shared" si="11"/>
        <v>272.27257205914827</v>
      </c>
      <c r="S32" s="483">
        <f t="shared" si="11"/>
        <v>282.49806867126034</v>
      </c>
      <c r="T32" s="483">
        <f t="shared" si="11"/>
        <v>289.46732035672636</v>
      </c>
      <c r="U32" s="483">
        <f t="shared" si="11"/>
        <v>294.56194779162183</v>
      </c>
      <c r="V32" s="483">
        <f t="shared" si="11"/>
        <v>298.27138127120639</v>
      </c>
      <c r="W32" s="483">
        <f t="shared" si="11"/>
        <v>302.3677712861338</v>
      </c>
      <c r="X32" s="483">
        <f t="shared" si="11"/>
        <v>306.38218758666767</v>
      </c>
      <c r="Y32" s="483">
        <f t="shared" si="11"/>
        <v>310.07555147778817</v>
      </c>
      <c r="Z32" s="483">
        <f t="shared" si="11"/>
        <v>313.95380713858736</v>
      </c>
      <c r="AA32" s="483">
        <f t="shared" si="12"/>
        <v>317.6233768413997</v>
      </c>
      <c r="AB32" s="483">
        <f t="shared" si="12"/>
        <v>316.70494555479115</v>
      </c>
      <c r="AC32" s="483">
        <f t="shared" si="12"/>
        <v>315.78431771529296</v>
      </c>
      <c r="AD32" s="483">
        <f t="shared" si="12"/>
        <v>314.86749099211187</v>
      </c>
      <c r="AE32" s="483">
        <f t="shared" si="12"/>
        <v>313.94836147707156</v>
      </c>
      <c r="AF32" s="483">
        <f t="shared" si="12"/>
        <v>313.0295220514256</v>
      </c>
      <c r="AG32" s="483">
        <f t="shared" si="12"/>
        <v>312.1079049897499</v>
      </c>
      <c r="AH32" s="483">
        <f t="shared" si="12"/>
        <v>311.18953566542649</v>
      </c>
      <c r="AI32" s="483">
        <f t="shared" si="12"/>
        <v>310.26897491247155</v>
      </c>
      <c r="AJ32" s="483">
        <f t="shared" si="12"/>
        <v>309.35120067241695</v>
      </c>
      <c r="AK32" s="483">
        <f t="shared" si="13"/>
        <v>308.43252080193952</v>
      </c>
      <c r="AL32" s="483">
        <f t="shared" si="13"/>
        <v>307.51384244443585</v>
      </c>
      <c r="AM32" s="483">
        <f t="shared" si="13"/>
        <v>306.60464504445758</v>
      </c>
      <c r="AN32" s="483">
        <f t="shared" si="13"/>
        <v>305.69546487184226</v>
      </c>
      <c r="AO32" s="483">
        <f t="shared" si="13"/>
        <v>304.78630194861643</v>
      </c>
      <c r="AP32" s="483">
        <f t="shared" si="13"/>
        <v>303.87715629683441</v>
      </c>
      <c r="AQ32" s="483">
        <f t="shared" si="13"/>
        <v>302.96802793857881</v>
      </c>
      <c r="AR32" s="483">
        <f t="shared" si="13"/>
        <v>302.05891689596058</v>
      </c>
      <c r="AS32" s="483">
        <f t="shared" si="13"/>
        <v>301.14982319111897</v>
      </c>
      <c r="AT32" s="483">
        <f t="shared" si="13"/>
        <v>300.24074684622127</v>
      </c>
      <c r="AU32" s="483">
        <f t="shared" si="13"/>
        <v>299.33168788346347</v>
      </c>
      <c r="AV32" s="484">
        <v>5</v>
      </c>
      <c r="BB32" s="518"/>
      <c r="BC32" s="518"/>
      <c r="BD32" s="603"/>
      <c r="BE32" s="603"/>
      <c r="BF32" s="603"/>
      <c r="BG32" s="603"/>
      <c r="BH32" s="603"/>
      <c r="BI32" s="603"/>
      <c r="BJ32" s="603"/>
      <c r="BK32" s="603"/>
      <c r="BL32" s="603"/>
      <c r="BM32" s="603"/>
      <c r="BN32" s="603"/>
      <c r="BO32" s="603"/>
      <c r="BP32" s="603"/>
      <c r="BQ32" s="603"/>
      <c r="BR32" s="603"/>
      <c r="BS32" s="603"/>
      <c r="BT32" s="603"/>
      <c r="BU32" s="603"/>
      <c r="BV32" s="603"/>
      <c r="BW32" s="603"/>
      <c r="BX32" s="603"/>
      <c r="BY32" s="603"/>
      <c r="BZ32" s="603"/>
      <c r="CA32" s="603"/>
      <c r="CB32" s="603"/>
      <c r="CC32" s="603"/>
      <c r="CD32" s="603"/>
      <c r="CE32" s="603"/>
      <c r="CF32" s="603"/>
      <c r="CG32" s="518"/>
      <c r="CH32" s="518"/>
    </row>
    <row r="33" spans="2:119" ht="15">
      <c r="B33" s="8" t="str">
        <f>Processes!D32</f>
        <v>IMPKRE</v>
      </c>
      <c r="C33" s="8" t="str">
        <f>Processes!E32</f>
        <v>Import technology - Electro Kerosene</v>
      </c>
      <c r="D33" s="216"/>
      <c r="E33" s="216" t="str">
        <f t="shared" si="4"/>
        <v>KRE</v>
      </c>
      <c r="F33" s="1119" t="str">
        <f t="shared" si="5"/>
        <v>MKr19</v>
      </c>
      <c r="G33" s="483">
        <f t="shared" si="10"/>
        <v>504.90000000000003</v>
      </c>
      <c r="H33" s="483">
        <f t="shared" si="10"/>
        <v>801.74750606719613</v>
      </c>
      <c r="I33" s="483">
        <f t="shared" si="10"/>
        <v>825.14750606719599</v>
      </c>
      <c r="J33" s="483">
        <f t="shared" si="10"/>
        <v>838.94750606719595</v>
      </c>
      <c r="K33" s="483">
        <f t="shared" si="10"/>
        <v>787.94750606719595</v>
      </c>
      <c r="L33" s="483">
        <f t="shared" si="10"/>
        <v>568.34750606719604</v>
      </c>
      <c r="M33" s="483">
        <f t="shared" si="10"/>
        <v>550.94750606719595</v>
      </c>
      <c r="N33" s="483">
        <f t="shared" si="10"/>
        <v>575.54750606719608</v>
      </c>
      <c r="O33" s="483">
        <f t="shared" si="10"/>
        <v>724.35396083553712</v>
      </c>
      <c r="P33" s="483">
        <f t="shared" si="10"/>
        <v>685.32928776003018</v>
      </c>
      <c r="Q33" s="483">
        <f t="shared" si="11"/>
        <v>676.44965658647686</v>
      </c>
      <c r="R33" s="483">
        <f t="shared" si="11"/>
        <v>544.54514411829655</v>
      </c>
      <c r="S33" s="483">
        <f t="shared" si="11"/>
        <v>564.99613734252068</v>
      </c>
      <c r="T33" s="483">
        <f t="shared" si="11"/>
        <v>578.93464071345272</v>
      </c>
      <c r="U33" s="483">
        <f t="shared" si="11"/>
        <v>589.12389558324367</v>
      </c>
      <c r="V33" s="483">
        <f t="shared" si="11"/>
        <v>596.54276254241279</v>
      </c>
      <c r="W33" s="483">
        <f t="shared" si="11"/>
        <v>604.7355425722676</v>
      </c>
      <c r="X33" s="483">
        <f t="shared" si="11"/>
        <v>612.76437517333534</v>
      </c>
      <c r="Y33" s="483">
        <f t="shared" si="11"/>
        <v>620.15110295557633</v>
      </c>
      <c r="Z33" s="483">
        <f t="shared" si="11"/>
        <v>627.90761427717473</v>
      </c>
      <c r="AA33" s="483">
        <f t="shared" si="12"/>
        <v>635.24675368279941</v>
      </c>
      <c r="AB33" s="483">
        <f t="shared" si="12"/>
        <v>633.4098911095823</v>
      </c>
      <c r="AC33" s="483">
        <f t="shared" si="12"/>
        <v>631.56863543058591</v>
      </c>
      <c r="AD33" s="483">
        <f t="shared" si="12"/>
        <v>629.73498198422374</v>
      </c>
      <c r="AE33" s="483">
        <f t="shared" si="12"/>
        <v>627.89672295414312</v>
      </c>
      <c r="AF33" s="483">
        <f t="shared" si="12"/>
        <v>626.0590441028512</v>
      </c>
      <c r="AG33" s="483">
        <f t="shared" si="12"/>
        <v>624.2158099794998</v>
      </c>
      <c r="AH33" s="483">
        <f t="shared" si="12"/>
        <v>622.37907133085298</v>
      </c>
      <c r="AI33" s="483">
        <f t="shared" si="12"/>
        <v>620.5379498249431</v>
      </c>
      <c r="AJ33" s="483">
        <f t="shared" si="12"/>
        <v>618.7024013448339</v>
      </c>
      <c r="AK33" s="483">
        <f t="shared" si="13"/>
        <v>616.86504160387904</v>
      </c>
      <c r="AL33" s="483">
        <f t="shared" si="13"/>
        <v>615.0276848888717</v>
      </c>
      <c r="AM33" s="483">
        <f t="shared" si="13"/>
        <v>613.20929008891517</v>
      </c>
      <c r="AN33" s="483">
        <f t="shared" si="13"/>
        <v>611.39092974368452</v>
      </c>
      <c r="AO33" s="483">
        <f t="shared" si="13"/>
        <v>609.57260389723285</v>
      </c>
      <c r="AP33" s="483">
        <f t="shared" si="13"/>
        <v>607.75431259366883</v>
      </c>
      <c r="AQ33" s="483">
        <f t="shared" si="13"/>
        <v>605.93605587715763</v>
      </c>
      <c r="AR33" s="483">
        <f t="shared" si="13"/>
        <v>604.11783379192116</v>
      </c>
      <c r="AS33" s="483">
        <f t="shared" si="13"/>
        <v>602.29964638223794</v>
      </c>
      <c r="AT33" s="483">
        <f t="shared" si="13"/>
        <v>600.48149369244254</v>
      </c>
      <c r="AU33" s="483">
        <f t="shared" si="13"/>
        <v>598.66337576692695</v>
      </c>
      <c r="AV33" s="484">
        <v>5</v>
      </c>
      <c r="BB33" s="518"/>
      <c r="BC33" s="518"/>
      <c r="BD33" s="603"/>
      <c r="BE33" s="603"/>
      <c r="BF33" s="603"/>
      <c r="BG33" s="603"/>
      <c r="BH33" s="603"/>
      <c r="BI33" s="603"/>
      <c r="BJ33" s="603"/>
      <c r="BK33" s="603"/>
      <c r="BL33" s="603"/>
      <c r="BM33" s="603"/>
      <c r="BN33" s="603"/>
      <c r="BO33" s="603"/>
      <c r="BP33" s="603"/>
      <c r="BQ33" s="603"/>
      <c r="BR33" s="603"/>
      <c r="BS33" s="603"/>
      <c r="BT33" s="603"/>
      <c r="BU33" s="603"/>
      <c r="BV33" s="603"/>
      <c r="BW33" s="603"/>
      <c r="BX33" s="603"/>
      <c r="BY33" s="603"/>
      <c r="BZ33" s="603"/>
      <c r="CA33" s="603"/>
      <c r="CB33" s="603"/>
      <c r="CC33" s="603"/>
      <c r="CD33" s="603"/>
      <c r="CE33" s="603"/>
      <c r="CF33" s="603"/>
      <c r="CG33" s="518"/>
      <c r="CH33" s="518"/>
    </row>
    <row r="34" spans="2:119" ht="15">
      <c r="B34" s="8" t="str">
        <f>Processes!D33</f>
        <v>IMPSNG1</v>
      </c>
      <c r="C34" s="8" t="str">
        <f>Processes!E33</f>
        <v>Import technology - Bio Synt. Nat. Gas G1</v>
      </c>
      <c r="D34" s="216"/>
      <c r="E34" s="216" t="str">
        <f t="shared" si="4"/>
        <v>SNG1</v>
      </c>
      <c r="F34" s="1119" t="str">
        <f t="shared" si="5"/>
        <v>MKr19</v>
      </c>
      <c r="G34" s="483">
        <f t="shared" si="10"/>
        <v>133.19999999999999</v>
      </c>
      <c r="H34" s="483">
        <f t="shared" si="10"/>
        <v>138.30000000000001</v>
      </c>
      <c r="I34" s="483">
        <f t="shared" si="10"/>
        <v>165.3</v>
      </c>
      <c r="J34" s="483">
        <f t="shared" si="10"/>
        <v>162.60000000000002</v>
      </c>
      <c r="K34" s="483">
        <f t="shared" si="10"/>
        <v>137.10000000000002</v>
      </c>
      <c r="L34" s="483">
        <f t="shared" si="10"/>
        <v>132</v>
      </c>
      <c r="M34" s="483">
        <f t="shared" si="10"/>
        <v>110.39999999999999</v>
      </c>
      <c r="N34" s="483">
        <f t="shared" si="10"/>
        <v>110.69999999999999</v>
      </c>
      <c r="O34" s="483">
        <f t="shared" si="10"/>
        <v>160.26655014555075</v>
      </c>
      <c r="P34" s="483">
        <f t="shared" si="10"/>
        <v>102.78303372186139</v>
      </c>
      <c r="Q34" s="483">
        <f t="shared" si="11"/>
        <v>100.19354995944677</v>
      </c>
      <c r="R34" s="483">
        <f t="shared" si="11"/>
        <v>94.575870076314601</v>
      </c>
      <c r="S34" s="483">
        <f t="shared" si="11"/>
        <v>98.287645864625688</v>
      </c>
      <c r="T34" s="483">
        <f t="shared" si="11"/>
        <v>100.1030649386264</v>
      </c>
      <c r="U34" s="483">
        <f t="shared" si="11"/>
        <v>100.70137176108622</v>
      </c>
      <c r="V34" s="483">
        <f t="shared" si="11"/>
        <v>100.518250388741</v>
      </c>
      <c r="W34" s="483">
        <f t="shared" si="11"/>
        <v>100.40291761291219</v>
      </c>
      <c r="X34" s="483">
        <f t="shared" si="11"/>
        <v>100.32884125869501</v>
      </c>
      <c r="Y34" s="483">
        <f t="shared" si="11"/>
        <v>100.26539877136038</v>
      </c>
      <c r="Z34" s="483">
        <f t="shared" si="11"/>
        <v>100.24266074406691</v>
      </c>
      <c r="AA34" s="483">
        <f t="shared" si="12"/>
        <v>100.23645783122964</v>
      </c>
      <c r="AB34" s="483">
        <f t="shared" si="12"/>
        <v>100.37471501444514</v>
      </c>
      <c r="AC34" s="483">
        <f t="shared" si="12"/>
        <v>100.51297219766064</v>
      </c>
      <c r="AD34" s="483">
        <f t="shared" si="12"/>
        <v>100.65122938087613</v>
      </c>
      <c r="AE34" s="483">
        <f t="shared" si="12"/>
        <v>100.78948656409162</v>
      </c>
      <c r="AF34" s="483">
        <f t="shared" si="12"/>
        <v>100.92774374730713</v>
      </c>
      <c r="AG34" s="483">
        <f t="shared" si="12"/>
        <v>101.06600093052263</v>
      </c>
      <c r="AH34" s="483">
        <f t="shared" si="12"/>
        <v>101.20425811373809</v>
      </c>
      <c r="AI34" s="483">
        <f t="shared" si="12"/>
        <v>101.34251529695359</v>
      </c>
      <c r="AJ34" s="483">
        <f t="shared" si="12"/>
        <v>101.48077248016905</v>
      </c>
      <c r="AK34" s="483">
        <f t="shared" si="13"/>
        <v>101.61902966338455</v>
      </c>
      <c r="AL34" s="483">
        <f t="shared" si="13"/>
        <v>101.75728684660005</v>
      </c>
      <c r="AM34" s="483">
        <f t="shared" si="13"/>
        <v>101.89554402981554</v>
      </c>
      <c r="AN34" s="483">
        <f t="shared" si="13"/>
        <v>102.03380121303101</v>
      </c>
      <c r="AO34" s="483">
        <f t="shared" si="13"/>
        <v>102.17205839624651</v>
      </c>
      <c r="AP34" s="483">
        <f t="shared" si="13"/>
        <v>102.31031557946201</v>
      </c>
      <c r="AQ34" s="483">
        <f t="shared" si="13"/>
        <v>102.44857276267751</v>
      </c>
      <c r="AR34" s="483">
        <f t="shared" si="13"/>
        <v>102.58682994589297</v>
      </c>
      <c r="AS34" s="483">
        <f t="shared" si="13"/>
        <v>102.72508712910849</v>
      </c>
      <c r="AT34" s="483">
        <f t="shared" si="13"/>
        <v>102.86334431232396</v>
      </c>
      <c r="AU34" s="483">
        <f t="shared" si="13"/>
        <v>103.00160149553948</v>
      </c>
      <c r="AV34" s="484">
        <v>5</v>
      </c>
      <c r="BB34" s="518"/>
      <c r="BC34" s="518"/>
      <c r="BD34" s="603"/>
      <c r="BE34" s="603"/>
      <c r="BF34" s="603"/>
      <c r="BG34" s="603"/>
      <c r="BH34" s="603"/>
      <c r="BI34" s="603"/>
      <c r="BJ34" s="603"/>
      <c r="BK34" s="603"/>
      <c r="BL34" s="603"/>
      <c r="BM34" s="603"/>
      <c r="BN34" s="603"/>
      <c r="BO34" s="603"/>
      <c r="BP34" s="603"/>
      <c r="BQ34" s="603"/>
      <c r="BR34" s="603"/>
      <c r="BS34" s="603"/>
      <c r="BT34" s="603"/>
      <c r="BU34" s="603"/>
      <c r="BV34" s="603"/>
      <c r="BW34" s="603"/>
      <c r="BX34" s="603"/>
      <c r="BY34" s="603"/>
      <c r="BZ34" s="603"/>
      <c r="CA34" s="603"/>
      <c r="CB34" s="603"/>
      <c r="CC34" s="603"/>
      <c r="CD34" s="603"/>
      <c r="CE34" s="603"/>
      <c r="CF34" s="603"/>
      <c r="CG34" s="518"/>
      <c r="CH34" s="518"/>
    </row>
    <row r="35" spans="2:119" ht="15">
      <c r="B35" s="8" t="str">
        <f>Processes!D34</f>
        <v>IMPSNG2</v>
      </c>
      <c r="C35" s="8" t="str">
        <f>Processes!E34</f>
        <v>Import technology - Bio Synt. Nat. Gas G2</v>
      </c>
      <c r="D35" s="216"/>
      <c r="E35" s="216" t="str">
        <f t="shared" si="4"/>
        <v>SNG2</v>
      </c>
      <c r="F35" s="1119" t="str">
        <f t="shared" si="5"/>
        <v>MKr19</v>
      </c>
      <c r="G35" s="483">
        <f t="shared" si="10"/>
        <v>146.52000000000001</v>
      </c>
      <c r="H35" s="483">
        <f t="shared" si="10"/>
        <v>201.973753033598</v>
      </c>
      <c r="I35" s="483">
        <f t="shared" si="10"/>
        <v>228.973753033598</v>
      </c>
      <c r="J35" s="483">
        <f t="shared" si="10"/>
        <v>226.27375303359801</v>
      </c>
      <c r="K35" s="483">
        <f t="shared" si="10"/>
        <v>200.77375303359801</v>
      </c>
      <c r="L35" s="483">
        <f t="shared" si="10"/>
        <v>195.67375303359799</v>
      </c>
      <c r="M35" s="483">
        <f t="shared" si="10"/>
        <v>174.073753033598</v>
      </c>
      <c r="N35" s="483">
        <f t="shared" si="10"/>
        <v>174.37375303359798</v>
      </c>
      <c r="O35" s="483">
        <f t="shared" si="10"/>
        <v>223.94030317914874</v>
      </c>
      <c r="P35" s="483">
        <f t="shared" si="10"/>
        <v>166.45678675545938</v>
      </c>
      <c r="Q35" s="483">
        <f t="shared" si="11"/>
        <v>163.86730299304477</v>
      </c>
      <c r="R35" s="483">
        <f t="shared" si="11"/>
        <v>158.24962310991259</v>
      </c>
      <c r="S35" s="483">
        <f t="shared" si="11"/>
        <v>161.96139889822368</v>
      </c>
      <c r="T35" s="483">
        <f t="shared" si="11"/>
        <v>163.77681797222439</v>
      </c>
      <c r="U35" s="483">
        <f t="shared" si="11"/>
        <v>164.37512479468421</v>
      </c>
      <c r="V35" s="483">
        <f t="shared" si="11"/>
        <v>164.19200342233898</v>
      </c>
      <c r="W35" s="483">
        <f t="shared" si="11"/>
        <v>164.07667064651019</v>
      </c>
      <c r="X35" s="483">
        <f t="shared" si="11"/>
        <v>164.002594292293</v>
      </c>
      <c r="Y35" s="483">
        <f t="shared" si="11"/>
        <v>163.93915180495839</v>
      </c>
      <c r="Z35" s="483">
        <f t="shared" si="11"/>
        <v>163.9164137776649</v>
      </c>
      <c r="AA35" s="483">
        <f t="shared" si="12"/>
        <v>163.91021086482763</v>
      </c>
      <c r="AB35" s="483">
        <f t="shared" si="12"/>
        <v>164.04846804804313</v>
      </c>
      <c r="AC35" s="483">
        <f t="shared" si="12"/>
        <v>164.18672523125863</v>
      </c>
      <c r="AD35" s="483">
        <f t="shared" si="12"/>
        <v>164.32498241447414</v>
      </c>
      <c r="AE35" s="483">
        <f t="shared" si="12"/>
        <v>164.46323959768961</v>
      </c>
      <c r="AF35" s="483">
        <f t="shared" si="12"/>
        <v>164.60149678090514</v>
      </c>
      <c r="AG35" s="483">
        <f t="shared" si="12"/>
        <v>164.73975396412064</v>
      </c>
      <c r="AH35" s="483">
        <f t="shared" si="12"/>
        <v>164.87801114733608</v>
      </c>
      <c r="AI35" s="483">
        <f t="shared" si="12"/>
        <v>165.01626833055158</v>
      </c>
      <c r="AJ35" s="483">
        <f t="shared" si="12"/>
        <v>165.15452551376706</v>
      </c>
      <c r="AK35" s="483">
        <f t="shared" si="13"/>
        <v>165.29278269698256</v>
      </c>
      <c r="AL35" s="483">
        <f t="shared" si="13"/>
        <v>165.43103988019806</v>
      </c>
      <c r="AM35" s="483">
        <f t="shared" si="13"/>
        <v>165.56929706341353</v>
      </c>
      <c r="AN35" s="483">
        <f t="shared" si="13"/>
        <v>165.707554246629</v>
      </c>
      <c r="AO35" s="483">
        <f t="shared" si="13"/>
        <v>165.8458114298445</v>
      </c>
      <c r="AP35" s="483">
        <f t="shared" si="13"/>
        <v>165.98406861306</v>
      </c>
      <c r="AQ35" s="483">
        <f t="shared" si="13"/>
        <v>166.1223257962755</v>
      </c>
      <c r="AR35" s="483">
        <f t="shared" si="13"/>
        <v>166.26058297949098</v>
      </c>
      <c r="AS35" s="483">
        <f t="shared" si="13"/>
        <v>166.39884016270648</v>
      </c>
      <c r="AT35" s="483">
        <f t="shared" si="13"/>
        <v>166.53709734592195</v>
      </c>
      <c r="AU35" s="483">
        <f t="shared" si="13"/>
        <v>166.67535452913748</v>
      </c>
      <c r="AV35" s="484">
        <v>5</v>
      </c>
      <c r="BC35" s="518"/>
      <c r="BD35" s="603"/>
      <c r="BE35" s="603"/>
      <c r="BF35" s="603"/>
      <c r="BG35" s="603"/>
      <c r="BH35" s="603"/>
      <c r="BI35" s="603"/>
      <c r="BJ35" s="603"/>
      <c r="BK35" s="603"/>
      <c r="BL35" s="603"/>
      <c r="BM35" s="603"/>
      <c r="BN35" s="603"/>
      <c r="BO35" s="603"/>
      <c r="BP35" s="603"/>
      <c r="BQ35" s="603"/>
      <c r="BR35" s="603"/>
      <c r="BS35" s="603"/>
      <c r="BT35" s="603"/>
      <c r="BU35" s="603"/>
      <c r="BV35" s="603"/>
      <c r="BW35" s="603"/>
      <c r="BX35" s="603"/>
      <c r="BY35" s="603"/>
      <c r="BZ35" s="603"/>
      <c r="CA35" s="603"/>
      <c r="CB35" s="603"/>
      <c r="CC35" s="603"/>
      <c r="CD35" s="603"/>
      <c r="CE35" s="603"/>
      <c r="CF35" s="603"/>
      <c r="CG35" s="518"/>
      <c r="CH35" s="518"/>
    </row>
    <row r="36" spans="2:119" ht="15">
      <c r="B36" s="8" t="str">
        <f>Processes!D35</f>
        <v>IMPSNE</v>
      </c>
      <c r="C36" s="8" t="str">
        <f>Processes!E35</f>
        <v>Import technology - Electro Synt. Nat. Gas</v>
      </c>
      <c r="D36" s="216"/>
      <c r="E36" s="216" t="str">
        <f t="shared" si="4"/>
        <v>SNE</v>
      </c>
      <c r="F36" s="1119" t="str">
        <f t="shared" si="5"/>
        <v>MKr19</v>
      </c>
      <c r="G36" s="483">
        <f t="shared" si="10"/>
        <v>293.04000000000002</v>
      </c>
      <c r="H36" s="483">
        <f t="shared" si="10"/>
        <v>403.947506067196</v>
      </c>
      <c r="I36" s="483">
        <f t="shared" si="10"/>
        <v>457.947506067196</v>
      </c>
      <c r="J36" s="483">
        <f t="shared" si="10"/>
        <v>452.54750606719603</v>
      </c>
      <c r="K36" s="483">
        <f t="shared" si="10"/>
        <v>401.54750606719603</v>
      </c>
      <c r="L36" s="483">
        <f t="shared" si="10"/>
        <v>391.34750606719598</v>
      </c>
      <c r="M36" s="483">
        <f t="shared" si="10"/>
        <v>348.14750606719599</v>
      </c>
      <c r="N36" s="483">
        <f t="shared" si="10"/>
        <v>348.74750606719596</v>
      </c>
      <c r="O36" s="483">
        <f t="shared" si="10"/>
        <v>447.88060635829748</v>
      </c>
      <c r="P36" s="483">
        <f t="shared" si="10"/>
        <v>332.91357351091875</v>
      </c>
      <c r="Q36" s="483">
        <f t="shared" si="11"/>
        <v>327.73460598608955</v>
      </c>
      <c r="R36" s="483">
        <f t="shared" si="11"/>
        <v>316.49924621982518</v>
      </c>
      <c r="S36" s="483">
        <f t="shared" si="11"/>
        <v>323.92279779644736</v>
      </c>
      <c r="T36" s="483">
        <f t="shared" si="11"/>
        <v>327.55363594444879</v>
      </c>
      <c r="U36" s="483">
        <f t="shared" si="11"/>
        <v>328.75024958936842</v>
      </c>
      <c r="V36" s="483">
        <f t="shared" si="11"/>
        <v>328.38400684467797</v>
      </c>
      <c r="W36" s="483">
        <f t="shared" si="11"/>
        <v>328.15334129302039</v>
      </c>
      <c r="X36" s="483">
        <f t="shared" si="11"/>
        <v>328.00518858458599</v>
      </c>
      <c r="Y36" s="483">
        <f t="shared" si="11"/>
        <v>327.87830360991677</v>
      </c>
      <c r="Z36" s="483">
        <f t="shared" si="11"/>
        <v>327.8328275553298</v>
      </c>
      <c r="AA36" s="483">
        <f t="shared" si="12"/>
        <v>327.82042172965527</v>
      </c>
      <c r="AB36" s="483">
        <f t="shared" si="12"/>
        <v>328.09693609608627</v>
      </c>
      <c r="AC36" s="483">
        <f t="shared" si="12"/>
        <v>328.37345046251727</v>
      </c>
      <c r="AD36" s="483">
        <f t="shared" si="12"/>
        <v>328.64996482894827</v>
      </c>
      <c r="AE36" s="483">
        <f t="shared" si="12"/>
        <v>328.92647919537922</v>
      </c>
      <c r="AF36" s="483">
        <f t="shared" si="12"/>
        <v>329.20299356181027</v>
      </c>
      <c r="AG36" s="483">
        <f t="shared" si="12"/>
        <v>329.47950792824128</v>
      </c>
      <c r="AH36" s="483">
        <f t="shared" si="12"/>
        <v>329.75602229467216</v>
      </c>
      <c r="AI36" s="483">
        <f t="shared" si="12"/>
        <v>330.03253666110317</v>
      </c>
      <c r="AJ36" s="483">
        <f t="shared" si="12"/>
        <v>330.30905102753411</v>
      </c>
      <c r="AK36" s="483">
        <f t="shared" si="13"/>
        <v>330.58556539396511</v>
      </c>
      <c r="AL36" s="483">
        <f t="shared" si="13"/>
        <v>330.86207976039611</v>
      </c>
      <c r="AM36" s="483">
        <f t="shared" si="13"/>
        <v>331.13859412682706</v>
      </c>
      <c r="AN36" s="483">
        <f t="shared" si="13"/>
        <v>331.415108493258</v>
      </c>
      <c r="AO36" s="483">
        <f t="shared" si="13"/>
        <v>331.69162285968901</v>
      </c>
      <c r="AP36" s="483">
        <f t="shared" si="13"/>
        <v>331.96813722612001</v>
      </c>
      <c r="AQ36" s="483">
        <f t="shared" si="13"/>
        <v>332.24465159255101</v>
      </c>
      <c r="AR36" s="483">
        <f t="shared" si="13"/>
        <v>332.52116595898195</v>
      </c>
      <c r="AS36" s="483">
        <f t="shared" si="13"/>
        <v>332.79768032541295</v>
      </c>
      <c r="AT36" s="483">
        <f t="shared" si="13"/>
        <v>333.0741946918439</v>
      </c>
      <c r="AU36" s="483">
        <f t="shared" si="13"/>
        <v>333.35070905827496</v>
      </c>
      <c r="AV36" s="484">
        <v>5</v>
      </c>
      <c r="BC36" s="518"/>
      <c r="BD36" s="603"/>
      <c r="BE36" s="603"/>
      <c r="BF36" s="603"/>
      <c r="BG36" s="603"/>
      <c r="BH36" s="603"/>
      <c r="BI36" s="603"/>
      <c r="BJ36" s="603"/>
      <c r="BK36" s="603"/>
      <c r="BL36" s="603"/>
      <c r="BM36" s="603"/>
      <c r="BN36" s="603"/>
      <c r="BO36" s="603"/>
      <c r="BP36" s="603"/>
      <c r="BQ36" s="603"/>
      <c r="BR36" s="603"/>
      <c r="BS36" s="603"/>
      <c r="BT36" s="603"/>
      <c r="BU36" s="603"/>
      <c r="BV36" s="603"/>
      <c r="BW36" s="603"/>
      <c r="BX36" s="603"/>
      <c r="BY36" s="603"/>
      <c r="BZ36" s="603"/>
      <c r="CA36" s="603"/>
      <c r="CB36" s="603"/>
      <c r="CC36" s="603"/>
      <c r="CD36" s="603"/>
      <c r="CE36" s="603"/>
      <c r="CF36" s="603"/>
      <c r="CG36" s="518"/>
      <c r="CH36" s="518"/>
    </row>
    <row r="37" spans="2:119" s="7" customFormat="1" ht="15">
      <c r="B37" s="8" t="str">
        <f>Processes!D36</f>
        <v>IMPDSB1</v>
      </c>
      <c r="C37" s="8" t="str">
        <f>Processes!E36</f>
        <v>Import technology - Biodiesel G1</v>
      </c>
      <c r="D37" s="216"/>
      <c r="E37" s="216" t="str">
        <f t="shared" si="4"/>
        <v>DSB1</v>
      </c>
      <c r="F37" s="1119" t="str">
        <f t="shared" si="5"/>
        <v>MKr19</v>
      </c>
      <c r="G37" s="483">
        <f t="shared" ref="G37:P50" si="14">IFERROR(INDEX($G$122:$AU$177,MATCH($E37,$E$122:$E$177,0),MATCH(G$6,$G$121:$AU$121,0)),0)</f>
        <v>169.073753033598</v>
      </c>
      <c r="H37" s="483">
        <f t="shared" si="14"/>
        <v>181.073753033598</v>
      </c>
      <c r="I37" s="483">
        <f t="shared" si="14"/>
        <v>197.87375303359798</v>
      </c>
      <c r="J37" s="483">
        <f t="shared" si="14"/>
        <v>186.87375303359801</v>
      </c>
      <c r="K37" s="483">
        <f t="shared" si="14"/>
        <v>177.17375303359799</v>
      </c>
      <c r="L37" s="483">
        <f t="shared" si="14"/>
        <v>140.67375303359799</v>
      </c>
      <c r="M37" s="483">
        <f t="shared" si="14"/>
        <v>137.67375303359799</v>
      </c>
      <c r="N37" s="483">
        <f t="shared" si="14"/>
        <v>141.87375303359801</v>
      </c>
      <c r="O37" s="483">
        <f t="shared" si="14"/>
        <v>165.17482882832152</v>
      </c>
      <c r="P37" s="483">
        <f t="shared" si="14"/>
        <v>159.26071664907036</v>
      </c>
      <c r="Q37" s="483">
        <f t="shared" ref="Q37:Z50" si="15">IFERROR(INDEX($G$122:$AU$177,MATCH($E37,$E$122:$E$177,0),MATCH(Q$6,$G$121:$AU$121,0)),0)</f>
        <v>157.78077812014482</v>
      </c>
      <c r="R37" s="483">
        <f t="shared" si="15"/>
        <v>135.79669270878142</v>
      </c>
      <c r="S37" s="483">
        <f t="shared" si="15"/>
        <v>139.20519157948544</v>
      </c>
      <c r="T37" s="483">
        <f t="shared" si="15"/>
        <v>141.52827547464079</v>
      </c>
      <c r="U37" s="483">
        <f t="shared" si="15"/>
        <v>143.22648461960594</v>
      </c>
      <c r="V37" s="483">
        <f t="shared" si="15"/>
        <v>144.46296244613413</v>
      </c>
      <c r="W37" s="483">
        <f t="shared" si="15"/>
        <v>145.82842578444325</v>
      </c>
      <c r="X37" s="483">
        <f t="shared" si="15"/>
        <v>147.16656455128788</v>
      </c>
      <c r="Y37" s="483">
        <f t="shared" si="15"/>
        <v>148.39768584832805</v>
      </c>
      <c r="Z37" s="483">
        <f t="shared" si="15"/>
        <v>149.69043773526113</v>
      </c>
      <c r="AA37" s="483">
        <f t="shared" ref="AA37:AJ50" si="16">IFERROR(INDEX($G$122:$AU$177,MATCH($E37,$E$122:$E$177,0),MATCH(AA$6,$G$121:$AU$121,0)),0)</f>
        <v>150.91362763619856</v>
      </c>
      <c r="AB37" s="483">
        <f t="shared" si="16"/>
        <v>150.6074838739957</v>
      </c>
      <c r="AC37" s="483">
        <f t="shared" si="16"/>
        <v>150.30060792749632</v>
      </c>
      <c r="AD37" s="483">
        <f t="shared" si="16"/>
        <v>149.9949990197693</v>
      </c>
      <c r="AE37" s="483">
        <f t="shared" si="16"/>
        <v>149.68862251475585</v>
      </c>
      <c r="AF37" s="483">
        <f t="shared" si="16"/>
        <v>149.3823427062072</v>
      </c>
      <c r="AG37" s="483">
        <f t="shared" si="16"/>
        <v>149.07513701898196</v>
      </c>
      <c r="AH37" s="483">
        <f t="shared" si="16"/>
        <v>148.76901391087415</v>
      </c>
      <c r="AI37" s="483">
        <f t="shared" si="16"/>
        <v>148.46216032655585</v>
      </c>
      <c r="AJ37" s="483">
        <f t="shared" si="16"/>
        <v>148.15623557987098</v>
      </c>
      <c r="AK37" s="483">
        <f t="shared" ref="AK37:AU50" si="17">IFERROR(INDEX($G$122:$AU$177,MATCH($E37,$E$122:$E$177,0),MATCH(AK$6,$G$121:$AU$121,0)),0)</f>
        <v>147.8500089563785</v>
      </c>
      <c r="AL37" s="483">
        <f t="shared" si="17"/>
        <v>147.54378283721061</v>
      </c>
      <c r="AM37" s="483">
        <f t="shared" si="17"/>
        <v>147.24071703721785</v>
      </c>
      <c r="AN37" s="483">
        <f t="shared" si="17"/>
        <v>146.93765697967942</v>
      </c>
      <c r="AO37" s="483">
        <f t="shared" si="17"/>
        <v>146.63460267193747</v>
      </c>
      <c r="AP37" s="483">
        <f t="shared" si="17"/>
        <v>146.33155412134346</v>
      </c>
      <c r="AQ37" s="483">
        <f t="shared" si="17"/>
        <v>146.02851133525826</v>
      </c>
      <c r="AR37" s="483">
        <f t="shared" si="17"/>
        <v>145.72547432105219</v>
      </c>
      <c r="AS37" s="483">
        <f t="shared" si="17"/>
        <v>145.42244308610498</v>
      </c>
      <c r="AT37" s="483">
        <f t="shared" si="17"/>
        <v>145.11941763780575</v>
      </c>
      <c r="AU37" s="483">
        <f t="shared" si="17"/>
        <v>144.81639798355314</v>
      </c>
      <c r="AV37" s="484">
        <v>5</v>
      </c>
      <c r="BC37" s="518"/>
      <c r="BD37" s="603"/>
      <c r="BE37" s="603"/>
      <c r="BF37" s="603"/>
      <c r="BG37" s="603"/>
      <c r="BH37" s="603"/>
      <c r="BI37" s="603"/>
      <c r="BJ37" s="603"/>
      <c r="BK37" s="603"/>
      <c r="BL37" s="603"/>
      <c r="BM37" s="603"/>
      <c r="BN37" s="603"/>
      <c r="BO37" s="603"/>
      <c r="BP37" s="603"/>
      <c r="BQ37" s="603"/>
      <c r="BR37" s="603"/>
      <c r="BS37" s="603"/>
      <c r="BT37" s="603"/>
      <c r="BU37" s="603"/>
      <c r="BV37" s="603"/>
      <c r="BW37" s="603"/>
      <c r="BX37" s="603"/>
      <c r="BY37" s="603"/>
      <c r="BZ37" s="603"/>
      <c r="CA37" s="603"/>
      <c r="CB37" s="603"/>
      <c r="CC37" s="603"/>
      <c r="CD37" s="603"/>
      <c r="CE37" s="603"/>
      <c r="CF37" s="603"/>
      <c r="CG37" s="518"/>
      <c r="CH37" s="518"/>
      <c r="CI37" s="484"/>
      <c r="CJ37" s="484"/>
      <c r="CK37" s="484"/>
      <c r="CL37" s="484"/>
      <c r="CM37" s="484"/>
      <c r="CN37" s="484"/>
      <c r="CO37" s="484"/>
      <c r="CP37" s="484"/>
      <c r="CQ37" s="484"/>
      <c r="CR37" s="484"/>
      <c r="CS37" s="484"/>
      <c r="CT37" s="484"/>
      <c r="CU37" s="484"/>
      <c r="CV37" s="484"/>
      <c r="CW37" s="484"/>
      <c r="CX37" s="484"/>
      <c r="CY37" s="484"/>
      <c r="CZ37" s="484"/>
      <c r="DA37" s="484"/>
      <c r="DB37" s="484"/>
      <c r="DC37" s="484"/>
      <c r="DD37" s="484"/>
      <c r="DE37" s="484"/>
      <c r="DF37" s="484"/>
      <c r="DG37" s="484"/>
      <c r="DH37" s="484"/>
      <c r="DI37" s="484"/>
      <c r="DJ37" s="484"/>
      <c r="DK37" s="484"/>
      <c r="DL37" s="484"/>
      <c r="DM37" s="484"/>
      <c r="DN37" s="484"/>
      <c r="DO37" s="484"/>
    </row>
    <row r="38" spans="2:119" s="7" customFormat="1" ht="15">
      <c r="B38" s="8" t="str">
        <f>Processes!D37</f>
        <v>IMPDSB2</v>
      </c>
      <c r="C38" s="8" t="str">
        <f>Processes!E37</f>
        <v>Import technology - Biodiesel G2</v>
      </c>
      <c r="D38" s="216"/>
      <c r="E38" s="216" t="str">
        <f t="shared" si="4"/>
        <v>DSB2</v>
      </c>
      <c r="F38" s="1119" t="str">
        <f t="shared" si="5"/>
        <v>MKr19</v>
      </c>
      <c r="G38" s="483">
        <f t="shared" si="14"/>
        <v>185.98112833695782</v>
      </c>
      <c r="H38" s="483">
        <f t="shared" si="14"/>
        <v>244.74750606719599</v>
      </c>
      <c r="I38" s="483">
        <f t="shared" si="14"/>
        <v>261.54750606719597</v>
      </c>
      <c r="J38" s="483">
        <f t="shared" si="14"/>
        <v>250.547506067196</v>
      </c>
      <c r="K38" s="483">
        <f t="shared" si="14"/>
        <v>240.84750606719598</v>
      </c>
      <c r="L38" s="483">
        <f t="shared" si="14"/>
        <v>204.34750606719598</v>
      </c>
      <c r="M38" s="483">
        <f t="shared" si="14"/>
        <v>201.34750606719598</v>
      </c>
      <c r="N38" s="483">
        <f t="shared" si="14"/>
        <v>205.547506067196</v>
      </c>
      <c r="O38" s="483">
        <f t="shared" si="14"/>
        <v>228.84858186191951</v>
      </c>
      <c r="P38" s="483">
        <f t="shared" si="14"/>
        <v>222.93446968266835</v>
      </c>
      <c r="Q38" s="483">
        <f t="shared" si="15"/>
        <v>221.45453115374281</v>
      </c>
      <c r="R38" s="483">
        <f t="shared" si="15"/>
        <v>199.47044574237941</v>
      </c>
      <c r="S38" s="483">
        <f t="shared" si="15"/>
        <v>202.87894461308343</v>
      </c>
      <c r="T38" s="483">
        <f t="shared" si="15"/>
        <v>205.20202850823878</v>
      </c>
      <c r="U38" s="483">
        <f t="shared" si="15"/>
        <v>206.90023765320393</v>
      </c>
      <c r="V38" s="483">
        <f t="shared" si="15"/>
        <v>208.13671547973212</v>
      </c>
      <c r="W38" s="483">
        <f t="shared" si="15"/>
        <v>209.50217881804124</v>
      </c>
      <c r="X38" s="483">
        <f t="shared" si="15"/>
        <v>210.84031758488587</v>
      </c>
      <c r="Y38" s="483">
        <f t="shared" si="15"/>
        <v>212.07143888192604</v>
      </c>
      <c r="Z38" s="483">
        <f t="shared" si="15"/>
        <v>213.36419076885912</v>
      </c>
      <c r="AA38" s="483">
        <f t="shared" si="16"/>
        <v>214.58738066979654</v>
      </c>
      <c r="AB38" s="483">
        <f t="shared" si="16"/>
        <v>214.28123690759369</v>
      </c>
      <c r="AC38" s="483">
        <f t="shared" si="16"/>
        <v>213.97436096109431</v>
      </c>
      <c r="AD38" s="483">
        <f t="shared" si="16"/>
        <v>213.66875205336729</v>
      </c>
      <c r="AE38" s="483">
        <f t="shared" si="16"/>
        <v>213.36237554835384</v>
      </c>
      <c r="AF38" s="483">
        <f t="shared" si="16"/>
        <v>213.05609573980519</v>
      </c>
      <c r="AG38" s="483">
        <f t="shared" si="16"/>
        <v>212.74889005257995</v>
      </c>
      <c r="AH38" s="483">
        <f t="shared" si="16"/>
        <v>212.44276694447214</v>
      </c>
      <c r="AI38" s="483">
        <f t="shared" si="16"/>
        <v>212.13591336015384</v>
      </c>
      <c r="AJ38" s="483">
        <f t="shared" si="16"/>
        <v>211.82998861346897</v>
      </c>
      <c r="AK38" s="483">
        <f t="shared" si="17"/>
        <v>211.52376198997649</v>
      </c>
      <c r="AL38" s="483">
        <f t="shared" si="17"/>
        <v>211.2175358708086</v>
      </c>
      <c r="AM38" s="483">
        <f t="shared" si="17"/>
        <v>210.91447007081584</v>
      </c>
      <c r="AN38" s="483">
        <f t="shared" si="17"/>
        <v>210.61141001327741</v>
      </c>
      <c r="AO38" s="483">
        <f t="shared" si="17"/>
        <v>210.30835570553546</v>
      </c>
      <c r="AP38" s="483">
        <f t="shared" si="17"/>
        <v>210.00530715494145</v>
      </c>
      <c r="AQ38" s="483">
        <f t="shared" si="17"/>
        <v>209.70226436885625</v>
      </c>
      <c r="AR38" s="483">
        <f t="shared" si="17"/>
        <v>209.39922735465018</v>
      </c>
      <c r="AS38" s="483">
        <f t="shared" si="17"/>
        <v>209.09619611970297</v>
      </c>
      <c r="AT38" s="483">
        <f t="shared" si="17"/>
        <v>208.79317067140374</v>
      </c>
      <c r="AU38" s="483">
        <f t="shared" si="17"/>
        <v>208.49015101715113</v>
      </c>
      <c r="AV38" s="484">
        <v>5</v>
      </c>
      <c r="BB38" s="518"/>
      <c r="BC38" s="518"/>
      <c r="BD38" s="603"/>
      <c r="BE38" s="603"/>
      <c r="BF38" s="603"/>
      <c r="BG38" s="603"/>
      <c r="BH38" s="603"/>
      <c r="BI38" s="603"/>
      <c r="BJ38" s="603"/>
      <c r="BK38" s="603"/>
      <c r="BL38" s="603"/>
      <c r="BM38" s="603"/>
      <c r="BN38" s="603"/>
      <c r="BO38" s="603"/>
      <c r="BP38" s="603"/>
      <c r="BQ38" s="603"/>
      <c r="BR38" s="603"/>
      <c r="BS38" s="603"/>
      <c r="BT38" s="603"/>
      <c r="BU38" s="603"/>
      <c r="BV38" s="603"/>
      <c r="BW38" s="603"/>
      <c r="BX38" s="603"/>
      <c r="BY38" s="603"/>
      <c r="BZ38" s="603"/>
      <c r="CA38" s="603"/>
      <c r="CB38" s="603"/>
      <c r="CC38" s="603"/>
      <c r="CD38" s="603"/>
      <c r="CE38" s="603"/>
      <c r="CF38" s="603"/>
      <c r="CG38" s="518"/>
      <c r="CH38" s="518"/>
      <c r="CI38" s="484"/>
      <c r="CJ38" s="484"/>
      <c r="CK38" s="484"/>
      <c r="CL38" s="484"/>
      <c r="CM38" s="484"/>
      <c r="CN38" s="484"/>
      <c r="CO38" s="484"/>
      <c r="CP38" s="484"/>
      <c r="CQ38" s="484"/>
      <c r="CR38" s="484"/>
      <c r="CS38" s="484"/>
      <c r="CT38" s="484"/>
      <c r="CU38" s="484"/>
      <c r="CV38" s="484"/>
      <c r="CW38" s="484"/>
      <c r="CX38" s="484"/>
      <c r="CY38" s="484"/>
      <c r="CZ38" s="484"/>
      <c r="DA38" s="484"/>
      <c r="DB38" s="484"/>
      <c r="DC38" s="484"/>
      <c r="DD38" s="484"/>
      <c r="DE38" s="484"/>
      <c r="DF38" s="484"/>
      <c r="DG38" s="484"/>
      <c r="DH38" s="484"/>
      <c r="DI38" s="484"/>
      <c r="DJ38" s="484"/>
      <c r="DK38" s="484"/>
      <c r="DL38" s="484"/>
      <c r="DM38" s="484"/>
      <c r="DN38" s="484"/>
      <c r="DO38" s="484"/>
    </row>
    <row r="39" spans="2:119" s="7" customFormat="1" ht="15">
      <c r="B39" s="8" t="str">
        <f>Processes!D38</f>
        <v>IMPDSE</v>
      </c>
      <c r="C39" s="8" t="str">
        <f>Processes!E38</f>
        <v>Import technology - Electro Diesel</v>
      </c>
      <c r="D39" s="216"/>
      <c r="E39" s="216" t="str">
        <f t="shared" si="4"/>
        <v>DSE</v>
      </c>
      <c r="F39" s="1119" t="str">
        <f t="shared" si="5"/>
        <v>MKr19</v>
      </c>
      <c r="G39" s="483">
        <f t="shared" si="14"/>
        <v>371.96225667391565</v>
      </c>
      <c r="H39" s="483">
        <f t="shared" si="14"/>
        <v>489.49501213439197</v>
      </c>
      <c r="I39" s="483">
        <f t="shared" si="14"/>
        <v>523.09501213439194</v>
      </c>
      <c r="J39" s="483">
        <f t="shared" si="14"/>
        <v>501.09501213439199</v>
      </c>
      <c r="K39" s="483">
        <f t="shared" si="14"/>
        <v>481.69501213439196</v>
      </c>
      <c r="L39" s="483">
        <f t="shared" si="14"/>
        <v>408.69501213439196</v>
      </c>
      <c r="M39" s="483">
        <f t="shared" si="14"/>
        <v>402.69501213439196</v>
      </c>
      <c r="N39" s="483">
        <f t="shared" si="14"/>
        <v>411.09501213439199</v>
      </c>
      <c r="O39" s="483">
        <f t="shared" si="14"/>
        <v>457.69716372383903</v>
      </c>
      <c r="P39" s="483">
        <f t="shared" si="14"/>
        <v>445.8689393653367</v>
      </c>
      <c r="Q39" s="483">
        <f t="shared" si="15"/>
        <v>442.90906230748561</v>
      </c>
      <c r="R39" s="483">
        <f t="shared" si="15"/>
        <v>398.94089148475882</v>
      </c>
      <c r="S39" s="483">
        <f t="shared" si="15"/>
        <v>405.75788922616687</v>
      </c>
      <c r="T39" s="483">
        <f t="shared" si="15"/>
        <v>410.40405701647757</v>
      </c>
      <c r="U39" s="483">
        <f t="shared" si="15"/>
        <v>413.80047530640786</v>
      </c>
      <c r="V39" s="483">
        <f t="shared" si="15"/>
        <v>416.27343095946424</v>
      </c>
      <c r="W39" s="483">
        <f t="shared" si="15"/>
        <v>419.00435763608249</v>
      </c>
      <c r="X39" s="483">
        <f t="shared" si="15"/>
        <v>421.68063516977173</v>
      </c>
      <c r="Y39" s="483">
        <f t="shared" si="15"/>
        <v>424.14287776385208</v>
      </c>
      <c r="Z39" s="483">
        <f t="shared" si="15"/>
        <v>426.72838153771823</v>
      </c>
      <c r="AA39" s="483">
        <f t="shared" si="16"/>
        <v>429.17476133959309</v>
      </c>
      <c r="AB39" s="483">
        <f t="shared" si="16"/>
        <v>428.56247381518739</v>
      </c>
      <c r="AC39" s="483">
        <f t="shared" si="16"/>
        <v>427.94872192218861</v>
      </c>
      <c r="AD39" s="483">
        <f t="shared" si="16"/>
        <v>427.33750410673457</v>
      </c>
      <c r="AE39" s="483">
        <f t="shared" si="16"/>
        <v>426.72475109670768</v>
      </c>
      <c r="AF39" s="483">
        <f t="shared" si="16"/>
        <v>426.11219147961037</v>
      </c>
      <c r="AG39" s="483">
        <f t="shared" si="16"/>
        <v>425.4977801051599</v>
      </c>
      <c r="AH39" s="483">
        <f t="shared" si="16"/>
        <v>424.88553388894428</v>
      </c>
      <c r="AI39" s="483">
        <f t="shared" si="16"/>
        <v>424.27182672030767</v>
      </c>
      <c r="AJ39" s="483">
        <f t="shared" si="16"/>
        <v>423.65997722693794</v>
      </c>
      <c r="AK39" s="483">
        <f t="shared" si="17"/>
        <v>423.04752397995298</v>
      </c>
      <c r="AL39" s="483">
        <f t="shared" si="17"/>
        <v>422.43507174161721</v>
      </c>
      <c r="AM39" s="483">
        <f t="shared" si="17"/>
        <v>421.82894014163168</v>
      </c>
      <c r="AN39" s="483">
        <f t="shared" si="17"/>
        <v>421.22282002655481</v>
      </c>
      <c r="AO39" s="483">
        <f t="shared" si="17"/>
        <v>420.61671141107092</v>
      </c>
      <c r="AP39" s="483">
        <f t="shared" si="17"/>
        <v>420.0106143098829</v>
      </c>
      <c r="AQ39" s="483">
        <f t="shared" si="17"/>
        <v>419.4045287377125</v>
      </c>
      <c r="AR39" s="483">
        <f t="shared" si="17"/>
        <v>418.79845470930036</v>
      </c>
      <c r="AS39" s="483">
        <f t="shared" si="17"/>
        <v>418.19239223940593</v>
      </c>
      <c r="AT39" s="483">
        <f t="shared" si="17"/>
        <v>417.58634134280749</v>
      </c>
      <c r="AU39" s="483">
        <f t="shared" si="17"/>
        <v>416.98030203430227</v>
      </c>
      <c r="AV39" s="484">
        <v>5</v>
      </c>
      <c r="BB39" s="518"/>
      <c r="BC39" s="518"/>
      <c r="BD39" s="603"/>
      <c r="BE39" s="603"/>
      <c r="BF39" s="603"/>
      <c r="BG39" s="603"/>
      <c r="BH39" s="603"/>
      <c r="BI39" s="603"/>
      <c r="BJ39" s="603"/>
      <c r="BK39" s="603"/>
      <c r="BL39" s="603"/>
      <c r="BM39" s="603"/>
      <c r="BN39" s="603"/>
      <c r="BO39" s="603"/>
      <c r="BP39" s="603"/>
      <c r="BQ39" s="603"/>
      <c r="BR39" s="603"/>
      <c r="BS39" s="603"/>
      <c r="BT39" s="603"/>
      <c r="BU39" s="603"/>
      <c r="BV39" s="603"/>
      <c r="BW39" s="603"/>
      <c r="BX39" s="603"/>
      <c r="BY39" s="603"/>
      <c r="BZ39" s="603"/>
      <c r="CA39" s="603"/>
      <c r="CB39" s="603"/>
      <c r="CC39" s="603"/>
      <c r="CD39" s="603"/>
      <c r="CE39" s="603"/>
      <c r="CF39" s="603"/>
      <c r="CG39" s="518"/>
      <c r="CH39" s="518"/>
    </row>
    <row r="40" spans="2:119" s="7" customFormat="1" ht="15">
      <c r="B40" s="8" t="str">
        <f>Processes!D39</f>
        <v>IMPGSB1</v>
      </c>
      <c r="C40" s="8" t="str">
        <f>Processes!E39</f>
        <v>Import technology - Bioethanol G1</v>
      </c>
      <c r="D40" s="216"/>
      <c r="E40" s="216" t="str">
        <f t="shared" si="4"/>
        <v>GSB1</v>
      </c>
      <c r="F40" s="1119" t="str">
        <f t="shared" si="5"/>
        <v>MKr19</v>
      </c>
      <c r="G40" s="483">
        <f t="shared" si="14"/>
        <v>191.9869989234187</v>
      </c>
      <c r="H40" s="483">
        <f t="shared" si="14"/>
        <v>222.08699892341872</v>
      </c>
      <c r="I40" s="483">
        <f t="shared" si="14"/>
        <v>235.88699892341867</v>
      </c>
      <c r="J40" s="483">
        <f t="shared" si="14"/>
        <v>221.18699892341868</v>
      </c>
      <c r="K40" s="483">
        <f t="shared" si="14"/>
        <v>213.9869989234187</v>
      </c>
      <c r="L40" s="483">
        <f t="shared" si="14"/>
        <v>177.3869989234187</v>
      </c>
      <c r="M40" s="483">
        <f t="shared" si="14"/>
        <v>174.4869989234187</v>
      </c>
      <c r="N40" s="483">
        <f t="shared" si="14"/>
        <v>178.58699892341872</v>
      </c>
      <c r="O40" s="483">
        <f t="shared" si="14"/>
        <v>201.58807471814222</v>
      </c>
      <c r="P40" s="483">
        <f t="shared" si="14"/>
        <v>196.93396253889108</v>
      </c>
      <c r="Q40" s="483">
        <f t="shared" si="15"/>
        <v>195.45402400996551</v>
      </c>
      <c r="R40" s="483">
        <f t="shared" si="15"/>
        <v>173.46993859860214</v>
      </c>
      <c r="S40" s="483">
        <f t="shared" si="15"/>
        <v>176.87843746930616</v>
      </c>
      <c r="T40" s="483">
        <f t="shared" si="15"/>
        <v>179.20152136446148</v>
      </c>
      <c r="U40" s="483">
        <f t="shared" si="15"/>
        <v>180.89973050942663</v>
      </c>
      <c r="V40" s="483">
        <f t="shared" si="15"/>
        <v>182.13620833595482</v>
      </c>
      <c r="W40" s="483">
        <f t="shared" si="15"/>
        <v>183.50167167426395</v>
      </c>
      <c r="X40" s="483">
        <f t="shared" si="15"/>
        <v>184.83981044110857</v>
      </c>
      <c r="Y40" s="483">
        <f t="shared" si="15"/>
        <v>186.07093173814874</v>
      </c>
      <c r="Z40" s="483">
        <f t="shared" si="15"/>
        <v>187.36368362508182</v>
      </c>
      <c r="AA40" s="483">
        <f t="shared" si="16"/>
        <v>188.58687352601925</v>
      </c>
      <c r="AB40" s="483">
        <f t="shared" si="16"/>
        <v>188.2807297638164</v>
      </c>
      <c r="AC40" s="483">
        <f t="shared" si="16"/>
        <v>187.97385381731704</v>
      </c>
      <c r="AD40" s="483">
        <f t="shared" si="16"/>
        <v>187.66824490958999</v>
      </c>
      <c r="AE40" s="483">
        <f t="shared" si="16"/>
        <v>187.36186840457654</v>
      </c>
      <c r="AF40" s="483">
        <f t="shared" si="16"/>
        <v>187.05558859602792</v>
      </c>
      <c r="AG40" s="483">
        <f t="shared" si="16"/>
        <v>186.74838290880265</v>
      </c>
      <c r="AH40" s="483">
        <f t="shared" si="16"/>
        <v>186.44225980069484</v>
      </c>
      <c r="AI40" s="483">
        <f t="shared" si="16"/>
        <v>186.13540621637654</v>
      </c>
      <c r="AJ40" s="483">
        <f t="shared" si="16"/>
        <v>185.8294814696917</v>
      </c>
      <c r="AK40" s="483">
        <f t="shared" si="17"/>
        <v>185.52325484619922</v>
      </c>
      <c r="AL40" s="483">
        <f t="shared" si="17"/>
        <v>185.21702872703131</v>
      </c>
      <c r="AM40" s="483">
        <f t="shared" si="17"/>
        <v>184.91396292703854</v>
      </c>
      <c r="AN40" s="483">
        <f t="shared" si="17"/>
        <v>184.61090286950014</v>
      </c>
      <c r="AO40" s="483">
        <f t="shared" si="17"/>
        <v>184.30784856175819</v>
      </c>
      <c r="AP40" s="483">
        <f t="shared" si="17"/>
        <v>184.00480001116415</v>
      </c>
      <c r="AQ40" s="483">
        <f t="shared" si="17"/>
        <v>183.70175722507895</v>
      </c>
      <c r="AR40" s="483">
        <f t="shared" si="17"/>
        <v>183.39872021087291</v>
      </c>
      <c r="AS40" s="483">
        <f t="shared" si="17"/>
        <v>183.09568897592567</v>
      </c>
      <c r="AT40" s="483">
        <f t="shared" si="17"/>
        <v>182.79266352762647</v>
      </c>
      <c r="AU40" s="483">
        <f t="shared" si="17"/>
        <v>182.48964387337384</v>
      </c>
      <c r="AV40" s="484">
        <v>5</v>
      </c>
      <c r="BB40" s="518"/>
      <c r="BC40" s="518"/>
      <c r="BD40" s="603"/>
      <c r="BE40" s="603"/>
      <c r="BF40" s="603"/>
      <c r="BG40" s="603"/>
      <c r="BH40" s="603"/>
      <c r="BI40" s="603"/>
      <c r="BJ40" s="603"/>
      <c r="BK40" s="603"/>
      <c r="BL40" s="603"/>
      <c r="BM40" s="603"/>
      <c r="BN40" s="603"/>
      <c r="BO40" s="603"/>
      <c r="BP40" s="603"/>
      <c r="BQ40" s="603"/>
      <c r="BR40" s="603"/>
      <c r="BS40" s="603"/>
      <c r="BT40" s="603"/>
      <c r="BU40" s="603"/>
      <c r="BV40" s="603"/>
      <c r="BW40" s="603"/>
      <c r="BX40" s="603"/>
      <c r="BY40" s="603"/>
      <c r="BZ40" s="603"/>
      <c r="CA40" s="603"/>
      <c r="CB40" s="603"/>
      <c r="CC40" s="603"/>
      <c r="CD40" s="603"/>
      <c r="CE40" s="603"/>
      <c r="CF40" s="603"/>
      <c r="CG40" s="518"/>
      <c r="CH40" s="518"/>
    </row>
    <row r="41" spans="2:119" s="7" customFormat="1" ht="15">
      <c r="B41" s="8" t="str">
        <f>Processes!D40</f>
        <v>IMPGSB2</v>
      </c>
      <c r="C41" s="8" t="str">
        <f>Processes!E40</f>
        <v>Import technology - Bioethanol G2</v>
      </c>
      <c r="D41" s="216"/>
      <c r="E41" s="216" t="str">
        <f t="shared" si="4"/>
        <v>GSB2</v>
      </c>
      <c r="F41" s="1119" t="str">
        <f t="shared" si="5"/>
        <v>MKr19</v>
      </c>
      <c r="G41" s="483">
        <f t="shared" si="14"/>
        <v>211.18569881576059</v>
      </c>
      <c r="H41" s="483">
        <f t="shared" si="14"/>
        <v>321.2739978468374</v>
      </c>
      <c r="I41" s="483">
        <f t="shared" si="14"/>
        <v>335.07399784683736</v>
      </c>
      <c r="J41" s="483">
        <f t="shared" si="14"/>
        <v>320.37399784683737</v>
      </c>
      <c r="K41" s="483">
        <f t="shared" si="14"/>
        <v>313.17399784683738</v>
      </c>
      <c r="L41" s="483">
        <f t="shared" si="14"/>
        <v>276.57399784683741</v>
      </c>
      <c r="M41" s="483">
        <f t="shared" si="14"/>
        <v>273.67399784683738</v>
      </c>
      <c r="N41" s="483">
        <f t="shared" si="14"/>
        <v>277.7739978468374</v>
      </c>
      <c r="O41" s="483">
        <f t="shared" si="14"/>
        <v>300.77507364156094</v>
      </c>
      <c r="P41" s="483">
        <f t="shared" si="14"/>
        <v>296.12096146230977</v>
      </c>
      <c r="Q41" s="483">
        <f t="shared" si="15"/>
        <v>294.64102293338419</v>
      </c>
      <c r="R41" s="483">
        <f t="shared" si="15"/>
        <v>272.65693752202083</v>
      </c>
      <c r="S41" s="483">
        <f t="shared" si="15"/>
        <v>276.06543639272485</v>
      </c>
      <c r="T41" s="483">
        <f t="shared" si="15"/>
        <v>278.38852028788017</v>
      </c>
      <c r="U41" s="483">
        <f t="shared" si="15"/>
        <v>280.08672943284535</v>
      </c>
      <c r="V41" s="483">
        <f t="shared" si="15"/>
        <v>281.32320725937353</v>
      </c>
      <c r="W41" s="483">
        <f t="shared" si="15"/>
        <v>282.68867059768263</v>
      </c>
      <c r="X41" s="483">
        <f t="shared" si="15"/>
        <v>284.02680936452725</v>
      </c>
      <c r="Y41" s="483">
        <f t="shared" si="15"/>
        <v>285.25793066156746</v>
      </c>
      <c r="Z41" s="483">
        <f t="shared" si="15"/>
        <v>286.5506825485005</v>
      </c>
      <c r="AA41" s="483">
        <f t="shared" si="16"/>
        <v>287.77387244943793</v>
      </c>
      <c r="AB41" s="483">
        <f t="shared" si="16"/>
        <v>287.46772868723508</v>
      </c>
      <c r="AC41" s="483">
        <f t="shared" si="16"/>
        <v>287.16085274073572</v>
      </c>
      <c r="AD41" s="483">
        <f t="shared" si="16"/>
        <v>286.85524383300867</v>
      </c>
      <c r="AE41" s="483">
        <f t="shared" si="16"/>
        <v>286.54886732799525</v>
      </c>
      <c r="AF41" s="483">
        <f t="shared" si="16"/>
        <v>286.2425875194466</v>
      </c>
      <c r="AG41" s="483">
        <f t="shared" si="16"/>
        <v>285.93538183222137</v>
      </c>
      <c r="AH41" s="483">
        <f t="shared" si="16"/>
        <v>285.62925872411353</v>
      </c>
      <c r="AI41" s="483">
        <f t="shared" si="16"/>
        <v>285.32240513979525</v>
      </c>
      <c r="AJ41" s="483">
        <f t="shared" si="16"/>
        <v>285.01648039311038</v>
      </c>
      <c r="AK41" s="483">
        <f t="shared" si="17"/>
        <v>284.71025376961791</v>
      </c>
      <c r="AL41" s="483">
        <f t="shared" si="17"/>
        <v>284.40402765045002</v>
      </c>
      <c r="AM41" s="483">
        <f t="shared" si="17"/>
        <v>284.10096185045722</v>
      </c>
      <c r="AN41" s="483">
        <f t="shared" si="17"/>
        <v>283.79790179291882</v>
      </c>
      <c r="AO41" s="483">
        <f t="shared" si="17"/>
        <v>283.49484748517688</v>
      </c>
      <c r="AP41" s="483">
        <f t="shared" si="17"/>
        <v>283.19179893458283</v>
      </c>
      <c r="AQ41" s="483">
        <f t="shared" si="17"/>
        <v>282.88875614849763</v>
      </c>
      <c r="AR41" s="483">
        <f t="shared" si="17"/>
        <v>282.58571913429159</v>
      </c>
      <c r="AS41" s="483">
        <f t="shared" si="17"/>
        <v>282.28268789934435</v>
      </c>
      <c r="AT41" s="483">
        <f t="shared" si="17"/>
        <v>281.97966245104516</v>
      </c>
      <c r="AU41" s="483">
        <f t="shared" si="17"/>
        <v>281.67664279679252</v>
      </c>
      <c r="AV41" s="484">
        <v>5</v>
      </c>
      <c r="BB41" s="518"/>
      <c r="BC41" s="518"/>
      <c r="BD41" s="603"/>
      <c r="BE41" s="603"/>
      <c r="BF41" s="603"/>
      <c r="BG41" s="603"/>
      <c r="BH41" s="603"/>
      <c r="BI41" s="603"/>
      <c r="BJ41" s="603"/>
      <c r="BK41" s="603"/>
      <c r="BL41" s="603"/>
      <c r="BM41" s="603"/>
      <c r="BN41" s="603"/>
      <c r="BO41" s="603"/>
      <c r="BP41" s="603"/>
      <c r="BQ41" s="603"/>
      <c r="BR41" s="603"/>
      <c r="BS41" s="603"/>
      <c r="BT41" s="603"/>
      <c r="BU41" s="603"/>
      <c r="BV41" s="603"/>
      <c r="BW41" s="603"/>
      <c r="BX41" s="603"/>
      <c r="BY41" s="603"/>
      <c r="BZ41" s="603"/>
      <c r="CA41" s="603"/>
      <c r="CB41" s="603"/>
      <c r="CC41" s="603"/>
      <c r="CD41" s="603"/>
      <c r="CE41" s="603"/>
      <c r="CF41" s="603"/>
      <c r="CG41" s="518"/>
      <c r="CH41" s="518"/>
    </row>
    <row r="42" spans="2:119" s="7" customFormat="1" ht="15">
      <c r="B42" s="8" t="str">
        <f>Processes!D41</f>
        <v>IMPGSE</v>
      </c>
      <c r="C42" s="8" t="str">
        <f>Processes!E41</f>
        <v>Import technology - Electro Gasoline</v>
      </c>
      <c r="D42" s="216"/>
      <c r="E42" s="216" t="str">
        <f t="shared" si="4"/>
        <v>GSE</v>
      </c>
      <c r="F42" s="1119" t="str">
        <f t="shared" si="5"/>
        <v>MKr19</v>
      </c>
      <c r="G42" s="483">
        <f t="shared" si="14"/>
        <v>422.37139763152118</v>
      </c>
      <c r="H42" s="483">
        <f t="shared" si="14"/>
        <v>642.54799569367481</v>
      </c>
      <c r="I42" s="483">
        <f t="shared" si="14"/>
        <v>670.14799569367472</v>
      </c>
      <c r="J42" s="483">
        <f t="shared" si="14"/>
        <v>640.74799569367474</v>
      </c>
      <c r="K42" s="483">
        <f t="shared" si="14"/>
        <v>626.34799569367476</v>
      </c>
      <c r="L42" s="483">
        <f t="shared" si="14"/>
        <v>553.14799569367483</v>
      </c>
      <c r="M42" s="483">
        <f t="shared" si="14"/>
        <v>547.34799569367476</v>
      </c>
      <c r="N42" s="483">
        <f t="shared" si="14"/>
        <v>555.54799569367481</v>
      </c>
      <c r="O42" s="483">
        <f t="shared" si="14"/>
        <v>601.55014728312187</v>
      </c>
      <c r="P42" s="483">
        <f t="shared" si="14"/>
        <v>592.24192292461953</v>
      </c>
      <c r="Q42" s="483">
        <f t="shared" si="15"/>
        <v>589.28204586676839</v>
      </c>
      <c r="R42" s="483">
        <f t="shared" si="15"/>
        <v>545.31387504404165</v>
      </c>
      <c r="S42" s="483">
        <f t="shared" si="15"/>
        <v>552.1308727854497</v>
      </c>
      <c r="T42" s="483">
        <f t="shared" si="15"/>
        <v>556.77704057576034</v>
      </c>
      <c r="U42" s="483">
        <f t="shared" si="15"/>
        <v>560.17345886569069</v>
      </c>
      <c r="V42" s="483">
        <f t="shared" si="15"/>
        <v>562.64641451874706</v>
      </c>
      <c r="W42" s="483">
        <f t="shared" si="15"/>
        <v>565.37734119536526</v>
      </c>
      <c r="X42" s="483">
        <f t="shared" si="15"/>
        <v>568.05361872905451</v>
      </c>
      <c r="Y42" s="483">
        <f t="shared" si="15"/>
        <v>570.51586132313491</v>
      </c>
      <c r="Z42" s="483">
        <f t="shared" si="15"/>
        <v>573.10136509700101</v>
      </c>
      <c r="AA42" s="483">
        <f t="shared" si="16"/>
        <v>575.54774489887586</v>
      </c>
      <c r="AB42" s="483">
        <f t="shared" si="16"/>
        <v>574.93545737447016</v>
      </c>
      <c r="AC42" s="483">
        <f t="shared" si="16"/>
        <v>574.32170548147144</v>
      </c>
      <c r="AD42" s="483">
        <f t="shared" si="16"/>
        <v>573.71048766601734</v>
      </c>
      <c r="AE42" s="483">
        <f t="shared" si="16"/>
        <v>573.09773465599051</v>
      </c>
      <c r="AF42" s="483">
        <f t="shared" si="16"/>
        <v>572.4851750388932</v>
      </c>
      <c r="AG42" s="483">
        <f t="shared" si="16"/>
        <v>571.87076366444273</v>
      </c>
      <c r="AH42" s="483">
        <f t="shared" si="16"/>
        <v>571.25851744822705</v>
      </c>
      <c r="AI42" s="483">
        <f t="shared" si="16"/>
        <v>570.6448102795905</v>
      </c>
      <c r="AJ42" s="483">
        <f t="shared" si="16"/>
        <v>570.03296078622077</v>
      </c>
      <c r="AK42" s="483">
        <f t="shared" si="17"/>
        <v>569.42050753923581</v>
      </c>
      <c r="AL42" s="483">
        <f t="shared" si="17"/>
        <v>568.80805530090004</v>
      </c>
      <c r="AM42" s="483">
        <f t="shared" si="17"/>
        <v>568.20192370091445</v>
      </c>
      <c r="AN42" s="483">
        <f t="shared" si="17"/>
        <v>567.59580358583764</v>
      </c>
      <c r="AO42" s="483">
        <f t="shared" si="17"/>
        <v>566.98969497035375</v>
      </c>
      <c r="AP42" s="483">
        <f t="shared" si="17"/>
        <v>566.38359786916567</v>
      </c>
      <c r="AQ42" s="483">
        <f t="shared" si="17"/>
        <v>565.77751229699527</v>
      </c>
      <c r="AR42" s="483">
        <f t="shared" si="17"/>
        <v>565.17143826858319</v>
      </c>
      <c r="AS42" s="483">
        <f t="shared" si="17"/>
        <v>564.56537579868871</v>
      </c>
      <c r="AT42" s="483">
        <f t="shared" si="17"/>
        <v>563.95932490209032</v>
      </c>
      <c r="AU42" s="483">
        <f t="shared" si="17"/>
        <v>563.35328559358504</v>
      </c>
      <c r="AV42" s="484">
        <v>5</v>
      </c>
      <c r="BB42" s="518"/>
      <c r="BC42" s="518"/>
      <c r="BD42" s="603"/>
      <c r="BE42" s="603"/>
      <c r="BF42" s="603"/>
      <c r="BG42" s="603"/>
      <c r="BH42" s="603"/>
      <c r="BI42" s="603"/>
      <c r="BJ42" s="603"/>
      <c r="BK42" s="603"/>
      <c r="BL42" s="603"/>
      <c r="BM42" s="603"/>
      <c r="BN42" s="603"/>
      <c r="BO42" s="603"/>
      <c r="BP42" s="603"/>
      <c r="BQ42" s="603"/>
      <c r="BR42" s="603"/>
      <c r="BS42" s="603"/>
      <c r="BT42" s="603"/>
      <c r="BU42" s="603"/>
      <c r="BV42" s="603"/>
      <c r="BW42" s="603"/>
      <c r="BX42" s="603"/>
      <c r="BY42" s="603"/>
      <c r="BZ42" s="603"/>
      <c r="CA42" s="603"/>
      <c r="CB42" s="603"/>
      <c r="CC42" s="603"/>
      <c r="CD42" s="603"/>
      <c r="CE42" s="603"/>
      <c r="CF42" s="603"/>
      <c r="CG42" s="518"/>
      <c r="CH42" s="518"/>
    </row>
    <row r="43" spans="2:119" ht="15">
      <c r="B43" s="8" t="str">
        <f>Processes!D42</f>
        <v>IMPMOB1</v>
      </c>
      <c r="C43" s="8" t="str">
        <f>Processes!E42</f>
        <v>Import technology - Bio Methanol G1</v>
      </c>
      <c r="D43" s="216"/>
      <c r="E43" s="216" t="str">
        <f t="shared" si="4"/>
        <v>MOB1</v>
      </c>
      <c r="F43" s="1119" t="str">
        <f t="shared" si="5"/>
        <v>MKr14</v>
      </c>
      <c r="G43" s="483">
        <f t="shared" si="14"/>
        <v>207.6</v>
      </c>
      <c r="H43" s="483">
        <f t="shared" si="14"/>
        <v>207.6</v>
      </c>
      <c r="I43" s="483">
        <f t="shared" si="14"/>
        <v>207.6</v>
      </c>
      <c r="J43" s="483">
        <f t="shared" si="14"/>
        <v>207.6</v>
      </c>
      <c r="K43" s="483">
        <f t="shared" si="14"/>
        <v>207.6</v>
      </c>
      <c r="L43" s="483">
        <f t="shared" si="14"/>
        <v>207.6</v>
      </c>
      <c r="M43" s="483">
        <f t="shared" si="14"/>
        <v>207.6</v>
      </c>
      <c r="N43" s="483">
        <f t="shared" si="14"/>
        <v>207.6</v>
      </c>
      <c r="O43" s="483">
        <f t="shared" si="14"/>
        <v>207.6</v>
      </c>
      <c r="P43" s="483">
        <f t="shared" si="14"/>
        <v>207.6</v>
      </c>
      <c r="Q43" s="483">
        <f t="shared" si="15"/>
        <v>207.6</v>
      </c>
      <c r="R43" s="483">
        <f t="shared" si="15"/>
        <v>207.6</v>
      </c>
      <c r="S43" s="483">
        <f t="shared" si="15"/>
        <v>207.6</v>
      </c>
      <c r="T43" s="483">
        <f t="shared" si="15"/>
        <v>207.6</v>
      </c>
      <c r="U43" s="483">
        <f t="shared" si="15"/>
        <v>207.6</v>
      </c>
      <c r="V43" s="483">
        <f t="shared" si="15"/>
        <v>207.6</v>
      </c>
      <c r="W43" s="483">
        <f t="shared" si="15"/>
        <v>207.6</v>
      </c>
      <c r="X43" s="483">
        <f t="shared" si="15"/>
        <v>207.6</v>
      </c>
      <c r="Y43" s="483">
        <f t="shared" si="15"/>
        <v>207.6</v>
      </c>
      <c r="Z43" s="483">
        <f t="shared" si="15"/>
        <v>207.6</v>
      </c>
      <c r="AA43" s="483">
        <f t="shared" si="16"/>
        <v>207.6</v>
      </c>
      <c r="AB43" s="483">
        <f t="shared" si="16"/>
        <v>207.6</v>
      </c>
      <c r="AC43" s="483">
        <f t="shared" si="16"/>
        <v>207.6</v>
      </c>
      <c r="AD43" s="483">
        <f t="shared" si="16"/>
        <v>207.6</v>
      </c>
      <c r="AE43" s="483">
        <f t="shared" si="16"/>
        <v>207.6</v>
      </c>
      <c r="AF43" s="483">
        <f t="shared" si="16"/>
        <v>207.6</v>
      </c>
      <c r="AG43" s="483">
        <f t="shared" si="16"/>
        <v>207.6</v>
      </c>
      <c r="AH43" s="483">
        <f t="shared" si="16"/>
        <v>207.6</v>
      </c>
      <c r="AI43" s="483">
        <f t="shared" si="16"/>
        <v>207.6</v>
      </c>
      <c r="AJ43" s="483">
        <f t="shared" si="16"/>
        <v>207.6</v>
      </c>
      <c r="AK43" s="483">
        <f t="shared" si="17"/>
        <v>207.6</v>
      </c>
      <c r="AL43" s="483">
        <f t="shared" si="17"/>
        <v>207.6</v>
      </c>
      <c r="AM43" s="483">
        <f t="shared" si="17"/>
        <v>207.6</v>
      </c>
      <c r="AN43" s="483">
        <f t="shared" si="17"/>
        <v>207.6</v>
      </c>
      <c r="AO43" s="483">
        <f t="shared" si="17"/>
        <v>207.6</v>
      </c>
      <c r="AP43" s="483">
        <f t="shared" si="17"/>
        <v>207.6</v>
      </c>
      <c r="AQ43" s="483">
        <f t="shared" si="17"/>
        <v>207.6</v>
      </c>
      <c r="AR43" s="483">
        <f t="shared" si="17"/>
        <v>207.6</v>
      </c>
      <c r="AS43" s="483">
        <f t="shared" si="17"/>
        <v>207.6</v>
      </c>
      <c r="AT43" s="483">
        <f t="shared" si="17"/>
        <v>207.6</v>
      </c>
      <c r="AU43" s="483">
        <f t="shared" si="17"/>
        <v>207.6</v>
      </c>
      <c r="AV43" s="484">
        <v>5</v>
      </c>
      <c r="BB43" s="518"/>
      <c r="BC43" s="518"/>
      <c r="BD43" s="603"/>
      <c r="BE43" s="603"/>
      <c r="BF43" s="603"/>
      <c r="BG43" s="603"/>
      <c r="BH43" s="603"/>
      <c r="BI43" s="603"/>
      <c r="BJ43" s="603"/>
      <c r="BK43" s="603"/>
      <c r="BL43" s="603"/>
      <c r="BM43" s="603"/>
      <c r="BN43" s="603"/>
      <c r="BO43" s="603"/>
      <c r="BP43" s="603"/>
      <c r="BQ43" s="603"/>
      <c r="BR43" s="603"/>
      <c r="BS43" s="603"/>
      <c r="BT43" s="603"/>
      <c r="BU43" s="603"/>
      <c r="BV43" s="603"/>
      <c r="BW43" s="603"/>
      <c r="BX43" s="603"/>
      <c r="BY43" s="603"/>
      <c r="BZ43" s="603"/>
      <c r="CA43" s="603"/>
      <c r="CB43" s="603"/>
      <c r="CC43" s="603"/>
      <c r="CD43" s="603"/>
      <c r="CE43" s="603"/>
      <c r="CF43" s="603"/>
      <c r="CG43" s="518"/>
      <c r="CH43" s="518"/>
    </row>
    <row r="44" spans="2:119" ht="15">
      <c r="B44" s="8" t="str">
        <f>Processes!D43</f>
        <v>IMPMOB2</v>
      </c>
      <c r="C44" s="8" t="str">
        <f>Processes!E43</f>
        <v>Import technology - Bio Methanol G2</v>
      </c>
      <c r="D44" s="216"/>
      <c r="E44" s="216" t="str">
        <f t="shared" si="4"/>
        <v>MOB2</v>
      </c>
      <c r="F44" s="1119" t="str">
        <f t="shared" si="5"/>
        <v>MKr14</v>
      </c>
      <c r="G44" s="483">
        <f t="shared" si="14"/>
        <v>207.6</v>
      </c>
      <c r="H44" s="483">
        <f t="shared" si="14"/>
        <v>207.6</v>
      </c>
      <c r="I44" s="483">
        <f t="shared" si="14"/>
        <v>207.6</v>
      </c>
      <c r="J44" s="483">
        <f t="shared" si="14"/>
        <v>207.6</v>
      </c>
      <c r="K44" s="483">
        <f t="shared" si="14"/>
        <v>207.6</v>
      </c>
      <c r="L44" s="483">
        <f t="shared" si="14"/>
        <v>207.6</v>
      </c>
      <c r="M44" s="483">
        <f t="shared" si="14"/>
        <v>207.6</v>
      </c>
      <c r="N44" s="483">
        <f t="shared" si="14"/>
        <v>207.6</v>
      </c>
      <c r="O44" s="483">
        <f t="shared" si="14"/>
        <v>207.6</v>
      </c>
      <c r="P44" s="483">
        <f t="shared" si="14"/>
        <v>207.6</v>
      </c>
      <c r="Q44" s="483">
        <f t="shared" si="15"/>
        <v>207.6</v>
      </c>
      <c r="R44" s="483">
        <f t="shared" si="15"/>
        <v>207.6</v>
      </c>
      <c r="S44" s="483">
        <f t="shared" si="15"/>
        <v>207.6</v>
      </c>
      <c r="T44" s="483">
        <f t="shared" si="15"/>
        <v>207.6</v>
      </c>
      <c r="U44" s="483">
        <f t="shared" si="15"/>
        <v>207.6</v>
      </c>
      <c r="V44" s="483">
        <f t="shared" si="15"/>
        <v>207.6</v>
      </c>
      <c r="W44" s="483">
        <f t="shared" si="15"/>
        <v>207.6</v>
      </c>
      <c r="X44" s="483">
        <f t="shared" si="15"/>
        <v>207.6</v>
      </c>
      <c r="Y44" s="483">
        <f t="shared" si="15"/>
        <v>207.6</v>
      </c>
      <c r="Z44" s="483">
        <f t="shared" si="15"/>
        <v>207.6</v>
      </c>
      <c r="AA44" s="483">
        <f t="shared" si="16"/>
        <v>207.6</v>
      </c>
      <c r="AB44" s="483">
        <f t="shared" si="16"/>
        <v>207.6</v>
      </c>
      <c r="AC44" s="483">
        <f t="shared" si="16"/>
        <v>207.6</v>
      </c>
      <c r="AD44" s="483">
        <f t="shared" si="16"/>
        <v>207.6</v>
      </c>
      <c r="AE44" s="483">
        <f t="shared" si="16"/>
        <v>207.6</v>
      </c>
      <c r="AF44" s="483">
        <f t="shared" si="16"/>
        <v>207.6</v>
      </c>
      <c r="AG44" s="483">
        <f t="shared" si="16"/>
        <v>207.6</v>
      </c>
      <c r="AH44" s="483">
        <f t="shared" si="16"/>
        <v>207.6</v>
      </c>
      <c r="AI44" s="483">
        <f t="shared" si="16"/>
        <v>207.6</v>
      </c>
      <c r="AJ44" s="483">
        <f t="shared" si="16"/>
        <v>207.6</v>
      </c>
      <c r="AK44" s="483">
        <f t="shared" si="17"/>
        <v>207.6</v>
      </c>
      <c r="AL44" s="483">
        <f t="shared" si="17"/>
        <v>207.6</v>
      </c>
      <c r="AM44" s="483">
        <f t="shared" si="17"/>
        <v>207.6</v>
      </c>
      <c r="AN44" s="483">
        <f t="shared" si="17"/>
        <v>207.6</v>
      </c>
      <c r="AO44" s="483">
        <f t="shared" si="17"/>
        <v>207.6</v>
      </c>
      <c r="AP44" s="483">
        <f t="shared" si="17"/>
        <v>207.6</v>
      </c>
      <c r="AQ44" s="483">
        <f t="shared" si="17"/>
        <v>207.6</v>
      </c>
      <c r="AR44" s="483">
        <f t="shared" si="17"/>
        <v>207.6</v>
      </c>
      <c r="AS44" s="483">
        <f t="shared" si="17"/>
        <v>207.6</v>
      </c>
      <c r="AT44" s="483">
        <f t="shared" si="17"/>
        <v>207.6</v>
      </c>
      <c r="AU44" s="483">
        <f t="shared" si="17"/>
        <v>207.6</v>
      </c>
      <c r="AV44" s="484">
        <v>5</v>
      </c>
      <c r="BB44" s="518"/>
      <c r="BC44" s="518"/>
      <c r="BD44" s="603"/>
      <c r="BE44" s="603"/>
      <c r="BF44" s="603"/>
      <c r="BG44" s="603"/>
      <c r="BH44" s="603"/>
      <c r="BI44" s="603"/>
      <c r="BJ44" s="603"/>
      <c r="BK44" s="603"/>
      <c r="BL44" s="603"/>
      <c r="BM44" s="603"/>
      <c r="BN44" s="603"/>
      <c r="BO44" s="603"/>
      <c r="BP44" s="603"/>
      <c r="BQ44" s="603"/>
      <c r="BR44" s="603"/>
      <c r="BS44" s="603"/>
      <c r="BT44" s="603"/>
      <c r="BU44" s="603"/>
      <c r="BV44" s="603"/>
      <c r="BW44" s="603"/>
      <c r="BX44" s="603"/>
      <c r="BY44" s="603"/>
      <c r="BZ44" s="603"/>
      <c r="CA44" s="603"/>
      <c r="CB44" s="603"/>
      <c r="CC44" s="603"/>
      <c r="CD44" s="603"/>
      <c r="CE44" s="603"/>
      <c r="CF44" s="603"/>
      <c r="CG44" s="518"/>
      <c r="CH44" s="518"/>
    </row>
    <row r="45" spans="2:119" ht="15">
      <c r="B45" s="8" t="str">
        <f>Processes!D44</f>
        <v>IMPMOE</v>
      </c>
      <c r="C45" s="8" t="str">
        <f>Processes!E44</f>
        <v>Import technology - Electro Methanol</v>
      </c>
      <c r="D45" s="216"/>
      <c r="E45" s="216" t="str">
        <f t="shared" si="4"/>
        <v>MOE</v>
      </c>
      <c r="F45" s="1119" t="str">
        <f t="shared" si="5"/>
        <v>MKr14</v>
      </c>
      <c r="G45" s="483">
        <f t="shared" si="14"/>
        <v>415.2</v>
      </c>
      <c r="H45" s="483">
        <f t="shared" si="14"/>
        <v>415.2</v>
      </c>
      <c r="I45" s="483">
        <f t="shared" si="14"/>
        <v>415.2</v>
      </c>
      <c r="J45" s="483">
        <f t="shared" si="14"/>
        <v>415.2</v>
      </c>
      <c r="K45" s="483">
        <f t="shared" si="14"/>
        <v>415.2</v>
      </c>
      <c r="L45" s="483">
        <f t="shared" si="14"/>
        <v>415.2</v>
      </c>
      <c r="M45" s="483">
        <f t="shared" si="14"/>
        <v>415.2</v>
      </c>
      <c r="N45" s="483">
        <f t="shared" si="14"/>
        <v>415.2</v>
      </c>
      <c r="O45" s="483">
        <f t="shared" si="14"/>
        <v>415.2</v>
      </c>
      <c r="P45" s="483">
        <f t="shared" si="14"/>
        <v>415.2</v>
      </c>
      <c r="Q45" s="483">
        <f t="shared" si="15"/>
        <v>415.2</v>
      </c>
      <c r="R45" s="483">
        <f t="shared" si="15"/>
        <v>415.2</v>
      </c>
      <c r="S45" s="483">
        <f t="shared" si="15"/>
        <v>415.2</v>
      </c>
      <c r="T45" s="483">
        <f t="shared" si="15"/>
        <v>415.2</v>
      </c>
      <c r="U45" s="483">
        <f t="shared" si="15"/>
        <v>415.2</v>
      </c>
      <c r="V45" s="483">
        <f t="shared" si="15"/>
        <v>415.2</v>
      </c>
      <c r="W45" s="483">
        <f t="shared" si="15"/>
        <v>415.2</v>
      </c>
      <c r="X45" s="483">
        <f t="shared" si="15"/>
        <v>415.2</v>
      </c>
      <c r="Y45" s="483">
        <f t="shared" si="15"/>
        <v>415.2</v>
      </c>
      <c r="Z45" s="483">
        <f t="shared" si="15"/>
        <v>415.2</v>
      </c>
      <c r="AA45" s="483">
        <f t="shared" si="16"/>
        <v>415.2</v>
      </c>
      <c r="AB45" s="483">
        <f t="shared" si="16"/>
        <v>415.2</v>
      </c>
      <c r="AC45" s="483">
        <f t="shared" si="16"/>
        <v>415.2</v>
      </c>
      <c r="AD45" s="483">
        <f t="shared" si="16"/>
        <v>415.2</v>
      </c>
      <c r="AE45" s="483">
        <f t="shared" si="16"/>
        <v>415.2</v>
      </c>
      <c r="AF45" s="483">
        <f t="shared" si="16"/>
        <v>415.2</v>
      </c>
      <c r="AG45" s="483">
        <f t="shared" si="16"/>
        <v>415.2</v>
      </c>
      <c r="AH45" s="483">
        <f t="shared" si="16"/>
        <v>415.2</v>
      </c>
      <c r="AI45" s="483">
        <f t="shared" si="16"/>
        <v>415.2</v>
      </c>
      <c r="AJ45" s="483">
        <f t="shared" si="16"/>
        <v>415.2</v>
      </c>
      <c r="AK45" s="483">
        <f t="shared" si="17"/>
        <v>415.2</v>
      </c>
      <c r="AL45" s="483">
        <f t="shared" si="17"/>
        <v>415.2</v>
      </c>
      <c r="AM45" s="483">
        <f t="shared" si="17"/>
        <v>415.2</v>
      </c>
      <c r="AN45" s="483">
        <f t="shared" si="17"/>
        <v>415.2</v>
      </c>
      <c r="AO45" s="483">
        <f t="shared" si="17"/>
        <v>415.2</v>
      </c>
      <c r="AP45" s="483">
        <f t="shared" si="17"/>
        <v>415.2</v>
      </c>
      <c r="AQ45" s="483">
        <f t="shared" si="17"/>
        <v>415.2</v>
      </c>
      <c r="AR45" s="483">
        <f t="shared" si="17"/>
        <v>415.2</v>
      </c>
      <c r="AS45" s="483">
        <f t="shared" si="17"/>
        <v>415.2</v>
      </c>
      <c r="AT45" s="483">
        <f t="shared" si="17"/>
        <v>415.2</v>
      </c>
      <c r="AU45" s="483">
        <f t="shared" si="17"/>
        <v>415.2</v>
      </c>
      <c r="AV45" s="484">
        <v>5</v>
      </c>
      <c r="BB45" s="518"/>
      <c r="BC45" s="518"/>
      <c r="BD45" s="603"/>
      <c r="BE45" s="603"/>
      <c r="BF45" s="603"/>
      <c r="BG45" s="603"/>
      <c r="BH45" s="603"/>
      <c r="BI45" s="603"/>
      <c r="BJ45" s="603"/>
      <c r="BK45" s="603"/>
      <c r="BL45" s="603"/>
      <c r="BM45" s="603"/>
      <c r="BN45" s="603"/>
      <c r="BO45" s="603"/>
      <c r="BP45" s="603"/>
      <c r="BQ45" s="603"/>
      <c r="BR45" s="603"/>
      <c r="BS45" s="603"/>
      <c r="BT45" s="603"/>
      <c r="BU45" s="603"/>
      <c r="BV45" s="603"/>
      <c r="BW45" s="603"/>
      <c r="BX45" s="603"/>
      <c r="BY45" s="603"/>
      <c r="BZ45" s="603"/>
      <c r="CA45" s="603"/>
      <c r="CB45" s="603"/>
      <c r="CC45" s="603"/>
      <c r="CD45" s="603"/>
      <c r="CE45" s="603"/>
      <c r="CF45" s="603"/>
      <c r="CG45" s="518"/>
      <c r="CH45" s="518"/>
    </row>
    <row r="46" spans="2:119" ht="15">
      <c r="B46" s="8" t="str">
        <f>Processes!D45</f>
        <v>IMPWST</v>
      </c>
      <c r="C46" s="8" t="str">
        <f>Processes!E45</f>
        <v>Import technology - Waste</v>
      </c>
      <c r="D46" s="216"/>
      <c r="E46" s="216" t="str">
        <f t="shared" si="4"/>
        <v>WST</v>
      </c>
      <c r="F46" s="1119" t="str">
        <f t="shared" si="5"/>
        <v>MKr14</v>
      </c>
      <c r="G46" s="483">
        <f t="shared" si="14"/>
        <v>0.1</v>
      </c>
      <c r="H46" s="483">
        <f t="shared" si="14"/>
        <v>0.1</v>
      </c>
      <c r="I46" s="483">
        <f t="shared" si="14"/>
        <v>0.1</v>
      </c>
      <c r="J46" s="483">
        <f t="shared" si="14"/>
        <v>0.1</v>
      </c>
      <c r="K46" s="483">
        <f t="shared" si="14"/>
        <v>0.1</v>
      </c>
      <c r="L46" s="483">
        <f t="shared" si="14"/>
        <v>0.1</v>
      </c>
      <c r="M46" s="483">
        <f t="shared" si="14"/>
        <v>0.1</v>
      </c>
      <c r="N46" s="483">
        <f t="shared" si="14"/>
        <v>0.1</v>
      </c>
      <c r="O46" s="483">
        <f t="shared" si="14"/>
        <v>0.1</v>
      </c>
      <c r="P46" s="483">
        <f t="shared" si="14"/>
        <v>0.1</v>
      </c>
      <c r="Q46" s="483">
        <f t="shared" si="15"/>
        <v>0.1</v>
      </c>
      <c r="R46" s="483">
        <f t="shared" si="15"/>
        <v>0.1</v>
      </c>
      <c r="S46" s="483">
        <f t="shared" si="15"/>
        <v>0.1</v>
      </c>
      <c r="T46" s="483">
        <f t="shared" si="15"/>
        <v>0.1</v>
      </c>
      <c r="U46" s="483">
        <f t="shared" si="15"/>
        <v>0.1</v>
      </c>
      <c r="V46" s="483">
        <f t="shared" si="15"/>
        <v>0.1</v>
      </c>
      <c r="W46" s="483">
        <f t="shared" si="15"/>
        <v>0.1</v>
      </c>
      <c r="X46" s="483">
        <f t="shared" si="15"/>
        <v>0.1</v>
      </c>
      <c r="Y46" s="483">
        <f t="shared" si="15"/>
        <v>0.1</v>
      </c>
      <c r="Z46" s="483">
        <f t="shared" si="15"/>
        <v>0.1</v>
      </c>
      <c r="AA46" s="483">
        <f t="shared" si="16"/>
        <v>0.1</v>
      </c>
      <c r="AB46" s="483">
        <f t="shared" si="16"/>
        <v>0.1</v>
      </c>
      <c r="AC46" s="483">
        <f t="shared" si="16"/>
        <v>0.1</v>
      </c>
      <c r="AD46" s="483">
        <f t="shared" si="16"/>
        <v>0.1</v>
      </c>
      <c r="AE46" s="483">
        <f t="shared" si="16"/>
        <v>0.1</v>
      </c>
      <c r="AF46" s="483">
        <f t="shared" si="16"/>
        <v>0.1</v>
      </c>
      <c r="AG46" s="483">
        <f t="shared" si="16"/>
        <v>0.1</v>
      </c>
      <c r="AH46" s="483">
        <f t="shared" si="16"/>
        <v>0.1</v>
      </c>
      <c r="AI46" s="483">
        <f t="shared" si="16"/>
        <v>0.1</v>
      </c>
      <c r="AJ46" s="483">
        <f t="shared" si="16"/>
        <v>0.1</v>
      </c>
      <c r="AK46" s="483">
        <f t="shared" si="17"/>
        <v>0.1</v>
      </c>
      <c r="AL46" s="483">
        <f t="shared" si="17"/>
        <v>0.1</v>
      </c>
      <c r="AM46" s="483">
        <f t="shared" si="17"/>
        <v>0.1</v>
      </c>
      <c r="AN46" s="483">
        <f t="shared" si="17"/>
        <v>0.1</v>
      </c>
      <c r="AO46" s="483">
        <f t="shared" si="17"/>
        <v>0.1</v>
      </c>
      <c r="AP46" s="483">
        <f t="shared" si="17"/>
        <v>0.1</v>
      </c>
      <c r="AQ46" s="483">
        <f t="shared" si="17"/>
        <v>0.1</v>
      </c>
      <c r="AR46" s="483">
        <f t="shared" si="17"/>
        <v>0.1</v>
      </c>
      <c r="AS46" s="483">
        <f t="shared" si="17"/>
        <v>0.1</v>
      </c>
      <c r="AT46" s="483">
        <f t="shared" si="17"/>
        <v>0.1</v>
      </c>
      <c r="AU46" s="483">
        <f t="shared" si="17"/>
        <v>0.1</v>
      </c>
      <c r="AV46" s="484">
        <v>5</v>
      </c>
      <c r="BA46" s="597"/>
      <c r="BB46" s="597"/>
    </row>
    <row r="47" spans="2:119" ht="15">
      <c r="B47" s="8" t="str">
        <f>Processes!D46</f>
        <v>IMPSTR</v>
      </c>
      <c r="C47" s="8" t="str">
        <f>Processes!E46</f>
        <v>Import technology - Straw</v>
      </c>
      <c r="D47" s="216"/>
      <c r="E47" s="216" t="str">
        <f t="shared" si="4"/>
        <v>STR</v>
      </c>
      <c r="F47" s="1119" t="str">
        <f t="shared" si="5"/>
        <v>MKr19</v>
      </c>
      <c r="G47" s="483">
        <f>IFERROR(INDEX($G$122:$AU$177,MATCH($E47,$E$122:$E$177,0),MATCH(G$6,$G$121:$AU$121,0)),0)</f>
        <v>41.5</v>
      </c>
      <c r="H47" s="483">
        <f t="shared" si="14"/>
        <v>41.5</v>
      </c>
      <c r="I47" s="483">
        <f t="shared" si="14"/>
        <v>41.5</v>
      </c>
      <c r="J47" s="483">
        <f t="shared" si="14"/>
        <v>41.2</v>
      </c>
      <c r="K47" s="483">
        <f t="shared" si="14"/>
        <v>40.799999999999997</v>
      </c>
      <c r="L47" s="483">
        <f t="shared" si="14"/>
        <v>40.5</v>
      </c>
      <c r="M47" s="483">
        <f t="shared" si="14"/>
        <v>40.9</v>
      </c>
      <c r="N47" s="483">
        <f t="shared" si="14"/>
        <v>41.4</v>
      </c>
      <c r="O47" s="483">
        <f t="shared" si="14"/>
        <v>41.634898055339931</v>
      </c>
      <c r="P47" s="483">
        <f t="shared" si="14"/>
        <v>41.634898055339931</v>
      </c>
      <c r="Q47" s="483">
        <f t="shared" si="15"/>
        <v>41.962449107096752</v>
      </c>
      <c r="R47" s="483">
        <f t="shared" si="15"/>
        <v>42.37591413450582</v>
      </c>
      <c r="S47" s="483">
        <f t="shared" si="15"/>
        <v>42.791201303703261</v>
      </c>
      <c r="T47" s="483">
        <f t="shared" si="15"/>
        <v>43.208184541451871</v>
      </c>
      <c r="U47" s="483">
        <f t="shared" si="15"/>
        <v>43.626739530646304</v>
      </c>
      <c r="V47" s="483">
        <f t="shared" si="15"/>
        <v>44.046743692103149</v>
      </c>
      <c r="W47" s="483">
        <f t="shared" si="15"/>
        <v>44.303492323512977</v>
      </c>
      <c r="X47" s="483">
        <f t="shared" si="15"/>
        <v>44.56044844066794</v>
      </c>
      <c r="Y47" s="483">
        <f t="shared" si="15"/>
        <v>44.817607952103295</v>
      </c>
      <c r="Z47" s="483">
        <f t="shared" si="15"/>
        <v>45.074966809344929</v>
      </c>
      <c r="AA47" s="483">
        <f t="shared" si="16"/>
        <v>45.332521006394593</v>
      </c>
      <c r="AB47" s="483">
        <f t="shared" si="16"/>
        <v>45.549544275390517</v>
      </c>
      <c r="AC47" s="483">
        <f t="shared" si="16"/>
        <v>45.766845997017583</v>
      </c>
      <c r="AD47" s="483">
        <f t="shared" si="16"/>
        <v>45.93621057509371</v>
      </c>
      <c r="AE47" s="483">
        <f t="shared" si="16"/>
        <v>46.091987325464736</v>
      </c>
      <c r="AF47" s="483">
        <f t="shared" si="16"/>
        <v>46.247727566987081</v>
      </c>
      <c r="AG47" s="483">
        <f t="shared" si="16"/>
        <v>46.390503884981669</v>
      </c>
      <c r="AH47" s="483">
        <f t="shared" si="16"/>
        <v>46.533237561648519</v>
      </c>
      <c r="AI47" s="483">
        <f t="shared" si="16"/>
        <v>46.675927978934773</v>
      </c>
      <c r="AJ47" s="483">
        <f t="shared" si="16"/>
        <v>46.818574524689666</v>
      </c>
      <c r="AK47" s="483">
        <f t="shared" si="17"/>
        <v>46.961176592602918</v>
      </c>
      <c r="AL47" s="483">
        <f t="shared" si="17"/>
        <v>46.961176592602918</v>
      </c>
      <c r="AM47" s="483">
        <f t="shared" si="17"/>
        <v>46.961176592602918</v>
      </c>
      <c r="AN47" s="483">
        <f t="shared" si="17"/>
        <v>46.961176592602918</v>
      </c>
      <c r="AO47" s="483">
        <f t="shared" si="17"/>
        <v>46.961176592602918</v>
      </c>
      <c r="AP47" s="483">
        <f t="shared" si="17"/>
        <v>46.961176592602918</v>
      </c>
      <c r="AQ47" s="483">
        <f t="shared" si="17"/>
        <v>46.961176592602918</v>
      </c>
      <c r="AR47" s="483">
        <f t="shared" si="17"/>
        <v>46.961176592602918</v>
      </c>
      <c r="AS47" s="483">
        <f t="shared" si="17"/>
        <v>46.961176592602918</v>
      </c>
      <c r="AT47" s="483">
        <f t="shared" si="17"/>
        <v>46.961176592602918</v>
      </c>
      <c r="AU47" s="483">
        <f t="shared" si="17"/>
        <v>46.961176592602918</v>
      </c>
      <c r="AV47" s="484">
        <v>5</v>
      </c>
      <c r="BA47" s="597"/>
      <c r="BB47" s="597"/>
      <c r="BC47" s="602"/>
    </row>
    <row r="48" spans="2:119" ht="15">
      <c r="B48" s="8" t="str">
        <f>Processes!D47</f>
        <v>IMPGRS</v>
      </c>
      <c r="C48" s="8" t="str">
        <f>Processes!E47</f>
        <v>Import technology - Grass</v>
      </c>
      <c r="D48" s="216"/>
      <c r="E48" s="216" t="str">
        <f t="shared" si="4"/>
        <v>GRS</v>
      </c>
      <c r="F48" s="1119" t="str">
        <f t="shared" si="5"/>
        <v>MKr14</v>
      </c>
      <c r="G48" s="483">
        <f t="shared" si="14"/>
        <v>41.5</v>
      </c>
      <c r="H48" s="483">
        <f t="shared" si="14"/>
        <v>41.5</v>
      </c>
      <c r="I48" s="483">
        <f t="shared" si="14"/>
        <v>41.5</v>
      </c>
      <c r="J48" s="483">
        <f t="shared" si="14"/>
        <v>41.2</v>
      </c>
      <c r="K48" s="483">
        <f t="shared" si="14"/>
        <v>40.799999999999997</v>
      </c>
      <c r="L48" s="483">
        <f t="shared" si="14"/>
        <v>40.5</v>
      </c>
      <c r="M48" s="483">
        <f t="shared" si="14"/>
        <v>40.9</v>
      </c>
      <c r="N48" s="483">
        <f t="shared" si="14"/>
        <v>41.4</v>
      </c>
      <c r="O48" s="483">
        <f t="shared" si="14"/>
        <v>41.634898055339931</v>
      </c>
      <c r="P48" s="483">
        <f t="shared" si="14"/>
        <v>41.634898055339931</v>
      </c>
      <c r="Q48" s="483">
        <f t="shared" si="15"/>
        <v>41.962449107096752</v>
      </c>
      <c r="R48" s="483">
        <f t="shared" si="15"/>
        <v>42.37591413450582</v>
      </c>
      <c r="S48" s="483">
        <f t="shared" si="15"/>
        <v>42.791201303703261</v>
      </c>
      <c r="T48" s="483">
        <f t="shared" si="15"/>
        <v>43.208184541451871</v>
      </c>
      <c r="U48" s="483">
        <f t="shared" si="15"/>
        <v>43.626739530646304</v>
      </c>
      <c r="V48" s="483">
        <f t="shared" si="15"/>
        <v>44.046743692103149</v>
      </c>
      <c r="W48" s="483">
        <f t="shared" si="15"/>
        <v>44.303492323512977</v>
      </c>
      <c r="X48" s="483">
        <f t="shared" si="15"/>
        <v>44.56044844066794</v>
      </c>
      <c r="Y48" s="483">
        <f t="shared" si="15"/>
        <v>44.817607952103295</v>
      </c>
      <c r="Z48" s="483">
        <f t="shared" si="15"/>
        <v>45.074966809344929</v>
      </c>
      <c r="AA48" s="483">
        <f t="shared" si="16"/>
        <v>45.332521006394593</v>
      </c>
      <c r="AB48" s="483">
        <f t="shared" si="16"/>
        <v>45.549544275390517</v>
      </c>
      <c r="AC48" s="483">
        <f t="shared" si="16"/>
        <v>45.766845997017583</v>
      </c>
      <c r="AD48" s="483">
        <f t="shared" si="16"/>
        <v>45.93621057509371</v>
      </c>
      <c r="AE48" s="483">
        <f t="shared" si="16"/>
        <v>46.091987325464736</v>
      </c>
      <c r="AF48" s="483">
        <f t="shared" si="16"/>
        <v>46.247727566987081</v>
      </c>
      <c r="AG48" s="483">
        <f t="shared" si="16"/>
        <v>46.390503884981669</v>
      </c>
      <c r="AH48" s="483">
        <f t="shared" si="16"/>
        <v>46.533237561648519</v>
      </c>
      <c r="AI48" s="483">
        <f t="shared" si="16"/>
        <v>46.675927978934773</v>
      </c>
      <c r="AJ48" s="483">
        <f t="shared" si="16"/>
        <v>46.818574524689666</v>
      </c>
      <c r="AK48" s="483">
        <f t="shared" si="17"/>
        <v>46.961176592602918</v>
      </c>
      <c r="AL48" s="483">
        <f t="shared" si="17"/>
        <v>46.961176592602918</v>
      </c>
      <c r="AM48" s="483">
        <f t="shared" si="17"/>
        <v>46.961176592602918</v>
      </c>
      <c r="AN48" s="483">
        <f t="shared" si="17"/>
        <v>46.961176592602918</v>
      </c>
      <c r="AO48" s="483">
        <f t="shared" si="17"/>
        <v>46.961176592602918</v>
      </c>
      <c r="AP48" s="483">
        <f t="shared" si="17"/>
        <v>46.961176592602918</v>
      </c>
      <c r="AQ48" s="483">
        <f t="shared" si="17"/>
        <v>46.961176592602918</v>
      </c>
      <c r="AR48" s="483">
        <f t="shared" si="17"/>
        <v>46.961176592602918</v>
      </c>
      <c r="AS48" s="483">
        <f t="shared" si="17"/>
        <v>46.961176592602918</v>
      </c>
      <c r="AT48" s="483">
        <f t="shared" si="17"/>
        <v>46.961176592602918</v>
      </c>
      <c r="AU48" s="483">
        <f t="shared" si="17"/>
        <v>46.961176592602918</v>
      </c>
      <c r="AV48" s="484">
        <v>5</v>
      </c>
      <c r="BA48" s="597"/>
      <c r="BB48" s="597"/>
      <c r="BC48" s="602"/>
    </row>
    <row r="49" spans="1:55" ht="15">
      <c r="B49" s="8" t="str">
        <f>Processes!D48</f>
        <v>IMPWPE</v>
      </c>
      <c r="C49" s="8" t="str">
        <f>Processes!E48</f>
        <v>Import technology - Wood pellets</v>
      </c>
      <c r="D49" s="216"/>
      <c r="E49" s="216" t="str">
        <f t="shared" si="4"/>
        <v>WPE</v>
      </c>
      <c r="F49" s="1119" t="str">
        <f t="shared" si="5"/>
        <v>MKr19</v>
      </c>
      <c r="G49" s="483">
        <f t="shared" si="14"/>
        <v>73.7</v>
      </c>
      <c r="H49" s="483">
        <f t="shared" si="14"/>
        <v>73.7</v>
      </c>
      <c r="I49" s="483">
        <f t="shared" si="14"/>
        <v>73.7</v>
      </c>
      <c r="J49" s="483">
        <f t="shared" si="14"/>
        <v>72.7</v>
      </c>
      <c r="K49" s="483">
        <f t="shared" si="14"/>
        <v>71.8</v>
      </c>
      <c r="L49" s="483">
        <f t="shared" si="14"/>
        <v>70.8</v>
      </c>
      <c r="M49" s="483">
        <f t="shared" si="14"/>
        <v>71.2</v>
      </c>
      <c r="N49" s="483">
        <f t="shared" si="14"/>
        <v>71.599999999999994</v>
      </c>
      <c r="O49" s="483">
        <f t="shared" si="14"/>
        <v>69.494890781791952</v>
      </c>
      <c r="P49" s="483">
        <f t="shared" si="14"/>
        <v>69.433019142282461</v>
      </c>
      <c r="Q49" s="483">
        <f t="shared" si="15"/>
        <v>59.910194122791161</v>
      </c>
      <c r="R49" s="483">
        <f t="shared" si="15"/>
        <v>62.854344413402906</v>
      </c>
      <c r="S49" s="483">
        <f t="shared" si="15"/>
        <v>63.172513966646889</v>
      </c>
      <c r="T49" s="483">
        <f t="shared" si="15"/>
        <v>62.478874618815077</v>
      </c>
      <c r="U49" s="483">
        <f t="shared" si="15"/>
        <v>62.142339464339834</v>
      </c>
      <c r="V49" s="483">
        <f t="shared" si="15"/>
        <v>61.840436911371611</v>
      </c>
      <c r="W49" s="483">
        <f t="shared" si="15"/>
        <v>61.559038676176264</v>
      </c>
      <c r="X49" s="483">
        <f t="shared" si="15"/>
        <v>61.304552221855602</v>
      </c>
      <c r="Y49" s="483">
        <f t="shared" si="15"/>
        <v>61.075127920444082</v>
      </c>
      <c r="Z49" s="483">
        <f t="shared" si="15"/>
        <v>60.879811326662022</v>
      </c>
      <c r="AA49" s="483">
        <f t="shared" si="16"/>
        <v>60.705878120268423</v>
      </c>
      <c r="AB49" s="483">
        <f t="shared" si="16"/>
        <v>60.70433047636952</v>
      </c>
      <c r="AC49" s="483">
        <f t="shared" si="16"/>
        <v>60.702548817291905</v>
      </c>
      <c r="AD49" s="483">
        <f t="shared" si="16"/>
        <v>60.700536499539886</v>
      </c>
      <c r="AE49" s="483">
        <f t="shared" si="16"/>
        <v>60.698296822060883</v>
      </c>
      <c r="AF49" s="483">
        <f t="shared" si="16"/>
        <v>60.695833026853684</v>
      </c>
      <c r="AG49" s="483">
        <f t="shared" si="16"/>
        <v>60.689945389690699</v>
      </c>
      <c r="AH49" s="483">
        <f t="shared" si="16"/>
        <v>60.683892039969457</v>
      </c>
      <c r="AI49" s="483">
        <f t="shared" si="16"/>
        <v>60.677675969854107</v>
      </c>
      <c r="AJ49" s="483">
        <f t="shared" si="16"/>
        <v>60.671300113152753</v>
      </c>
      <c r="AK49" s="483">
        <f t="shared" si="17"/>
        <v>60.664767346129707</v>
      </c>
      <c r="AL49" s="483">
        <f t="shared" si="17"/>
        <v>60.675957923099851</v>
      </c>
      <c r="AM49" s="483">
        <f t="shared" si="17"/>
        <v>60.68702193291076</v>
      </c>
      <c r="AN49" s="483">
        <f t="shared" si="17"/>
        <v>60.697960969252613</v>
      </c>
      <c r="AO49" s="483">
        <f t="shared" si="17"/>
        <v>60.70877659234629</v>
      </c>
      <c r="AP49" s="483">
        <f t="shared" si="17"/>
        <v>60.719470329291362</v>
      </c>
      <c r="AQ49" s="483">
        <f t="shared" si="17"/>
        <v>60.774302670903623</v>
      </c>
      <c r="AR49" s="483">
        <f t="shared" si="17"/>
        <v>60.828784329157571</v>
      </c>
      <c r="AS49" s="483">
        <f t="shared" si="17"/>
        <v>60.882916997101603</v>
      </c>
      <c r="AT49" s="483">
        <f t="shared" si="17"/>
        <v>60.936702331670006</v>
      </c>
      <c r="AU49" s="483">
        <f t="shared" si="17"/>
        <v>60.990141954059872</v>
      </c>
      <c r="AV49" s="484">
        <v>5</v>
      </c>
      <c r="BA49" s="597"/>
      <c r="BB49" s="597"/>
    </row>
    <row r="50" spans="1:55" ht="15">
      <c r="B50" s="8" t="str">
        <f>Processes!D49</f>
        <v>IMPWCH</v>
      </c>
      <c r="C50" s="8" t="str">
        <f>Processes!E49</f>
        <v>Import technology - Wood chips and wood waste</v>
      </c>
      <c r="D50" s="216"/>
      <c r="E50" s="216" t="str">
        <f t="shared" si="4"/>
        <v>WCH</v>
      </c>
      <c r="F50" s="1119" t="str">
        <f t="shared" si="5"/>
        <v>MKr19</v>
      </c>
      <c r="G50" s="483">
        <f t="shared" si="14"/>
        <v>46</v>
      </c>
      <c r="H50" s="483">
        <f t="shared" si="14"/>
        <v>46</v>
      </c>
      <c r="I50" s="483">
        <f t="shared" si="14"/>
        <v>46</v>
      </c>
      <c r="J50" s="483">
        <f t="shared" si="14"/>
        <v>45.7</v>
      </c>
      <c r="K50" s="483">
        <f t="shared" si="14"/>
        <v>45.3</v>
      </c>
      <c r="L50" s="483">
        <f t="shared" si="14"/>
        <v>44.9</v>
      </c>
      <c r="M50" s="483">
        <f t="shared" si="14"/>
        <v>45.4</v>
      </c>
      <c r="N50" s="483">
        <f t="shared" si="14"/>
        <v>45.9</v>
      </c>
      <c r="O50" s="483">
        <f t="shared" si="14"/>
        <v>45.179472202489855</v>
      </c>
      <c r="P50" s="483">
        <f t="shared" si="14"/>
        <v>45.117600562980392</v>
      </c>
      <c r="Q50" s="483">
        <f t="shared" si="15"/>
        <v>45.248389703133633</v>
      </c>
      <c r="R50" s="483">
        <f t="shared" si="15"/>
        <v>45.190250127598674</v>
      </c>
      <c r="S50" s="483">
        <f t="shared" si="15"/>
        <v>45.392121473736516</v>
      </c>
      <c r="T50" s="483">
        <f t="shared" si="15"/>
        <v>45.644433925671841</v>
      </c>
      <c r="U50" s="483">
        <f t="shared" si="15"/>
        <v>45.923015098100862</v>
      </c>
      <c r="V50" s="483">
        <f t="shared" si="15"/>
        <v>46.207001444406053</v>
      </c>
      <c r="W50" s="483">
        <f t="shared" si="15"/>
        <v>46.419730980267232</v>
      </c>
      <c r="X50" s="483">
        <f t="shared" si="15"/>
        <v>46.631059323825987</v>
      </c>
      <c r="Y50" s="483">
        <f t="shared" si="15"/>
        <v>46.839924523073165</v>
      </c>
      <c r="Z50" s="483">
        <f t="shared" si="15"/>
        <v>47.054043906757286</v>
      </c>
      <c r="AA50" s="483">
        <f t="shared" si="16"/>
        <v>47.263106384197172</v>
      </c>
      <c r="AB50" s="483">
        <f t="shared" si="16"/>
        <v>47.363169268373781</v>
      </c>
      <c r="AC50" s="483">
        <f t="shared" si="16"/>
        <v>47.463048827686151</v>
      </c>
      <c r="AD50" s="483">
        <f t="shared" si="16"/>
        <v>47.562746231205452</v>
      </c>
      <c r="AE50" s="483">
        <f t="shared" si="16"/>
        <v>47.662262629564232</v>
      </c>
      <c r="AF50" s="483">
        <f t="shared" si="16"/>
        <v>47.761599155151828</v>
      </c>
      <c r="AG50" s="483">
        <f t="shared" si="16"/>
        <v>47.861557709026719</v>
      </c>
      <c r="AH50" s="483">
        <f t="shared" si="16"/>
        <v>47.961224086497161</v>
      </c>
      <c r="AI50" s="483">
        <f t="shared" si="16"/>
        <v>48.06060022028862</v>
      </c>
      <c r="AJ50" s="483">
        <f t="shared" si="16"/>
        <v>48.159688016832391</v>
      </c>
      <c r="AK50" s="483">
        <f t="shared" si="17"/>
        <v>48.258489356547372</v>
      </c>
      <c r="AL50" s="483">
        <f t="shared" si="17"/>
        <v>48.37762671431922</v>
      </c>
      <c r="AM50" s="483">
        <f t="shared" si="17"/>
        <v>48.496315696545963</v>
      </c>
      <c r="AN50" s="483">
        <f t="shared" si="17"/>
        <v>48.614559135690349</v>
      </c>
      <c r="AO50" s="483">
        <f t="shared" si="17"/>
        <v>48.73235982855357</v>
      </c>
      <c r="AP50" s="483">
        <f t="shared" si="17"/>
        <v>48.849720536660548</v>
      </c>
      <c r="AQ50" s="483">
        <f t="shared" si="17"/>
        <v>49.024574818868821</v>
      </c>
      <c r="AR50" s="483">
        <f t="shared" si="17"/>
        <v>49.198719487894593</v>
      </c>
      <c r="AS50" s="483">
        <f t="shared" si="17"/>
        <v>49.372158440659689</v>
      </c>
      <c r="AT50" s="483">
        <f t="shared" si="17"/>
        <v>49.544895527221009</v>
      </c>
      <c r="AU50" s="483">
        <f t="shared" si="17"/>
        <v>49.716934551280723</v>
      </c>
      <c r="AV50" s="484">
        <v>5</v>
      </c>
      <c r="BA50" s="597"/>
      <c r="BB50" s="597"/>
    </row>
    <row r="51" spans="1:55" ht="15">
      <c r="B51" s="8" t="str">
        <f>Processes!D50</f>
        <v>IMPFIW</v>
      </c>
      <c r="C51" s="8" t="str">
        <f>Processes!E50</f>
        <v>Import technology - Firewood</v>
      </c>
      <c r="D51" s="216"/>
      <c r="E51" s="216" t="str">
        <f t="shared" si="4"/>
        <v>FIW</v>
      </c>
      <c r="F51" s="1119" t="str">
        <f t="shared" si="5"/>
        <v>MKr14</v>
      </c>
      <c r="G51" s="483">
        <f>G50</f>
        <v>46</v>
      </c>
      <c r="H51" s="483">
        <f t="shared" ref="H51:AU51" si="18">H50</f>
        <v>46</v>
      </c>
      <c r="I51" s="483">
        <f t="shared" si="18"/>
        <v>46</v>
      </c>
      <c r="J51" s="483">
        <f t="shared" si="18"/>
        <v>45.7</v>
      </c>
      <c r="K51" s="483">
        <f t="shared" si="18"/>
        <v>45.3</v>
      </c>
      <c r="L51" s="483">
        <f t="shared" si="18"/>
        <v>44.9</v>
      </c>
      <c r="M51" s="483">
        <f t="shared" si="18"/>
        <v>45.4</v>
      </c>
      <c r="N51" s="483">
        <f t="shared" si="18"/>
        <v>45.9</v>
      </c>
      <c r="O51" s="483">
        <f t="shared" si="18"/>
        <v>45.179472202489855</v>
      </c>
      <c r="P51" s="483">
        <f t="shared" si="18"/>
        <v>45.117600562980392</v>
      </c>
      <c r="Q51" s="483">
        <f t="shared" si="18"/>
        <v>45.248389703133633</v>
      </c>
      <c r="R51" s="483">
        <f t="shared" si="18"/>
        <v>45.190250127598674</v>
      </c>
      <c r="S51" s="483">
        <f t="shared" si="18"/>
        <v>45.392121473736516</v>
      </c>
      <c r="T51" s="483">
        <f t="shared" si="18"/>
        <v>45.644433925671841</v>
      </c>
      <c r="U51" s="483">
        <f t="shared" si="18"/>
        <v>45.923015098100862</v>
      </c>
      <c r="V51" s="483">
        <f t="shared" si="18"/>
        <v>46.207001444406053</v>
      </c>
      <c r="W51" s="483">
        <f t="shared" si="18"/>
        <v>46.419730980267232</v>
      </c>
      <c r="X51" s="483">
        <f t="shared" si="18"/>
        <v>46.631059323825987</v>
      </c>
      <c r="Y51" s="483">
        <f t="shared" si="18"/>
        <v>46.839924523073165</v>
      </c>
      <c r="Z51" s="483">
        <f t="shared" si="18"/>
        <v>47.054043906757286</v>
      </c>
      <c r="AA51" s="483">
        <f t="shared" si="18"/>
        <v>47.263106384197172</v>
      </c>
      <c r="AB51" s="483">
        <f t="shared" si="18"/>
        <v>47.363169268373781</v>
      </c>
      <c r="AC51" s="483">
        <f t="shared" si="18"/>
        <v>47.463048827686151</v>
      </c>
      <c r="AD51" s="483">
        <f t="shared" si="18"/>
        <v>47.562746231205452</v>
      </c>
      <c r="AE51" s="483">
        <f t="shared" si="18"/>
        <v>47.662262629564232</v>
      </c>
      <c r="AF51" s="483">
        <f t="shared" si="18"/>
        <v>47.761599155151828</v>
      </c>
      <c r="AG51" s="483">
        <f t="shared" si="18"/>
        <v>47.861557709026719</v>
      </c>
      <c r="AH51" s="483">
        <f t="shared" si="18"/>
        <v>47.961224086497161</v>
      </c>
      <c r="AI51" s="483">
        <f t="shared" si="18"/>
        <v>48.06060022028862</v>
      </c>
      <c r="AJ51" s="483">
        <f t="shared" si="18"/>
        <v>48.159688016832391</v>
      </c>
      <c r="AK51" s="483">
        <f t="shared" si="18"/>
        <v>48.258489356547372</v>
      </c>
      <c r="AL51" s="483">
        <f t="shared" si="18"/>
        <v>48.37762671431922</v>
      </c>
      <c r="AM51" s="483">
        <f t="shared" si="18"/>
        <v>48.496315696545963</v>
      </c>
      <c r="AN51" s="483">
        <f t="shared" si="18"/>
        <v>48.614559135690349</v>
      </c>
      <c r="AO51" s="483">
        <f t="shared" si="18"/>
        <v>48.73235982855357</v>
      </c>
      <c r="AP51" s="483">
        <f t="shared" si="18"/>
        <v>48.849720536660548</v>
      </c>
      <c r="AQ51" s="483">
        <f t="shared" si="18"/>
        <v>49.024574818868821</v>
      </c>
      <c r="AR51" s="483">
        <f t="shared" si="18"/>
        <v>49.198719487894593</v>
      </c>
      <c r="AS51" s="483">
        <f t="shared" si="18"/>
        <v>49.372158440659689</v>
      </c>
      <c r="AT51" s="483">
        <f t="shared" si="18"/>
        <v>49.544895527221009</v>
      </c>
      <c r="AU51" s="483">
        <f t="shared" si="18"/>
        <v>49.716934551280723</v>
      </c>
      <c r="AV51" s="484">
        <v>5</v>
      </c>
      <c r="BA51" s="597"/>
      <c r="BB51" s="597"/>
    </row>
    <row r="52" spans="1:55" ht="15">
      <c r="B52" s="8" t="str">
        <f>Processes!D51</f>
        <v>IMPCRN</v>
      </c>
      <c r="C52" s="8" t="str">
        <f>Processes!E51</f>
        <v>Import technology - Corn</v>
      </c>
      <c r="D52" s="216"/>
      <c r="E52" s="216" t="str">
        <f t="shared" si="4"/>
        <v>CRN</v>
      </c>
      <c r="F52" s="1119" t="str">
        <f t="shared" si="5"/>
        <v>MKr14</v>
      </c>
      <c r="G52" s="483">
        <f t="shared" ref="G52:P55" si="19">IFERROR(INDEX($G$122:$AU$177,MATCH($E52,$E$122:$E$177,0),MATCH(G$6,$G$121:$AU$121,0)),0)</f>
        <v>72.400000000000006</v>
      </c>
      <c r="H52" s="483">
        <f t="shared" si="19"/>
        <v>72.400000000000006</v>
      </c>
      <c r="I52" s="483">
        <f t="shared" si="19"/>
        <v>72.400000000000006</v>
      </c>
      <c r="J52" s="483">
        <f t="shared" si="19"/>
        <v>72.400000000000006</v>
      </c>
      <c r="K52" s="483">
        <f t="shared" si="19"/>
        <v>72.400000000000006</v>
      </c>
      <c r="L52" s="483">
        <f t="shared" si="19"/>
        <v>72.400000000000006</v>
      </c>
      <c r="M52" s="483">
        <f t="shared" si="19"/>
        <v>72.400000000000006</v>
      </c>
      <c r="N52" s="483">
        <f t="shared" si="19"/>
        <v>72.400000000000006</v>
      </c>
      <c r="O52" s="483">
        <f t="shared" si="19"/>
        <v>72.400000000000006</v>
      </c>
      <c r="P52" s="483">
        <f t="shared" si="19"/>
        <v>72.400000000000006</v>
      </c>
      <c r="Q52" s="483">
        <f t="shared" ref="Q52:Z55" si="20">IFERROR(INDEX($G$122:$AU$177,MATCH($E52,$E$122:$E$177,0),MATCH(Q$6,$G$121:$AU$121,0)),0)</f>
        <v>72.400000000000006</v>
      </c>
      <c r="R52" s="483">
        <f t="shared" si="20"/>
        <v>72.400000000000006</v>
      </c>
      <c r="S52" s="483">
        <f t="shared" si="20"/>
        <v>72.400000000000006</v>
      </c>
      <c r="T52" s="483">
        <f t="shared" si="20"/>
        <v>72.400000000000006</v>
      </c>
      <c r="U52" s="483">
        <f t="shared" si="20"/>
        <v>72.400000000000006</v>
      </c>
      <c r="V52" s="483">
        <f t="shared" si="20"/>
        <v>72.400000000000006</v>
      </c>
      <c r="W52" s="483">
        <f t="shared" si="20"/>
        <v>72.400000000000006</v>
      </c>
      <c r="X52" s="483">
        <f t="shared" si="20"/>
        <v>72.400000000000006</v>
      </c>
      <c r="Y52" s="483">
        <f t="shared" si="20"/>
        <v>72.400000000000006</v>
      </c>
      <c r="Z52" s="483">
        <f t="shared" si="20"/>
        <v>72.400000000000006</v>
      </c>
      <c r="AA52" s="483">
        <f t="shared" ref="AA52:AJ55" si="21">IFERROR(INDEX($G$122:$AU$177,MATCH($E52,$E$122:$E$177,0),MATCH(AA$6,$G$121:$AU$121,0)),0)</f>
        <v>72.400000000000006</v>
      </c>
      <c r="AB52" s="483">
        <f t="shared" si="21"/>
        <v>72.400000000000006</v>
      </c>
      <c r="AC52" s="483">
        <f t="shared" si="21"/>
        <v>72.400000000000006</v>
      </c>
      <c r="AD52" s="483">
        <f t="shared" si="21"/>
        <v>72.400000000000006</v>
      </c>
      <c r="AE52" s="483">
        <f t="shared" si="21"/>
        <v>72.400000000000006</v>
      </c>
      <c r="AF52" s="483">
        <f t="shared" si="21"/>
        <v>72.400000000000006</v>
      </c>
      <c r="AG52" s="483">
        <f t="shared" si="21"/>
        <v>72.400000000000006</v>
      </c>
      <c r="AH52" s="483">
        <f t="shared" si="21"/>
        <v>72.400000000000006</v>
      </c>
      <c r="AI52" s="483">
        <f t="shared" si="21"/>
        <v>72.400000000000006</v>
      </c>
      <c r="AJ52" s="483">
        <f t="shared" si="21"/>
        <v>72.400000000000006</v>
      </c>
      <c r="AK52" s="483">
        <f t="shared" ref="AK52:AU55" si="22">IFERROR(INDEX($G$122:$AU$177,MATCH($E52,$E$122:$E$177,0),MATCH(AK$6,$G$121:$AU$121,0)),0)</f>
        <v>72.400000000000006</v>
      </c>
      <c r="AL52" s="483">
        <f t="shared" si="22"/>
        <v>72.400000000000006</v>
      </c>
      <c r="AM52" s="483">
        <f t="shared" si="22"/>
        <v>72.400000000000006</v>
      </c>
      <c r="AN52" s="483">
        <f t="shared" si="22"/>
        <v>72.400000000000006</v>
      </c>
      <c r="AO52" s="483">
        <f t="shared" si="22"/>
        <v>72.400000000000006</v>
      </c>
      <c r="AP52" s="483">
        <f t="shared" si="22"/>
        <v>72.400000000000006</v>
      </c>
      <c r="AQ52" s="483">
        <f t="shared" si="22"/>
        <v>72.400000000000006</v>
      </c>
      <c r="AR52" s="483">
        <f t="shared" si="22"/>
        <v>72.400000000000006</v>
      </c>
      <c r="AS52" s="483">
        <f t="shared" si="22"/>
        <v>72.400000000000006</v>
      </c>
      <c r="AT52" s="483">
        <f t="shared" si="22"/>
        <v>72.400000000000006</v>
      </c>
      <c r="AU52" s="483">
        <f t="shared" si="22"/>
        <v>72.400000000000006</v>
      </c>
      <c r="AV52" s="484">
        <v>5</v>
      </c>
      <c r="BA52" s="597"/>
      <c r="BB52" s="597"/>
      <c r="BC52" s="597"/>
    </row>
    <row r="53" spans="1:55" ht="15">
      <c r="B53" s="8" t="str">
        <f>Processes!D52</f>
        <v>IMPRPS</v>
      </c>
      <c r="C53" s="8" t="str">
        <f>Processes!E52</f>
        <v>Import technology - Rapeseed</v>
      </c>
      <c r="D53" s="216"/>
      <c r="E53" s="216" t="str">
        <f t="shared" si="4"/>
        <v>RPS</v>
      </c>
      <c r="F53" s="1119" t="str">
        <f t="shared" si="5"/>
        <v>MKr14</v>
      </c>
      <c r="G53" s="483">
        <f t="shared" si="19"/>
        <v>101.7</v>
      </c>
      <c r="H53" s="483">
        <f t="shared" si="19"/>
        <v>101.7</v>
      </c>
      <c r="I53" s="483">
        <f t="shared" si="19"/>
        <v>101.7</v>
      </c>
      <c r="J53" s="483">
        <f t="shared" si="19"/>
        <v>101.7</v>
      </c>
      <c r="K53" s="483">
        <f t="shared" si="19"/>
        <v>101.7</v>
      </c>
      <c r="L53" s="483">
        <f t="shared" si="19"/>
        <v>101.7</v>
      </c>
      <c r="M53" s="483">
        <f t="shared" si="19"/>
        <v>101.7</v>
      </c>
      <c r="N53" s="483">
        <f t="shared" si="19"/>
        <v>101.7</v>
      </c>
      <c r="O53" s="483">
        <f t="shared" si="19"/>
        <v>101.7</v>
      </c>
      <c r="P53" s="483">
        <f t="shared" si="19"/>
        <v>101.7</v>
      </c>
      <c r="Q53" s="483">
        <f t="shared" si="20"/>
        <v>101.7</v>
      </c>
      <c r="R53" s="483">
        <f t="shared" si="20"/>
        <v>101.7</v>
      </c>
      <c r="S53" s="483">
        <f t="shared" si="20"/>
        <v>101.7</v>
      </c>
      <c r="T53" s="483">
        <f t="shared" si="20"/>
        <v>101.7</v>
      </c>
      <c r="U53" s="483">
        <f t="shared" si="20"/>
        <v>101.7</v>
      </c>
      <c r="V53" s="483">
        <f t="shared" si="20"/>
        <v>101.7</v>
      </c>
      <c r="W53" s="483">
        <f t="shared" si="20"/>
        <v>101.7</v>
      </c>
      <c r="X53" s="483">
        <f t="shared" si="20"/>
        <v>101.7</v>
      </c>
      <c r="Y53" s="483">
        <f t="shared" si="20"/>
        <v>101.7</v>
      </c>
      <c r="Z53" s="483">
        <f t="shared" si="20"/>
        <v>101.7</v>
      </c>
      <c r="AA53" s="483">
        <f t="shared" si="21"/>
        <v>101.7</v>
      </c>
      <c r="AB53" s="483">
        <f t="shared" si="21"/>
        <v>101.7</v>
      </c>
      <c r="AC53" s="483">
        <f t="shared" si="21"/>
        <v>101.7</v>
      </c>
      <c r="AD53" s="483">
        <f t="shared" si="21"/>
        <v>101.7</v>
      </c>
      <c r="AE53" s="483">
        <f t="shared" si="21"/>
        <v>101.7</v>
      </c>
      <c r="AF53" s="483">
        <f t="shared" si="21"/>
        <v>101.7</v>
      </c>
      <c r="AG53" s="483">
        <f t="shared" si="21"/>
        <v>101.7</v>
      </c>
      <c r="AH53" s="483">
        <f t="shared" si="21"/>
        <v>101.7</v>
      </c>
      <c r="AI53" s="483">
        <f t="shared" si="21"/>
        <v>101.7</v>
      </c>
      <c r="AJ53" s="483">
        <f t="shared" si="21"/>
        <v>101.7</v>
      </c>
      <c r="AK53" s="483">
        <f t="shared" si="22"/>
        <v>101.7</v>
      </c>
      <c r="AL53" s="483">
        <f t="shared" si="22"/>
        <v>101.7</v>
      </c>
      <c r="AM53" s="483">
        <f t="shared" si="22"/>
        <v>101.7</v>
      </c>
      <c r="AN53" s="483">
        <f t="shared" si="22"/>
        <v>101.7</v>
      </c>
      <c r="AO53" s="483">
        <f t="shared" si="22"/>
        <v>101.7</v>
      </c>
      <c r="AP53" s="483">
        <f t="shared" si="22"/>
        <v>101.7</v>
      </c>
      <c r="AQ53" s="483">
        <f t="shared" si="22"/>
        <v>101.7</v>
      </c>
      <c r="AR53" s="483">
        <f t="shared" si="22"/>
        <v>101.7</v>
      </c>
      <c r="AS53" s="483">
        <f t="shared" si="22"/>
        <v>101.7</v>
      </c>
      <c r="AT53" s="483">
        <f t="shared" si="22"/>
        <v>101.7</v>
      </c>
      <c r="AU53" s="483">
        <f t="shared" si="22"/>
        <v>101.7</v>
      </c>
      <c r="AV53" s="484">
        <v>5</v>
      </c>
      <c r="BA53" s="597"/>
      <c r="BB53" s="597"/>
      <c r="BC53" s="597"/>
    </row>
    <row r="54" spans="1:55" ht="15">
      <c r="B54" s="8" t="str">
        <f>Processes!D53</f>
        <v>IMPSGB</v>
      </c>
      <c r="C54" s="8" t="str">
        <f>Processes!E53</f>
        <v>Import technology - Sugar Beet</v>
      </c>
      <c r="D54" s="1"/>
      <c r="E54" s="216" t="str">
        <f>IF(LEN(B54)=6,RIGHT(B54,3),RIGHT(B54,4))</f>
        <v>SGB</v>
      </c>
      <c r="F54" s="1119" t="str">
        <f t="shared" si="5"/>
        <v>MKr14</v>
      </c>
      <c r="G54" s="483">
        <f t="shared" si="19"/>
        <v>10.6</v>
      </c>
      <c r="H54" s="483">
        <f t="shared" si="19"/>
        <v>10.6</v>
      </c>
      <c r="I54" s="483">
        <f t="shared" si="19"/>
        <v>10.6</v>
      </c>
      <c r="J54" s="483">
        <f t="shared" si="19"/>
        <v>10.6</v>
      </c>
      <c r="K54" s="483">
        <f t="shared" si="19"/>
        <v>10.6</v>
      </c>
      <c r="L54" s="483">
        <f t="shared" si="19"/>
        <v>10.6</v>
      </c>
      <c r="M54" s="483">
        <f t="shared" si="19"/>
        <v>10.6</v>
      </c>
      <c r="N54" s="483">
        <f t="shared" si="19"/>
        <v>10.6</v>
      </c>
      <c r="O54" s="483">
        <f t="shared" si="19"/>
        <v>10.6</v>
      </c>
      <c r="P54" s="483">
        <f t="shared" si="19"/>
        <v>10.6</v>
      </c>
      <c r="Q54" s="483">
        <f t="shared" si="20"/>
        <v>10.6</v>
      </c>
      <c r="R54" s="483">
        <f t="shared" si="20"/>
        <v>10.6</v>
      </c>
      <c r="S54" s="483">
        <f t="shared" si="20"/>
        <v>10.6</v>
      </c>
      <c r="T54" s="483">
        <f t="shared" si="20"/>
        <v>10.6</v>
      </c>
      <c r="U54" s="483">
        <f t="shared" si="20"/>
        <v>10.6</v>
      </c>
      <c r="V54" s="483">
        <f t="shared" si="20"/>
        <v>10.6</v>
      </c>
      <c r="W54" s="483">
        <f t="shared" si="20"/>
        <v>10.6</v>
      </c>
      <c r="X54" s="483">
        <f t="shared" si="20"/>
        <v>10.6</v>
      </c>
      <c r="Y54" s="483">
        <f t="shared" si="20"/>
        <v>10.6</v>
      </c>
      <c r="Z54" s="483">
        <f t="shared" si="20"/>
        <v>10.6</v>
      </c>
      <c r="AA54" s="483">
        <f t="shared" si="21"/>
        <v>10.6</v>
      </c>
      <c r="AB54" s="483">
        <f t="shared" si="21"/>
        <v>10.6</v>
      </c>
      <c r="AC54" s="483">
        <f t="shared" si="21"/>
        <v>10.6</v>
      </c>
      <c r="AD54" s="483">
        <f t="shared" si="21"/>
        <v>10.6</v>
      </c>
      <c r="AE54" s="483">
        <f t="shared" si="21"/>
        <v>10.6</v>
      </c>
      <c r="AF54" s="483">
        <f t="shared" si="21"/>
        <v>10.6</v>
      </c>
      <c r="AG54" s="483">
        <f t="shared" si="21"/>
        <v>10.6</v>
      </c>
      <c r="AH54" s="483">
        <f t="shared" si="21"/>
        <v>10.6</v>
      </c>
      <c r="AI54" s="483">
        <f t="shared" si="21"/>
        <v>10.6</v>
      </c>
      <c r="AJ54" s="483">
        <f t="shared" si="21"/>
        <v>10.6</v>
      </c>
      <c r="AK54" s="483">
        <f t="shared" si="22"/>
        <v>10.6</v>
      </c>
      <c r="AL54" s="483">
        <f t="shared" si="22"/>
        <v>10.6</v>
      </c>
      <c r="AM54" s="483">
        <f t="shared" si="22"/>
        <v>10.6</v>
      </c>
      <c r="AN54" s="483">
        <f t="shared" si="22"/>
        <v>10.6</v>
      </c>
      <c r="AO54" s="483">
        <f t="shared" si="22"/>
        <v>10.6</v>
      </c>
      <c r="AP54" s="483">
        <f t="shared" si="22"/>
        <v>10.6</v>
      </c>
      <c r="AQ54" s="483">
        <f t="shared" si="22"/>
        <v>10.6</v>
      </c>
      <c r="AR54" s="483">
        <f t="shared" si="22"/>
        <v>10.6</v>
      </c>
      <c r="AS54" s="483">
        <f t="shared" si="22"/>
        <v>10.6</v>
      </c>
      <c r="AT54" s="483">
        <f t="shared" si="22"/>
        <v>10.6</v>
      </c>
      <c r="AU54" s="483">
        <f t="shared" si="22"/>
        <v>10.6</v>
      </c>
      <c r="AV54" s="484">
        <v>5</v>
      </c>
      <c r="BA54" s="597"/>
      <c r="BB54" s="597"/>
      <c r="BC54" s="597"/>
    </row>
    <row r="55" spans="1:55" ht="15">
      <c r="A55" s="1"/>
      <c r="B55" s="8" t="str">
        <f>Processes!D54</f>
        <v>IMPDLI</v>
      </c>
      <c r="C55" s="8" t="str">
        <f>Processes!E54</f>
        <v>Import technology - Deep Litter</v>
      </c>
      <c r="D55" s="1"/>
      <c r="E55" s="216" t="str">
        <f t="shared" ref="E55:E75" si="23">IF(LEN(B55)=6,RIGHT(B55,3),RIGHT(B55,4))</f>
        <v>DLI</v>
      </c>
      <c r="F55" s="1119" t="str">
        <f t="shared" si="5"/>
        <v>MKr14</v>
      </c>
      <c r="G55" s="483">
        <f t="shared" si="19"/>
        <v>0.01</v>
      </c>
      <c r="H55" s="483">
        <f t="shared" si="19"/>
        <v>0.01</v>
      </c>
      <c r="I55" s="483">
        <f t="shared" si="19"/>
        <v>0.01</v>
      </c>
      <c r="J55" s="483">
        <f t="shared" si="19"/>
        <v>0.01</v>
      </c>
      <c r="K55" s="483">
        <f t="shared" si="19"/>
        <v>0.01</v>
      </c>
      <c r="L55" s="483">
        <f t="shared" si="19"/>
        <v>0.01</v>
      </c>
      <c r="M55" s="483">
        <f t="shared" si="19"/>
        <v>0.01</v>
      </c>
      <c r="N55" s="483">
        <f t="shared" si="19"/>
        <v>0.01</v>
      </c>
      <c r="O55" s="483">
        <f t="shared" si="19"/>
        <v>0.01</v>
      </c>
      <c r="P55" s="483">
        <f t="shared" si="19"/>
        <v>0.01</v>
      </c>
      <c r="Q55" s="483">
        <f t="shared" si="20"/>
        <v>0.01</v>
      </c>
      <c r="R55" s="483">
        <f t="shared" si="20"/>
        <v>0.01</v>
      </c>
      <c r="S55" s="483">
        <f t="shared" si="20"/>
        <v>0.01</v>
      </c>
      <c r="T55" s="483">
        <f t="shared" si="20"/>
        <v>0.01</v>
      </c>
      <c r="U55" s="483">
        <f t="shared" si="20"/>
        <v>0.01</v>
      </c>
      <c r="V55" s="483">
        <f t="shared" si="20"/>
        <v>0.01</v>
      </c>
      <c r="W55" s="483">
        <f t="shared" si="20"/>
        <v>0.01</v>
      </c>
      <c r="X55" s="483">
        <f t="shared" si="20"/>
        <v>0.01</v>
      </c>
      <c r="Y55" s="483">
        <f t="shared" si="20"/>
        <v>0.01</v>
      </c>
      <c r="Z55" s="483">
        <f t="shared" si="20"/>
        <v>0.01</v>
      </c>
      <c r="AA55" s="483">
        <f t="shared" si="21"/>
        <v>0.01</v>
      </c>
      <c r="AB55" s="483">
        <f t="shared" si="21"/>
        <v>0.01</v>
      </c>
      <c r="AC55" s="483">
        <f t="shared" si="21"/>
        <v>0.01</v>
      </c>
      <c r="AD55" s="483">
        <f t="shared" si="21"/>
        <v>0.01</v>
      </c>
      <c r="AE55" s="483">
        <f t="shared" si="21"/>
        <v>0.01</v>
      </c>
      <c r="AF55" s="483">
        <f t="shared" si="21"/>
        <v>0.01</v>
      </c>
      <c r="AG55" s="483">
        <f t="shared" si="21"/>
        <v>0.01</v>
      </c>
      <c r="AH55" s="483">
        <f t="shared" si="21"/>
        <v>0.01</v>
      </c>
      <c r="AI55" s="483">
        <f t="shared" si="21"/>
        <v>0.01</v>
      </c>
      <c r="AJ55" s="483">
        <f t="shared" si="21"/>
        <v>0.01</v>
      </c>
      <c r="AK55" s="483">
        <f t="shared" si="22"/>
        <v>0.01</v>
      </c>
      <c r="AL55" s="483">
        <f t="shared" si="22"/>
        <v>0.01</v>
      </c>
      <c r="AM55" s="483">
        <f t="shared" si="22"/>
        <v>0.01</v>
      </c>
      <c r="AN55" s="483">
        <f t="shared" si="22"/>
        <v>0.01</v>
      </c>
      <c r="AO55" s="483">
        <f t="shared" si="22"/>
        <v>0.01</v>
      </c>
      <c r="AP55" s="483">
        <f t="shared" si="22"/>
        <v>0.01</v>
      </c>
      <c r="AQ55" s="483">
        <f t="shared" si="22"/>
        <v>0.01</v>
      </c>
      <c r="AR55" s="483">
        <f t="shared" si="22"/>
        <v>0.01</v>
      </c>
      <c r="AS55" s="483">
        <f t="shared" si="22"/>
        <v>0.01</v>
      </c>
      <c r="AT55" s="483">
        <f t="shared" si="22"/>
        <v>0.01</v>
      </c>
      <c r="AU55" s="483">
        <f t="shared" si="22"/>
        <v>0.01</v>
      </c>
      <c r="AV55" s="484">
        <v>5</v>
      </c>
      <c r="BA55" s="597"/>
      <c r="BB55" s="597"/>
      <c r="BC55" s="597"/>
    </row>
    <row r="56" spans="1:55" ht="15">
      <c r="B56" s="560" t="str">
        <f>Processes!D55</f>
        <v>IMPMNR</v>
      </c>
      <c r="C56" s="560" t="str">
        <f>Processes!E55</f>
        <v>Import technology - Manure (Gylle)</v>
      </c>
      <c r="D56" s="525"/>
      <c r="E56" s="561" t="str">
        <f t="shared" si="23"/>
        <v>MNR</v>
      </c>
      <c r="F56" s="1119" t="str">
        <f t="shared" si="5"/>
        <v>MKr14</v>
      </c>
      <c r="G56" s="562">
        <f t="shared" ref="G56:P57" si="24">IFERROR(INDEX($G$122:$AU$177,MATCH($E56,$E$122:$E$177,0),MATCH(G$6,$G$121:$AU$121,0)),0)*$E$189</f>
        <v>5.0000000000000001E-3</v>
      </c>
      <c r="H56" s="562">
        <f t="shared" si="24"/>
        <v>5.0000000000000001E-3</v>
      </c>
      <c r="I56" s="562">
        <f t="shared" si="24"/>
        <v>5.0000000000000001E-3</v>
      </c>
      <c r="J56" s="562">
        <f t="shared" si="24"/>
        <v>5.0000000000000001E-3</v>
      </c>
      <c r="K56" s="562">
        <f t="shared" si="24"/>
        <v>5.0000000000000001E-3</v>
      </c>
      <c r="L56" s="562">
        <f t="shared" si="24"/>
        <v>5.0000000000000001E-3</v>
      </c>
      <c r="M56" s="562">
        <f t="shared" si="24"/>
        <v>5.0000000000000001E-3</v>
      </c>
      <c r="N56" s="562">
        <f t="shared" si="24"/>
        <v>5.0000000000000001E-3</v>
      </c>
      <c r="O56" s="562">
        <f t="shared" si="24"/>
        <v>5.0000000000000001E-3</v>
      </c>
      <c r="P56" s="562">
        <f t="shared" si="24"/>
        <v>5.0000000000000001E-3</v>
      </c>
      <c r="Q56" s="562">
        <f t="shared" ref="Q56:Z57" si="25">IFERROR(INDEX($G$122:$AU$177,MATCH($E56,$E$122:$E$177,0),MATCH(Q$6,$G$121:$AU$121,0)),0)*$E$189</f>
        <v>5.0000000000000001E-3</v>
      </c>
      <c r="R56" s="562">
        <f t="shared" si="25"/>
        <v>5.0000000000000001E-3</v>
      </c>
      <c r="S56" s="562">
        <f t="shared" si="25"/>
        <v>5.0000000000000001E-3</v>
      </c>
      <c r="T56" s="562">
        <f t="shared" si="25"/>
        <v>5.0000000000000001E-3</v>
      </c>
      <c r="U56" s="562">
        <f t="shared" si="25"/>
        <v>5.0000000000000001E-3</v>
      </c>
      <c r="V56" s="562">
        <f t="shared" si="25"/>
        <v>5.0000000000000001E-3</v>
      </c>
      <c r="W56" s="562">
        <f t="shared" si="25"/>
        <v>5.0000000000000001E-3</v>
      </c>
      <c r="X56" s="562">
        <f t="shared" si="25"/>
        <v>5.0000000000000001E-3</v>
      </c>
      <c r="Y56" s="562">
        <f t="shared" si="25"/>
        <v>5.0000000000000001E-3</v>
      </c>
      <c r="Z56" s="562">
        <f t="shared" si="25"/>
        <v>5.0000000000000001E-3</v>
      </c>
      <c r="AA56" s="562">
        <f t="shared" ref="AA56:AJ57" si="26">IFERROR(INDEX($G$122:$AU$177,MATCH($E56,$E$122:$E$177,0),MATCH(AA$6,$G$121:$AU$121,0)),0)*$E$189</f>
        <v>5.0000000000000001E-3</v>
      </c>
      <c r="AB56" s="562">
        <f t="shared" si="26"/>
        <v>5.0000000000000001E-3</v>
      </c>
      <c r="AC56" s="562">
        <f t="shared" si="26"/>
        <v>5.0000000000000001E-3</v>
      </c>
      <c r="AD56" s="562">
        <f t="shared" si="26"/>
        <v>5.0000000000000001E-3</v>
      </c>
      <c r="AE56" s="562">
        <f t="shared" si="26"/>
        <v>5.0000000000000001E-3</v>
      </c>
      <c r="AF56" s="562">
        <f t="shared" si="26"/>
        <v>5.0000000000000001E-3</v>
      </c>
      <c r="AG56" s="562">
        <f t="shared" si="26"/>
        <v>5.0000000000000001E-3</v>
      </c>
      <c r="AH56" s="562">
        <f t="shared" si="26"/>
        <v>5.0000000000000001E-3</v>
      </c>
      <c r="AI56" s="562">
        <f t="shared" si="26"/>
        <v>5.0000000000000001E-3</v>
      </c>
      <c r="AJ56" s="562">
        <f t="shared" si="26"/>
        <v>5.0000000000000001E-3</v>
      </c>
      <c r="AK56" s="562">
        <f t="shared" ref="AK56:AU57" si="27">IFERROR(INDEX($G$122:$AU$177,MATCH($E56,$E$122:$E$177,0),MATCH(AK$6,$G$121:$AU$121,0)),0)*$E$189</f>
        <v>5.0000000000000001E-3</v>
      </c>
      <c r="AL56" s="562">
        <f t="shared" si="27"/>
        <v>5.0000000000000001E-3</v>
      </c>
      <c r="AM56" s="562">
        <f t="shared" si="27"/>
        <v>5.0000000000000001E-3</v>
      </c>
      <c r="AN56" s="562">
        <f t="shared" si="27"/>
        <v>5.0000000000000001E-3</v>
      </c>
      <c r="AO56" s="562">
        <f t="shared" si="27"/>
        <v>5.0000000000000001E-3</v>
      </c>
      <c r="AP56" s="562">
        <f t="shared" si="27"/>
        <v>5.0000000000000001E-3</v>
      </c>
      <c r="AQ56" s="562">
        <f t="shared" si="27"/>
        <v>5.0000000000000001E-3</v>
      </c>
      <c r="AR56" s="562">
        <f t="shared" si="27"/>
        <v>5.0000000000000001E-3</v>
      </c>
      <c r="AS56" s="562">
        <f t="shared" si="27"/>
        <v>5.0000000000000001E-3</v>
      </c>
      <c r="AT56" s="562">
        <f t="shared" si="27"/>
        <v>5.0000000000000001E-3</v>
      </c>
      <c r="AU56" s="562">
        <f t="shared" si="27"/>
        <v>5.0000000000000001E-3</v>
      </c>
      <c r="AV56" s="484">
        <v>5</v>
      </c>
      <c r="BA56" s="597"/>
      <c r="BB56" s="597"/>
      <c r="BC56" s="597"/>
    </row>
    <row r="57" spans="1:55" ht="15">
      <c r="B57" s="8" t="str">
        <f>Processes!D71</f>
        <v>MINWST</v>
      </c>
      <c r="C57" s="8" t="str">
        <f>Processes!E71</f>
        <v>Mining technology - Waste</v>
      </c>
      <c r="E57" s="216" t="str">
        <f t="shared" si="23"/>
        <v>WST</v>
      </c>
      <c r="F57" s="1119" t="str">
        <f t="shared" si="5"/>
        <v>MKr14</v>
      </c>
      <c r="G57" s="483">
        <f t="shared" si="24"/>
        <v>0.05</v>
      </c>
      <c r="H57" s="483">
        <f t="shared" si="24"/>
        <v>0.05</v>
      </c>
      <c r="I57" s="483">
        <f t="shared" si="24"/>
        <v>0.05</v>
      </c>
      <c r="J57" s="483">
        <f t="shared" si="24"/>
        <v>0.05</v>
      </c>
      <c r="K57" s="483">
        <f t="shared" si="24"/>
        <v>0.05</v>
      </c>
      <c r="L57" s="483">
        <f t="shared" si="24"/>
        <v>0.05</v>
      </c>
      <c r="M57" s="483">
        <f t="shared" si="24"/>
        <v>0.05</v>
      </c>
      <c r="N57" s="483">
        <f t="shared" si="24"/>
        <v>0.05</v>
      </c>
      <c r="O57" s="483">
        <f t="shared" si="24"/>
        <v>0.05</v>
      </c>
      <c r="P57" s="483">
        <f t="shared" si="24"/>
        <v>0.05</v>
      </c>
      <c r="Q57" s="483">
        <f t="shared" si="25"/>
        <v>0.05</v>
      </c>
      <c r="R57" s="483">
        <f t="shared" si="25"/>
        <v>0.05</v>
      </c>
      <c r="S57" s="483">
        <f t="shared" si="25"/>
        <v>0.05</v>
      </c>
      <c r="T57" s="483">
        <f t="shared" si="25"/>
        <v>0.05</v>
      </c>
      <c r="U57" s="483">
        <f t="shared" si="25"/>
        <v>0.05</v>
      </c>
      <c r="V57" s="483">
        <f t="shared" si="25"/>
        <v>0.05</v>
      </c>
      <c r="W57" s="483">
        <f t="shared" si="25"/>
        <v>0.05</v>
      </c>
      <c r="X57" s="483">
        <f t="shared" si="25"/>
        <v>0.05</v>
      </c>
      <c r="Y57" s="483">
        <f t="shared" si="25"/>
        <v>0.05</v>
      </c>
      <c r="Z57" s="483">
        <f t="shared" si="25"/>
        <v>0.05</v>
      </c>
      <c r="AA57" s="483">
        <f t="shared" si="26"/>
        <v>0.05</v>
      </c>
      <c r="AB57" s="483">
        <f t="shared" si="26"/>
        <v>0.05</v>
      </c>
      <c r="AC57" s="483">
        <f t="shared" si="26"/>
        <v>0.05</v>
      </c>
      <c r="AD57" s="483">
        <f t="shared" si="26"/>
        <v>0.05</v>
      </c>
      <c r="AE57" s="483">
        <f t="shared" si="26"/>
        <v>0.05</v>
      </c>
      <c r="AF57" s="483">
        <f t="shared" si="26"/>
        <v>0.05</v>
      </c>
      <c r="AG57" s="483">
        <f t="shared" si="26"/>
        <v>0.05</v>
      </c>
      <c r="AH57" s="483">
        <f t="shared" si="26"/>
        <v>0.05</v>
      </c>
      <c r="AI57" s="483">
        <f t="shared" si="26"/>
        <v>0.05</v>
      </c>
      <c r="AJ57" s="483">
        <f t="shared" si="26"/>
        <v>0.05</v>
      </c>
      <c r="AK57" s="483">
        <f t="shared" si="27"/>
        <v>0.05</v>
      </c>
      <c r="AL57" s="483">
        <f t="shared" si="27"/>
        <v>0.05</v>
      </c>
      <c r="AM57" s="483">
        <f t="shared" si="27"/>
        <v>0.05</v>
      </c>
      <c r="AN57" s="483">
        <f t="shared" si="27"/>
        <v>0.05</v>
      </c>
      <c r="AO57" s="483">
        <f t="shared" si="27"/>
        <v>0.05</v>
      </c>
      <c r="AP57" s="483">
        <f t="shared" si="27"/>
        <v>0.05</v>
      </c>
      <c r="AQ57" s="483">
        <f t="shared" si="27"/>
        <v>0.05</v>
      </c>
      <c r="AR57" s="483">
        <f t="shared" si="27"/>
        <v>0.05</v>
      </c>
      <c r="AS57" s="483">
        <f t="shared" si="27"/>
        <v>0.05</v>
      </c>
      <c r="AT57" s="483">
        <f t="shared" si="27"/>
        <v>0.05</v>
      </c>
      <c r="AU57" s="483">
        <f t="shared" si="27"/>
        <v>0.05</v>
      </c>
      <c r="AV57" s="484">
        <v>5</v>
      </c>
      <c r="BA57" s="597"/>
      <c r="BB57" s="597"/>
    </row>
    <row r="58" spans="1:55" ht="15">
      <c r="B58" s="8" t="str">
        <f>Processes!D72</f>
        <v>MINSTR</v>
      </c>
      <c r="C58" s="8" t="str">
        <f>Processes!E72</f>
        <v>Mining technology - Straw</v>
      </c>
      <c r="E58" s="216" t="str">
        <f t="shared" si="23"/>
        <v>STR</v>
      </c>
      <c r="F58" s="1119" t="str">
        <f t="shared" si="5"/>
        <v>MKr19</v>
      </c>
      <c r="G58" s="483">
        <f t="shared" ref="G58:G67" si="28">IFERROR(INDEX($G$122:$AU$177,MATCH($E58,$E$122:$E$177,0),MATCH(G$6,$G$121:$AU$121,0)),0)*$E$188</f>
        <v>39.424999999999997</v>
      </c>
      <c r="H58" s="483">
        <f t="shared" ref="H58:AU64" si="29">IFERROR(INDEX($G$122:$AU$177,MATCH($E58,$E$122:$E$177,0),MATCH(H$6,$G$121:$AU$121,0)),0)*$E$188</f>
        <v>39.424999999999997</v>
      </c>
      <c r="I58" s="483">
        <f t="shared" si="29"/>
        <v>39.424999999999997</v>
      </c>
      <c r="J58" s="483">
        <f t="shared" si="29"/>
        <v>39.14</v>
      </c>
      <c r="K58" s="483">
        <f t="shared" si="29"/>
        <v>38.76</v>
      </c>
      <c r="L58" s="483">
        <f t="shared" si="29"/>
        <v>38.475000000000001</v>
      </c>
      <c r="M58" s="483">
        <f t="shared" si="29"/>
        <v>38.854999999999997</v>
      </c>
      <c r="N58" s="483">
        <f t="shared" si="29"/>
        <v>39.33</v>
      </c>
      <c r="O58" s="483">
        <f t="shared" si="29"/>
        <v>39.553153152572932</v>
      </c>
      <c r="P58" s="483">
        <f t="shared" si="29"/>
        <v>39.553153152572932</v>
      </c>
      <c r="Q58" s="483">
        <f t="shared" si="29"/>
        <v>39.864326651741912</v>
      </c>
      <c r="R58" s="483">
        <f t="shared" si="29"/>
        <v>40.257118427780526</v>
      </c>
      <c r="S58" s="483">
        <f t="shared" si="29"/>
        <v>40.651641238518096</v>
      </c>
      <c r="T58" s="483">
        <f t="shared" si="29"/>
        <v>41.047775314379273</v>
      </c>
      <c r="U58" s="483">
        <f t="shared" si="29"/>
        <v>41.44540255411399</v>
      </c>
      <c r="V58" s="483">
        <f t="shared" si="29"/>
        <v>41.844406507497993</v>
      </c>
      <c r="W58" s="483">
        <f t="shared" si="29"/>
        <v>42.088317707337325</v>
      </c>
      <c r="X58" s="483">
        <f t="shared" si="29"/>
        <v>42.332426018634543</v>
      </c>
      <c r="Y58" s="483">
        <f t="shared" si="29"/>
        <v>42.576727554498127</v>
      </c>
      <c r="Z58" s="483">
        <f t="shared" si="29"/>
        <v>42.821218468877682</v>
      </c>
      <c r="AA58" s="483">
        <f t="shared" si="29"/>
        <v>43.065894956074864</v>
      </c>
      <c r="AB58" s="483">
        <f t="shared" si="29"/>
        <v>43.272067061620987</v>
      </c>
      <c r="AC58" s="483">
        <f t="shared" si="29"/>
        <v>43.478503697166701</v>
      </c>
      <c r="AD58" s="483">
        <f t="shared" si="29"/>
        <v>43.63940004633902</v>
      </c>
      <c r="AE58" s="483">
        <f t="shared" si="29"/>
        <v>43.787387959191499</v>
      </c>
      <c r="AF58" s="483">
        <f t="shared" si="29"/>
        <v>43.935341188637722</v>
      </c>
      <c r="AG58" s="483">
        <f t="shared" si="29"/>
        <v>44.070978690732581</v>
      </c>
      <c r="AH58" s="483">
        <f t="shared" si="29"/>
        <v>44.206575683566093</v>
      </c>
      <c r="AI58" s="483">
        <f t="shared" si="29"/>
        <v>44.342131579988035</v>
      </c>
      <c r="AJ58" s="483">
        <f t="shared" si="29"/>
        <v>44.477645798455178</v>
      </c>
      <c r="AK58" s="483">
        <f t="shared" si="29"/>
        <v>44.61311776297277</v>
      </c>
      <c r="AL58" s="483">
        <f t="shared" si="29"/>
        <v>44.61311776297277</v>
      </c>
      <c r="AM58" s="483">
        <f t="shared" si="29"/>
        <v>44.61311776297277</v>
      </c>
      <c r="AN58" s="483">
        <f t="shared" si="29"/>
        <v>44.61311776297277</v>
      </c>
      <c r="AO58" s="483">
        <f t="shared" si="29"/>
        <v>44.61311776297277</v>
      </c>
      <c r="AP58" s="483">
        <f t="shared" si="29"/>
        <v>44.61311776297277</v>
      </c>
      <c r="AQ58" s="483">
        <f t="shared" si="29"/>
        <v>44.61311776297277</v>
      </c>
      <c r="AR58" s="483">
        <f t="shared" si="29"/>
        <v>44.61311776297277</v>
      </c>
      <c r="AS58" s="483">
        <f t="shared" si="29"/>
        <v>44.61311776297277</v>
      </c>
      <c r="AT58" s="483">
        <f t="shared" si="29"/>
        <v>44.61311776297277</v>
      </c>
      <c r="AU58" s="483">
        <f t="shared" si="29"/>
        <v>44.61311776297277</v>
      </c>
      <c r="AV58" s="484">
        <v>5</v>
      </c>
      <c r="BA58" s="597"/>
      <c r="BB58" s="597"/>
    </row>
    <row r="59" spans="1:55" ht="15">
      <c r="B59" s="8" t="str">
        <f>Processes!D73</f>
        <v>MINGRS</v>
      </c>
      <c r="C59" s="8" t="str">
        <f>Processes!E73</f>
        <v>Mining technology - Grass</v>
      </c>
      <c r="D59" s="216"/>
      <c r="E59" s="216" t="str">
        <f t="shared" si="23"/>
        <v>GRS</v>
      </c>
      <c r="F59" s="1119" t="str">
        <f t="shared" si="5"/>
        <v>MKr14</v>
      </c>
      <c r="G59" s="483">
        <f t="shared" si="28"/>
        <v>39.424999999999997</v>
      </c>
      <c r="H59" s="483">
        <f t="shared" si="29"/>
        <v>39.424999999999997</v>
      </c>
      <c r="I59" s="483">
        <f t="shared" si="29"/>
        <v>39.424999999999997</v>
      </c>
      <c r="J59" s="483">
        <f t="shared" si="29"/>
        <v>39.14</v>
      </c>
      <c r="K59" s="483">
        <f t="shared" si="29"/>
        <v>38.76</v>
      </c>
      <c r="L59" s="483">
        <f t="shared" si="29"/>
        <v>38.475000000000001</v>
      </c>
      <c r="M59" s="483">
        <f t="shared" si="29"/>
        <v>38.854999999999997</v>
      </c>
      <c r="N59" s="483">
        <f t="shared" si="29"/>
        <v>39.33</v>
      </c>
      <c r="O59" s="483">
        <f t="shared" si="29"/>
        <v>39.553153152572932</v>
      </c>
      <c r="P59" s="483">
        <f t="shared" si="29"/>
        <v>39.553153152572932</v>
      </c>
      <c r="Q59" s="483">
        <f t="shared" si="29"/>
        <v>39.864326651741912</v>
      </c>
      <c r="R59" s="483">
        <f t="shared" si="29"/>
        <v>40.257118427780526</v>
      </c>
      <c r="S59" s="483">
        <f t="shared" si="29"/>
        <v>40.651641238518096</v>
      </c>
      <c r="T59" s="483">
        <f t="shared" si="29"/>
        <v>41.047775314379273</v>
      </c>
      <c r="U59" s="483">
        <f t="shared" si="29"/>
        <v>41.44540255411399</v>
      </c>
      <c r="V59" s="483">
        <f t="shared" si="29"/>
        <v>41.844406507497993</v>
      </c>
      <c r="W59" s="483">
        <f t="shared" si="29"/>
        <v>42.088317707337325</v>
      </c>
      <c r="X59" s="483">
        <f t="shared" si="29"/>
        <v>42.332426018634543</v>
      </c>
      <c r="Y59" s="483">
        <f t="shared" si="29"/>
        <v>42.576727554498127</v>
      </c>
      <c r="Z59" s="483">
        <f t="shared" si="29"/>
        <v>42.821218468877682</v>
      </c>
      <c r="AA59" s="483">
        <f t="shared" si="29"/>
        <v>43.065894956074864</v>
      </c>
      <c r="AB59" s="483">
        <f t="shared" si="29"/>
        <v>43.272067061620987</v>
      </c>
      <c r="AC59" s="483">
        <f t="shared" si="29"/>
        <v>43.478503697166701</v>
      </c>
      <c r="AD59" s="483">
        <f t="shared" si="29"/>
        <v>43.63940004633902</v>
      </c>
      <c r="AE59" s="483">
        <f t="shared" si="29"/>
        <v>43.787387959191499</v>
      </c>
      <c r="AF59" s="483">
        <f t="shared" si="29"/>
        <v>43.935341188637722</v>
      </c>
      <c r="AG59" s="483">
        <f t="shared" si="29"/>
        <v>44.070978690732581</v>
      </c>
      <c r="AH59" s="483">
        <f t="shared" si="29"/>
        <v>44.206575683566093</v>
      </c>
      <c r="AI59" s="483">
        <f t="shared" si="29"/>
        <v>44.342131579988035</v>
      </c>
      <c r="AJ59" s="483">
        <f t="shared" si="29"/>
        <v>44.477645798455178</v>
      </c>
      <c r="AK59" s="483">
        <f t="shared" si="29"/>
        <v>44.61311776297277</v>
      </c>
      <c r="AL59" s="483">
        <f t="shared" si="29"/>
        <v>44.61311776297277</v>
      </c>
      <c r="AM59" s="483">
        <f t="shared" si="29"/>
        <v>44.61311776297277</v>
      </c>
      <c r="AN59" s="483">
        <f t="shared" si="29"/>
        <v>44.61311776297277</v>
      </c>
      <c r="AO59" s="483">
        <f t="shared" si="29"/>
        <v>44.61311776297277</v>
      </c>
      <c r="AP59" s="483">
        <f t="shared" si="29"/>
        <v>44.61311776297277</v>
      </c>
      <c r="AQ59" s="483">
        <f t="shared" si="29"/>
        <v>44.61311776297277</v>
      </c>
      <c r="AR59" s="483">
        <f t="shared" si="29"/>
        <v>44.61311776297277</v>
      </c>
      <c r="AS59" s="483">
        <f t="shared" si="29"/>
        <v>44.61311776297277</v>
      </c>
      <c r="AT59" s="483">
        <f t="shared" si="29"/>
        <v>44.61311776297277</v>
      </c>
      <c r="AU59" s="483">
        <f t="shared" si="29"/>
        <v>44.61311776297277</v>
      </c>
      <c r="AV59" s="484">
        <v>5</v>
      </c>
      <c r="BA59" s="597"/>
      <c r="BB59" s="597"/>
    </row>
    <row r="60" spans="1:55" ht="15">
      <c r="B60" s="8" t="str">
        <f>Processes!D74</f>
        <v>MINWPE</v>
      </c>
      <c r="C60" s="8" t="str">
        <f>Processes!E74</f>
        <v>Mining technology - Wood pellets</v>
      </c>
      <c r="D60" s="216"/>
      <c r="E60" s="216" t="str">
        <f t="shared" si="23"/>
        <v>WPE</v>
      </c>
      <c r="F60" s="1119" t="str">
        <f t="shared" si="5"/>
        <v>MKr19</v>
      </c>
      <c r="G60" s="483">
        <f t="shared" si="28"/>
        <v>70.015000000000001</v>
      </c>
      <c r="H60" s="483">
        <f t="shared" si="29"/>
        <v>70.015000000000001</v>
      </c>
      <c r="I60" s="483">
        <f t="shared" si="29"/>
        <v>70.015000000000001</v>
      </c>
      <c r="J60" s="483">
        <f t="shared" si="29"/>
        <v>69.064999999999998</v>
      </c>
      <c r="K60" s="483">
        <f t="shared" si="29"/>
        <v>68.209999999999994</v>
      </c>
      <c r="L60" s="483">
        <f t="shared" si="29"/>
        <v>67.259999999999991</v>
      </c>
      <c r="M60" s="483">
        <f t="shared" si="29"/>
        <v>67.64</v>
      </c>
      <c r="N60" s="483">
        <f t="shared" si="29"/>
        <v>68.02</v>
      </c>
      <c r="O60" s="483">
        <f t="shared" si="29"/>
        <v>66.020146242702353</v>
      </c>
      <c r="P60" s="483">
        <f t="shared" si="29"/>
        <v>65.96136818516834</v>
      </c>
      <c r="Q60" s="483">
        <f t="shared" si="29"/>
        <v>56.914684416651603</v>
      </c>
      <c r="R60" s="483">
        <f t="shared" si="29"/>
        <v>59.711627192732756</v>
      </c>
      <c r="S60" s="483">
        <f t="shared" si="29"/>
        <v>60.013888268314545</v>
      </c>
      <c r="T60" s="483">
        <f t="shared" si="29"/>
        <v>59.354930887874318</v>
      </c>
      <c r="U60" s="483">
        <f t="shared" si="29"/>
        <v>59.035222491122838</v>
      </c>
      <c r="V60" s="483">
        <f t="shared" si="29"/>
        <v>58.74841506580303</v>
      </c>
      <c r="W60" s="483">
        <f t="shared" si="29"/>
        <v>58.481086742367445</v>
      </c>
      <c r="X60" s="483">
        <f t="shared" si="29"/>
        <v>58.239324610762822</v>
      </c>
      <c r="Y60" s="483">
        <f t="shared" si="29"/>
        <v>58.021371524421873</v>
      </c>
      <c r="Z60" s="483">
        <f t="shared" si="29"/>
        <v>57.835820760328922</v>
      </c>
      <c r="AA60" s="483">
        <f t="shared" si="29"/>
        <v>57.670584214255001</v>
      </c>
      <c r="AB60" s="483">
        <f t="shared" si="29"/>
        <v>57.669113952551044</v>
      </c>
      <c r="AC60" s="483">
        <f t="shared" si="29"/>
        <v>57.667421376427306</v>
      </c>
      <c r="AD60" s="483">
        <f t="shared" si="29"/>
        <v>57.665509674562891</v>
      </c>
      <c r="AE60" s="483">
        <f t="shared" si="29"/>
        <v>57.663381980957837</v>
      </c>
      <c r="AF60" s="483">
        <f t="shared" si="29"/>
        <v>57.661041375510997</v>
      </c>
      <c r="AG60" s="483">
        <f t="shared" si="29"/>
        <v>57.65544812020616</v>
      </c>
      <c r="AH60" s="483">
        <f t="shared" si="29"/>
        <v>57.649697437970978</v>
      </c>
      <c r="AI60" s="483">
        <f t="shared" si="29"/>
        <v>57.643792171361397</v>
      </c>
      <c r="AJ60" s="483">
        <f t="shared" si="29"/>
        <v>57.637735107495111</v>
      </c>
      <c r="AK60" s="483">
        <f t="shared" si="29"/>
        <v>57.631528978823219</v>
      </c>
      <c r="AL60" s="483">
        <f t="shared" si="29"/>
        <v>57.642160026944858</v>
      </c>
      <c r="AM60" s="483">
        <f t="shared" si="29"/>
        <v>57.652670836265216</v>
      </c>
      <c r="AN60" s="483">
        <f t="shared" si="29"/>
        <v>57.663062920789976</v>
      </c>
      <c r="AO60" s="483">
        <f t="shared" si="29"/>
        <v>57.67333776272897</v>
      </c>
      <c r="AP60" s="483">
        <f t="shared" si="29"/>
        <v>57.683496812826789</v>
      </c>
      <c r="AQ60" s="483">
        <f t="shared" si="29"/>
        <v>57.735587537358441</v>
      </c>
      <c r="AR60" s="483">
        <f t="shared" si="29"/>
        <v>57.78734511269969</v>
      </c>
      <c r="AS60" s="483">
        <f t="shared" si="29"/>
        <v>57.838771147246518</v>
      </c>
      <c r="AT60" s="483">
        <f t="shared" si="29"/>
        <v>57.889867215086504</v>
      </c>
      <c r="AU60" s="483">
        <f t="shared" si="29"/>
        <v>57.940634856356873</v>
      </c>
      <c r="AV60" s="484">
        <v>5</v>
      </c>
      <c r="BA60" s="597"/>
      <c r="BB60" s="597"/>
      <c r="BC60" s="597"/>
    </row>
    <row r="61" spans="1:55" ht="15">
      <c r="B61" s="8" t="str">
        <f>Processes!D75</f>
        <v>MINWCH</v>
      </c>
      <c r="C61" s="8" t="str">
        <f>Processes!E75</f>
        <v>Mining technology - Wood chips and wood waste</v>
      </c>
      <c r="D61" s="216"/>
      <c r="E61" s="216" t="str">
        <f t="shared" si="23"/>
        <v>WCH</v>
      </c>
      <c r="F61" s="1119" t="str">
        <f t="shared" si="5"/>
        <v>MKr19</v>
      </c>
      <c r="G61" s="483">
        <f t="shared" si="28"/>
        <v>43.699999999999996</v>
      </c>
      <c r="H61" s="483">
        <f t="shared" si="29"/>
        <v>43.699999999999996</v>
      </c>
      <c r="I61" s="483">
        <f t="shared" si="29"/>
        <v>43.699999999999996</v>
      </c>
      <c r="J61" s="483">
        <f t="shared" si="29"/>
        <v>43.414999999999999</v>
      </c>
      <c r="K61" s="483">
        <f t="shared" si="29"/>
        <v>43.034999999999997</v>
      </c>
      <c r="L61" s="483">
        <f t="shared" si="29"/>
        <v>42.654999999999994</v>
      </c>
      <c r="M61" s="483">
        <f t="shared" si="29"/>
        <v>43.129999999999995</v>
      </c>
      <c r="N61" s="483">
        <f t="shared" si="29"/>
        <v>43.604999999999997</v>
      </c>
      <c r="O61" s="483">
        <f t="shared" si="29"/>
        <v>42.920498592365362</v>
      </c>
      <c r="P61" s="483">
        <f t="shared" si="29"/>
        <v>42.86172053483137</v>
      </c>
      <c r="Q61" s="483">
        <f t="shared" si="29"/>
        <v>42.985970217976949</v>
      </c>
      <c r="R61" s="483">
        <f t="shared" si="29"/>
        <v>42.930737621218739</v>
      </c>
      <c r="S61" s="483">
        <f t="shared" si="29"/>
        <v>43.122515400049686</v>
      </c>
      <c r="T61" s="483">
        <f t="shared" si="29"/>
        <v>43.362212229388248</v>
      </c>
      <c r="U61" s="483">
        <f t="shared" si="29"/>
        <v>43.62686434319582</v>
      </c>
      <c r="V61" s="483">
        <f t="shared" si="29"/>
        <v>43.896651372185751</v>
      </c>
      <c r="W61" s="483">
        <f t="shared" si="29"/>
        <v>44.09874443125387</v>
      </c>
      <c r="X61" s="483">
        <f t="shared" si="29"/>
        <v>44.299506357634684</v>
      </c>
      <c r="Y61" s="483">
        <f t="shared" si="29"/>
        <v>44.497928296919504</v>
      </c>
      <c r="Z61" s="483">
        <f t="shared" si="29"/>
        <v>44.701341711419417</v>
      </c>
      <c r="AA61" s="483">
        <f t="shared" si="29"/>
        <v>44.899951064987313</v>
      </c>
      <c r="AB61" s="483">
        <f t="shared" si="29"/>
        <v>44.995010804955093</v>
      </c>
      <c r="AC61" s="483">
        <f t="shared" si="29"/>
        <v>45.089896386301845</v>
      </c>
      <c r="AD61" s="483">
        <f t="shared" si="29"/>
        <v>45.184608919645179</v>
      </c>
      <c r="AE61" s="483">
        <f t="shared" si="29"/>
        <v>45.279149498086021</v>
      </c>
      <c r="AF61" s="483">
        <f t="shared" si="29"/>
        <v>45.373519197394238</v>
      </c>
      <c r="AG61" s="483">
        <f t="shared" si="29"/>
        <v>45.468479823575379</v>
      </c>
      <c r="AH61" s="483">
        <f t="shared" si="29"/>
        <v>45.5631628821723</v>
      </c>
      <c r="AI61" s="483">
        <f t="shared" si="29"/>
        <v>45.657570209274184</v>
      </c>
      <c r="AJ61" s="483">
        <f t="shared" si="29"/>
        <v>45.75170361599077</v>
      </c>
      <c r="AK61" s="483">
        <f t="shared" si="29"/>
        <v>45.845564888719998</v>
      </c>
      <c r="AL61" s="483">
        <f t="shared" si="29"/>
        <v>45.958745378603254</v>
      </c>
      <c r="AM61" s="483">
        <f t="shared" si="29"/>
        <v>46.071499911718661</v>
      </c>
      <c r="AN61" s="483">
        <f t="shared" si="29"/>
        <v>46.183831178905827</v>
      </c>
      <c r="AO61" s="483">
        <f t="shared" si="29"/>
        <v>46.295741837125888</v>
      </c>
      <c r="AP61" s="483">
        <f t="shared" si="29"/>
        <v>46.407234509827518</v>
      </c>
      <c r="AQ61" s="483">
        <f t="shared" si="29"/>
        <v>46.573346077925379</v>
      </c>
      <c r="AR61" s="483">
        <f t="shared" si="29"/>
        <v>46.738783513499861</v>
      </c>
      <c r="AS61" s="483">
        <f t="shared" si="29"/>
        <v>46.903550518626702</v>
      </c>
      <c r="AT61" s="483">
        <f t="shared" si="29"/>
        <v>47.067650750859954</v>
      </c>
      <c r="AU61" s="483">
        <f t="shared" si="29"/>
        <v>47.231087823716685</v>
      </c>
      <c r="AV61" s="484">
        <v>5</v>
      </c>
    </row>
    <row r="62" spans="1:55" ht="15">
      <c r="B62" s="8" t="str">
        <f>Processes!D76</f>
        <v>MINFIW</v>
      </c>
      <c r="C62" s="8" t="str">
        <f>Processes!E76</f>
        <v>Mining technology - Firewood</v>
      </c>
      <c r="D62" s="216"/>
      <c r="E62" s="216" t="str">
        <f t="shared" si="23"/>
        <v>FIW</v>
      </c>
      <c r="F62" s="1119" t="str">
        <f t="shared" si="5"/>
        <v>MKr14</v>
      </c>
      <c r="G62" s="483">
        <f t="shared" si="28"/>
        <v>10.924999999999999</v>
      </c>
      <c r="H62" s="483">
        <f t="shared" si="29"/>
        <v>10.924999999999999</v>
      </c>
      <c r="I62" s="483">
        <f t="shared" si="29"/>
        <v>10.924999999999999</v>
      </c>
      <c r="J62" s="483">
        <f t="shared" si="29"/>
        <v>10.85375</v>
      </c>
      <c r="K62" s="483">
        <f t="shared" si="29"/>
        <v>10.758749999999999</v>
      </c>
      <c r="L62" s="483">
        <f t="shared" si="29"/>
        <v>10.663749999999999</v>
      </c>
      <c r="M62" s="483">
        <f t="shared" si="29"/>
        <v>10.782499999999999</v>
      </c>
      <c r="N62" s="483">
        <f t="shared" si="29"/>
        <v>10.901249999999999</v>
      </c>
      <c r="O62" s="483">
        <f t="shared" si="29"/>
        <v>10.730124648091341</v>
      </c>
      <c r="P62" s="483">
        <f t="shared" si="29"/>
        <v>10.715430133707843</v>
      </c>
      <c r="Q62" s="483">
        <f t="shared" si="29"/>
        <v>10.746492554494237</v>
      </c>
      <c r="R62" s="483">
        <f t="shared" si="29"/>
        <v>10.732684405304685</v>
      </c>
      <c r="S62" s="483">
        <f t="shared" si="29"/>
        <v>10.780628850012421</v>
      </c>
      <c r="T62" s="483">
        <f t="shared" si="29"/>
        <v>10.840553057347062</v>
      </c>
      <c r="U62" s="483">
        <f t="shared" si="29"/>
        <v>10.906716085798955</v>
      </c>
      <c r="V62" s="483">
        <f t="shared" si="29"/>
        <v>10.974162843046438</v>
      </c>
      <c r="W62" s="483">
        <f t="shared" si="29"/>
        <v>11.024686107813467</v>
      </c>
      <c r="X62" s="483">
        <f t="shared" si="29"/>
        <v>11.074876589408671</v>
      </c>
      <c r="Y62" s="483">
        <f t="shared" si="29"/>
        <v>11.124482074229876</v>
      </c>
      <c r="Z62" s="483">
        <f t="shared" si="29"/>
        <v>11.175335427854854</v>
      </c>
      <c r="AA62" s="483">
        <f t="shared" si="29"/>
        <v>11.224987766246828</v>
      </c>
      <c r="AB62" s="483">
        <f t="shared" si="29"/>
        <v>11.248752701238773</v>
      </c>
      <c r="AC62" s="483">
        <f t="shared" si="29"/>
        <v>11.272474096575461</v>
      </c>
      <c r="AD62" s="483">
        <f t="shared" si="29"/>
        <v>11.296152229911295</v>
      </c>
      <c r="AE62" s="483">
        <f t="shared" si="29"/>
        <v>11.319787374521505</v>
      </c>
      <c r="AF62" s="483">
        <f t="shared" si="29"/>
        <v>11.343379799348559</v>
      </c>
      <c r="AG62" s="483">
        <f t="shared" si="29"/>
        <v>11.367119955893845</v>
      </c>
      <c r="AH62" s="483">
        <f t="shared" si="29"/>
        <v>11.390790720543075</v>
      </c>
      <c r="AI62" s="483">
        <f t="shared" si="29"/>
        <v>11.414392552318546</v>
      </c>
      <c r="AJ62" s="483">
        <f t="shared" si="29"/>
        <v>11.437925903997693</v>
      </c>
      <c r="AK62" s="483">
        <f t="shared" si="29"/>
        <v>11.46139122218</v>
      </c>
      <c r="AL62" s="483">
        <f t="shared" si="29"/>
        <v>11.489686344650814</v>
      </c>
      <c r="AM62" s="483">
        <f t="shared" si="29"/>
        <v>11.517874977929665</v>
      </c>
      <c r="AN62" s="483">
        <f t="shared" si="29"/>
        <v>11.545957794726457</v>
      </c>
      <c r="AO62" s="483">
        <f t="shared" si="29"/>
        <v>11.573935459281472</v>
      </c>
      <c r="AP62" s="483">
        <f t="shared" si="29"/>
        <v>11.601808627456879</v>
      </c>
      <c r="AQ62" s="483">
        <f t="shared" si="29"/>
        <v>11.643336519481345</v>
      </c>
      <c r="AR62" s="483">
        <f t="shared" si="29"/>
        <v>11.684695878374965</v>
      </c>
      <c r="AS62" s="483">
        <f t="shared" si="29"/>
        <v>11.725887629656675</v>
      </c>
      <c r="AT62" s="483">
        <f t="shared" si="29"/>
        <v>11.766912687714989</v>
      </c>
      <c r="AU62" s="483">
        <f t="shared" si="29"/>
        <v>11.807771955929171</v>
      </c>
      <c r="AV62" s="484">
        <v>5</v>
      </c>
    </row>
    <row r="63" spans="1:55" ht="15">
      <c r="B63" s="8" t="str">
        <f>Processes!D77</f>
        <v>MINCRN</v>
      </c>
      <c r="C63" s="8" t="str">
        <f>Processes!E77</f>
        <v>Mining technology - Corn</v>
      </c>
      <c r="D63" s="216"/>
      <c r="E63" s="216" t="str">
        <f t="shared" si="23"/>
        <v>CRN</v>
      </c>
      <c r="F63" s="1119" t="str">
        <f t="shared" si="5"/>
        <v>MKr14</v>
      </c>
      <c r="G63" s="483">
        <f t="shared" si="28"/>
        <v>68.78</v>
      </c>
      <c r="H63" s="483">
        <f t="shared" si="29"/>
        <v>68.78</v>
      </c>
      <c r="I63" s="483">
        <f t="shared" si="29"/>
        <v>68.78</v>
      </c>
      <c r="J63" s="483">
        <f t="shared" si="29"/>
        <v>68.78</v>
      </c>
      <c r="K63" s="483">
        <f t="shared" si="29"/>
        <v>68.78</v>
      </c>
      <c r="L63" s="483">
        <f t="shared" si="29"/>
        <v>68.78</v>
      </c>
      <c r="M63" s="483">
        <f t="shared" si="29"/>
        <v>68.78</v>
      </c>
      <c r="N63" s="483">
        <f t="shared" si="29"/>
        <v>68.78</v>
      </c>
      <c r="O63" s="483">
        <f t="shared" si="29"/>
        <v>68.78</v>
      </c>
      <c r="P63" s="483">
        <f t="shared" si="29"/>
        <v>68.78</v>
      </c>
      <c r="Q63" s="483">
        <f t="shared" si="29"/>
        <v>68.78</v>
      </c>
      <c r="R63" s="483">
        <f t="shared" si="29"/>
        <v>68.78</v>
      </c>
      <c r="S63" s="483">
        <f t="shared" si="29"/>
        <v>68.78</v>
      </c>
      <c r="T63" s="483">
        <f t="shared" si="29"/>
        <v>68.78</v>
      </c>
      <c r="U63" s="483">
        <f t="shared" si="29"/>
        <v>68.78</v>
      </c>
      <c r="V63" s="483">
        <f t="shared" si="29"/>
        <v>68.78</v>
      </c>
      <c r="W63" s="483">
        <f t="shared" si="29"/>
        <v>68.78</v>
      </c>
      <c r="X63" s="483">
        <f t="shared" si="29"/>
        <v>68.78</v>
      </c>
      <c r="Y63" s="483">
        <f t="shared" si="29"/>
        <v>68.78</v>
      </c>
      <c r="Z63" s="483">
        <f t="shared" si="29"/>
        <v>68.78</v>
      </c>
      <c r="AA63" s="483">
        <f t="shared" si="29"/>
        <v>68.78</v>
      </c>
      <c r="AB63" s="483">
        <f t="shared" si="29"/>
        <v>68.78</v>
      </c>
      <c r="AC63" s="483">
        <f t="shared" si="29"/>
        <v>68.78</v>
      </c>
      <c r="AD63" s="483">
        <f t="shared" si="29"/>
        <v>68.78</v>
      </c>
      <c r="AE63" s="483">
        <f t="shared" si="29"/>
        <v>68.78</v>
      </c>
      <c r="AF63" s="483">
        <f t="shared" si="29"/>
        <v>68.78</v>
      </c>
      <c r="AG63" s="483">
        <f t="shared" si="29"/>
        <v>68.78</v>
      </c>
      <c r="AH63" s="483">
        <f t="shared" si="29"/>
        <v>68.78</v>
      </c>
      <c r="AI63" s="483">
        <f t="shared" si="29"/>
        <v>68.78</v>
      </c>
      <c r="AJ63" s="483">
        <f t="shared" si="29"/>
        <v>68.78</v>
      </c>
      <c r="AK63" s="483">
        <f t="shared" si="29"/>
        <v>68.78</v>
      </c>
      <c r="AL63" s="483">
        <f t="shared" si="29"/>
        <v>68.78</v>
      </c>
      <c r="AM63" s="483">
        <f t="shared" si="29"/>
        <v>68.78</v>
      </c>
      <c r="AN63" s="483">
        <f t="shared" si="29"/>
        <v>68.78</v>
      </c>
      <c r="AO63" s="483">
        <f t="shared" si="29"/>
        <v>68.78</v>
      </c>
      <c r="AP63" s="483">
        <f t="shared" si="29"/>
        <v>68.78</v>
      </c>
      <c r="AQ63" s="483">
        <f t="shared" si="29"/>
        <v>68.78</v>
      </c>
      <c r="AR63" s="483">
        <f t="shared" si="29"/>
        <v>68.78</v>
      </c>
      <c r="AS63" s="483">
        <f t="shared" si="29"/>
        <v>68.78</v>
      </c>
      <c r="AT63" s="483">
        <f t="shared" si="29"/>
        <v>68.78</v>
      </c>
      <c r="AU63" s="483">
        <f t="shared" si="29"/>
        <v>68.78</v>
      </c>
      <c r="AV63" s="484">
        <v>5</v>
      </c>
      <c r="AX63" s="602"/>
    </row>
    <row r="64" spans="1:55" ht="15">
      <c r="B64" s="8" t="str">
        <f>Processes!D78</f>
        <v>MINRPS</v>
      </c>
      <c r="C64" s="8" t="str">
        <f>Processes!E78</f>
        <v>Mining technology - Rapeseed</v>
      </c>
      <c r="D64" s="216"/>
      <c r="E64" s="216" t="str">
        <f t="shared" si="23"/>
        <v>RPS</v>
      </c>
      <c r="F64" s="1119" t="str">
        <f t="shared" si="5"/>
        <v>MKr14</v>
      </c>
      <c r="G64" s="483">
        <f t="shared" si="28"/>
        <v>96.614999999999995</v>
      </c>
      <c r="H64" s="483">
        <f t="shared" si="29"/>
        <v>96.614999999999995</v>
      </c>
      <c r="I64" s="483">
        <f t="shared" si="29"/>
        <v>96.614999999999995</v>
      </c>
      <c r="J64" s="483">
        <f t="shared" si="29"/>
        <v>96.614999999999995</v>
      </c>
      <c r="K64" s="483">
        <f t="shared" si="29"/>
        <v>96.614999999999995</v>
      </c>
      <c r="L64" s="483">
        <f t="shared" si="29"/>
        <v>96.614999999999995</v>
      </c>
      <c r="M64" s="483">
        <f t="shared" si="29"/>
        <v>96.614999999999995</v>
      </c>
      <c r="N64" s="483">
        <f t="shared" si="29"/>
        <v>96.614999999999995</v>
      </c>
      <c r="O64" s="483">
        <f t="shared" si="29"/>
        <v>96.614999999999995</v>
      </c>
      <c r="P64" s="483">
        <f t="shared" si="29"/>
        <v>96.614999999999995</v>
      </c>
      <c r="Q64" s="483">
        <f t="shared" si="29"/>
        <v>96.614999999999995</v>
      </c>
      <c r="R64" s="483">
        <f t="shared" si="29"/>
        <v>96.614999999999995</v>
      </c>
      <c r="S64" s="483">
        <f t="shared" si="29"/>
        <v>96.614999999999995</v>
      </c>
      <c r="T64" s="483">
        <f t="shared" si="29"/>
        <v>96.614999999999995</v>
      </c>
      <c r="U64" s="483">
        <f t="shared" si="29"/>
        <v>96.614999999999995</v>
      </c>
      <c r="V64" s="483">
        <f t="shared" si="29"/>
        <v>96.614999999999995</v>
      </c>
      <c r="W64" s="483">
        <f t="shared" ref="W64:AU67" si="30">IFERROR(INDEX($G$122:$AU$177,MATCH($E64,$E$122:$E$177,0),MATCH(W$6,$G$121:$AU$121,0)),0)*$E$188</f>
        <v>96.614999999999995</v>
      </c>
      <c r="X64" s="483">
        <f t="shared" si="30"/>
        <v>96.614999999999995</v>
      </c>
      <c r="Y64" s="483">
        <f t="shared" si="30"/>
        <v>96.614999999999995</v>
      </c>
      <c r="Z64" s="483">
        <f t="shared" si="30"/>
        <v>96.614999999999995</v>
      </c>
      <c r="AA64" s="483">
        <f t="shared" si="30"/>
        <v>96.614999999999995</v>
      </c>
      <c r="AB64" s="483">
        <f t="shared" si="30"/>
        <v>96.614999999999995</v>
      </c>
      <c r="AC64" s="483">
        <f t="shared" si="30"/>
        <v>96.614999999999995</v>
      </c>
      <c r="AD64" s="483">
        <f t="shared" si="30"/>
        <v>96.614999999999995</v>
      </c>
      <c r="AE64" s="483">
        <f t="shared" si="30"/>
        <v>96.614999999999995</v>
      </c>
      <c r="AF64" s="483">
        <f t="shared" si="30"/>
        <v>96.614999999999995</v>
      </c>
      <c r="AG64" s="483">
        <f t="shared" si="30"/>
        <v>96.614999999999995</v>
      </c>
      <c r="AH64" s="483">
        <f t="shared" si="30"/>
        <v>96.614999999999995</v>
      </c>
      <c r="AI64" s="483">
        <f t="shared" si="30"/>
        <v>96.614999999999995</v>
      </c>
      <c r="AJ64" s="483">
        <f t="shared" si="30"/>
        <v>96.614999999999995</v>
      </c>
      <c r="AK64" s="483">
        <f t="shared" si="30"/>
        <v>96.614999999999995</v>
      </c>
      <c r="AL64" s="483">
        <f t="shared" si="30"/>
        <v>96.614999999999995</v>
      </c>
      <c r="AM64" s="483">
        <f t="shared" si="30"/>
        <v>96.614999999999995</v>
      </c>
      <c r="AN64" s="483">
        <f t="shared" si="30"/>
        <v>96.614999999999995</v>
      </c>
      <c r="AO64" s="483">
        <f t="shared" si="30"/>
        <v>96.614999999999995</v>
      </c>
      <c r="AP64" s="483">
        <f t="shared" si="30"/>
        <v>96.614999999999995</v>
      </c>
      <c r="AQ64" s="483">
        <f t="shared" si="30"/>
        <v>96.614999999999995</v>
      </c>
      <c r="AR64" s="483">
        <f t="shared" si="30"/>
        <v>96.614999999999995</v>
      </c>
      <c r="AS64" s="483">
        <f t="shared" si="30"/>
        <v>96.614999999999995</v>
      </c>
      <c r="AT64" s="483">
        <f t="shared" si="30"/>
        <v>96.614999999999995</v>
      </c>
      <c r="AU64" s="483">
        <f t="shared" si="30"/>
        <v>96.614999999999995</v>
      </c>
      <c r="AV64" s="484">
        <v>5</v>
      </c>
    </row>
    <row r="65" spans="2:119" ht="15">
      <c r="B65" s="8" t="str">
        <f>Processes!D79</f>
        <v>MINSGB</v>
      </c>
      <c r="C65" s="8" t="str">
        <f>Processes!E79</f>
        <v>Mining technology - Sugar Beet</v>
      </c>
      <c r="D65" s="216"/>
      <c r="E65" s="216" t="str">
        <f t="shared" si="23"/>
        <v>SGB</v>
      </c>
      <c r="F65" s="1119" t="str">
        <f t="shared" si="5"/>
        <v>MKr14</v>
      </c>
      <c r="G65" s="483">
        <f t="shared" si="28"/>
        <v>10.069999999999999</v>
      </c>
      <c r="H65" s="483">
        <f t="shared" ref="H65:V67" si="31">IFERROR(INDEX($G$122:$AU$177,MATCH($E65,$E$122:$E$177,0),MATCH(H$6,$G$121:$AU$121,0)),0)*$E$188</f>
        <v>10.069999999999999</v>
      </c>
      <c r="I65" s="483">
        <f t="shared" si="31"/>
        <v>10.069999999999999</v>
      </c>
      <c r="J65" s="483">
        <f t="shared" si="31"/>
        <v>10.069999999999999</v>
      </c>
      <c r="K65" s="483">
        <f t="shared" si="31"/>
        <v>10.069999999999999</v>
      </c>
      <c r="L65" s="483">
        <f t="shared" si="31"/>
        <v>10.069999999999999</v>
      </c>
      <c r="M65" s="483">
        <f t="shared" si="31"/>
        <v>10.069999999999999</v>
      </c>
      <c r="N65" s="483">
        <f t="shared" si="31"/>
        <v>10.069999999999999</v>
      </c>
      <c r="O65" s="483">
        <f t="shared" si="31"/>
        <v>10.069999999999999</v>
      </c>
      <c r="P65" s="483">
        <f t="shared" si="31"/>
        <v>10.069999999999999</v>
      </c>
      <c r="Q65" s="483">
        <f t="shared" si="31"/>
        <v>10.069999999999999</v>
      </c>
      <c r="R65" s="483">
        <f t="shared" si="31"/>
        <v>10.069999999999999</v>
      </c>
      <c r="S65" s="483">
        <f t="shared" si="31"/>
        <v>10.069999999999999</v>
      </c>
      <c r="T65" s="483">
        <f t="shared" si="31"/>
        <v>10.069999999999999</v>
      </c>
      <c r="U65" s="483">
        <f t="shared" si="31"/>
        <v>10.069999999999999</v>
      </c>
      <c r="V65" s="483">
        <f t="shared" si="31"/>
        <v>10.069999999999999</v>
      </c>
      <c r="W65" s="483">
        <f t="shared" si="30"/>
        <v>10.069999999999999</v>
      </c>
      <c r="X65" s="483">
        <f t="shared" si="30"/>
        <v>10.069999999999999</v>
      </c>
      <c r="Y65" s="483">
        <f t="shared" si="30"/>
        <v>10.069999999999999</v>
      </c>
      <c r="Z65" s="483">
        <f t="shared" si="30"/>
        <v>10.069999999999999</v>
      </c>
      <c r="AA65" s="483">
        <f t="shared" si="30"/>
        <v>10.069999999999999</v>
      </c>
      <c r="AB65" s="483">
        <f t="shared" si="30"/>
        <v>10.069999999999999</v>
      </c>
      <c r="AC65" s="483">
        <f t="shared" si="30"/>
        <v>10.069999999999999</v>
      </c>
      <c r="AD65" s="483">
        <f t="shared" si="30"/>
        <v>10.069999999999999</v>
      </c>
      <c r="AE65" s="483">
        <f t="shared" si="30"/>
        <v>10.069999999999999</v>
      </c>
      <c r="AF65" s="483">
        <f t="shared" si="30"/>
        <v>10.069999999999999</v>
      </c>
      <c r="AG65" s="483">
        <f t="shared" si="30"/>
        <v>10.069999999999999</v>
      </c>
      <c r="AH65" s="483">
        <f t="shared" si="30"/>
        <v>10.069999999999999</v>
      </c>
      <c r="AI65" s="483">
        <f t="shared" si="30"/>
        <v>10.069999999999999</v>
      </c>
      <c r="AJ65" s="483">
        <f t="shared" si="30"/>
        <v>10.069999999999999</v>
      </c>
      <c r="AK65" s="483">
        <f t="shared" si="30"/>
        <v>10.069999999999999</v>
      </c>
      <c r="AL65" s="483">
        <f t="shared" si="30"/>
        <v>10.069999999999999</v>
      </c>
      <c r="AM65" s="483">
        <f t="shared" si="30"/>
        <v>10.069999999999999</v>
      </c>
      <c r="AN65" s="483">
        <f t="shared" si="30"/>
        <v>10.069999999999999</v>
      </c>
      <c r="AO65" s="483">
        <f t="shared" si="30"/>
        <v>10.069999999999999</v>
      </c>
      <c r="AP65" s="483">
        <f t="shared" si="30"/>
        <v>10.069999999999999</v>
      </c>
      <c r="AQ65" s="483">
        <f t="shared" si="30"/>
        <v>10.069999999999999</v>
      </c>
      <c r="AR65" s="483">
        <f t="shared" si="30"/>
        <v>10.069999999999999</v>
      </c>
      <c r="AS65" s="483">
        <f t="shared" si="30"/>
        <v>10.069999999999999</v>
      </c>
      <c r="AT65" s="483">
        <f t="shared" si="30"/>
        <v>10.069999999999999</v>
      </c>
      <c r="AU65" s="483">
        <f t="shared" si="30"/>
        <v>10.069999999999999</v>
      </c>
      <c r="AV65" s="484">
        <v>5</v>
      </c>
      <c r="AX65" s="602"/>
    </row>
    <row r="66" spans="2:119" ht="15">
      <c r="B66" s="8" t="str">
        <f>Processes!D80</f>
        <v>MINDLI</v>
      </c>
      <c r="C66" s="8" t="str">
        <f>Processes!E80</f>
        <v>Mining technology - Deep Litter</v>
      </c>
      <c r="D66" s="216"/>
      <c r="E66" s="216" t="str">
        <f t="shared" si="23"/>
        <v>DLI</v>
      </c>
      <c r="F66" s="1119" t="str">
        <f t="shared" si="5"/>
        <v>MKr14</v>
      </c>
      <c r="G66" s="483">
        <f t="shared" si="28"/>
        <v>9.4999999999999998E-3</v>
      </c>
      <c r="H66" s="483">
        <f t="shared" si="31"/>
        <v>9.4999999999999998E-3</v>
      </c>
      <c r="I66" s="483">
        <f t="shared" si="31"/>
        <v>9.4999999999999998E-3</v>
      </c>
      <c r="J66" s="483">
        <f t="shared" si="31"/>
        <v>9.4999999999999998E-3</v>
      </c>
      <c r="K66" s="483">
        <f t="shared" si="31"/>
        <v>9.4999999999999998E-3</v>
      </c>
      <c r="L66" s="483">
        <f t="shared" si="31"/>
        <v>9.4999999999999998E-3</v>
      </c>
      <c r="M66" s="483">
        <f t="shared" si="31"/>
        <v>9.4999999999999998E-3</v>
      </c>
      <c r="N66" s="483">
        <f t="shared" si="31"/>
        <v>9.4999999999999998E-3</v>
      </c>
      <c r="O66" s="483">
        <f t="shared" si="31"/>
        <v>9.4999999999999998E-3</v>
      </c>
      <c r="P66" s="483">
        <f t="shared" si="31"/>
        <v>9.4999999999999998E-3</v>
      </c>
      <c r="Q66" s="483">
        <f t="shared" si="31"/>
        <v>9.4999999999999998E-3</v>
      </c>
      <c r="R66" s="483">
        <f t="shared" si="31"/>
        <v>9.4999999999999998E-3</v>
      </c>
      <c r="S66" s="483">
        <f t="shared" si="31"/>
        <v>9.4999999999999998E-3</v>
      </c>
      <c r="T66" s="483">
        <f t="shared" si="31"/>
        <v>9.4999999999999998E-3</v>
      </c>
      <c r="U66" s="483">
        <f t="shared" si="31"/>
        <v>9.4999999999999998E-3</v>
      </c>
      <c r="V66" s="483">
        <f t="shared" si="31"/>
        <v>9.4999999999999998E-3</v>
      </c>
      <c r="W66" s="483">
        <f t="shared" si="30"/>
        <v>9.4999999999999998E-3</v>
      </c>
      <c r="X66" s="483">
        <f t="shared" si="30"/>
        <v>9.4999999999999998E-3</v>
      </c>
      <c r="Y66" s="483">
        <f t="shared" si="30"/>
        <v>9.4999999999999998E-3</v>
      </c>
      <c r="Z66" s="483">
        <f t="shared" si="30"/>
        <v>9.4999999999999998E-3</v>
      </c>
      <c r="AA66" s="483">
        <f t="shared" si="30"/>
        <v>9.4999999999999998E-3</v>
      </c>
      <c r="AB66" s="483">
        <f t="shared" si="30"/>
        <v>9.4999999999999998E-3</v>
      </c>
      <c r="AC66" s="483">
        <f t="shared" si="30"/>
        <v>9.4999999999999998E-3</v>
      </c>
      <c r="AD66" s="483">
        <f t="shared" si="30"/>
        <v>9.4999999999999998E-3</v>
      </c>
      <c r="AE66" s="483">
        <f t="shared" si="30"/>
        <v>9.4999999999999998E-3</v>
      </c>
      <c r="AF66" s="483">
        <f t="shared" si="30"/>
        <v>9.4999999999999998E-3</v>
      </c>
      <c r="AG66" s="483">
        <f t="shared" si="30"/>
        <v>9.4999999999999998E-3</v>
      </c>
      <c r="AH66" s="483">
        <f t="shared" si="30"/>
        <v>9.4999999999999998E-3</v>
      </c>
      <c r="AI66" s="483">
        <f t="shared" si="30"/>
        <v>9.4999999999999998E-3</v>
      </c>
      <c r="AJ66" s="483">
        <f t="shared" si="30"/>
        <v>9.4999999999999998E-3</v>
      </c>
      <c r="AK66" s="483">
        <f t="shared" si="30"/>
        <v>9.4999999999999998E-3</v>
      </c>
      <c r="AL66" s="483">
        <f t="shared" si="30"/>
        <v>9.4999999999999998E-3</v>
      </c>
      <c r="AM66" s="483">
        <f t="shared" si="30"/>
        <v>9.4999999999999998E-3</v>
      </c>
      <c r="AN66" s="483">
        <f t="shared" si="30"/>
        <v>9.4999999999999998E-3</v>
      </c>
      <c r="AO66" s="483">
        <f t="shared" si="30"/>
        <v>9.4999999999999998E-3</v>
      </c>
      <c r="AP66" s="483">
        <f t="shared" si="30"/>
        <v>9.4999999999999998E-3</v>
      </c>
      <c r="AQ66" s="483">
        <f t="shared" si="30"/>
        <v>9.4999999999999998E-3</v>
      </c>
      <c r="AR66" s="483">
        <f t="shared" si="30"/>
        <v>9.4999999999999998E-3</v>
      </c>
      <c r="AS66" s="483">
        <f t="shared" si="30"/>
        <v>9.4999999999999998E-3</v>
      </c>
      <c r="AT66" s="483">
        <f t="shared" si="30"/>
        <v>9.4999999999999998E-3</v>
      </c>
      <c r="AU66" s="483">
        <f t="shared" si="30"/>
        <v>9.4999999999999998E-3</v>
      </c>
      <c r="AV66" s="484">
        <v>5</v>
      </c>
      <c r="AX66" s="602"/>
    </row>
    <row r="67" spans="2:119" ht="15">
      <c r="B67" s="8" t="str">
        <f>Processes!D81</f>
        <v>MINMNR</v>
      </c>
      <c r="C67" s="8" t="str">
        <f>Processes!E81</f>
        <v>Mining technology - Manure (Gylle)</v>
      </c>
      <c r="D67" s="216"/>
      <c r="E67" s="216" t="str">
        <f t="shared" si="23"/>
        <v>MNR</v>
      </c>
      <c r="F67" s="1119" t="str">
        <f t="shared" si="5"/>
        <v>MKr14</v>
      </c>
      <c r="G67" s="483">
        <f t="shared" si="28"/>
        <v>9.4999999999999998E-3</v>
      </c>
      <c r="H67" s="483">
        <f t="shared" si="31"/>
        <v>9.4999999999999998E-3</v>
      </c>
      <c r="I67" s="483">
        <f t="shared" si="31"/>
        <v>9.4999999999999998E-3</v>
      </c>
      <c r="J67" s="483">
        <f t="shared" si="31"/>
        <v>9.4999999999999998E-3</v>
      </c>
      <c r="K67" s="483">
        <f t="shared" si="31"/>
        <v>9.4999999999999998E-3</v>
      </c>
      <c r="L67" s="483">
        <f t="shared" si="31"/>
        <v>9.4999999999999998E-3</v>
      </c>
      <c r="M67" s="483">
        <f t="shared" si="31"/>
        <v>9.4999999999999998E-3</v>
      </c>
      <c r="N67" s="483">
        <f t="shared" si="31"/>
        <v>9.4999999999999998E-3</v>
      </c>
      <c r="O67" s="483">
        <f t="shared" si="31"/>
        <v>9.4999999999999998E-3</v>
      </c>
      <c r="P67" s="483">
        <f t="shared" si="31"/>
        <v>9.4999999999999998E-3</v>
      </c>
      <c r="Q67" s="483">
        <f t="shared" si="31"/>
        <v>9.4999999999999998E-3</v>
      </c>
      <c r="R67" s="483">
        <f t="shared" si="31"/>
        <v>9.4999999999999998E-3</v>
      </c>
      <c r="S67" s="483">
        <f t="shared" si="31"/>
        <v>9.4999999999999998E-3</v>
      </c>
      <c r="T67" s="483">
        <f t="shared" si="31"/>
        <v>9.4999999999999998E-3</v>
      </c>
      <c r="U67" s="483">
        <f t="shared" si="31"/>
        <v>9.4999999999999998E-3</v>
      </c>
      <c r="V67" s="483">
        <f t="shared" si="31"/>
        <v>9.4999999999999998E-3</v>
      </c>
      <c r="W67" s="483">
        <f t="shared" si="30"/>
        <v>9.4999999999999998E-3</v>
      </c>
      <c r="X67" s="483">
        <f t="shared" si="30"/>
        <v>9.4999999999999998E-3</v>
      </c>
      <c r="Y67" s="483">
        <f t="shared" si="30"/>
        <v>9.4999999999999998E-3</v>
      </c>
      <c r="Z67" s="483">
        <f t="shared" si="30"/>
        <v>9.4999999999999998E-3</v>
      </c>
      <c r="AA67" s="483">
        <f t="shared" si="30"/>
        <v>9.4999999999999998E-3</v>
      </c>
      <c r="AB67" s="483">
        <f t="shared" si="30"/>
        <v>9.4999999999999998E-3</v>
      </c>
      <c r="AC67" s="483">
        <f t="shared" si="30"/>
        <v>9.4999999999999998E-3</v>
      </c>
      <c r="AD67" s="483">
        <f t="shared" si="30"/>
        <v>9.4999999999999998E-3</v>
      </c>
      <c r="AE67" s="483">
        <f t="shared" si="30"/>
        <v>9.4999999999999998E-3</v>
      </c>
      <c r="AF67" s="483">
        <f t="shared" si="30"/>
        <v>9.4999999999999998E-3</v>
      </c>
      <c r="AG67" s="483">
        <f t="shared" si="30"/>
        <v>9.4999999999999998E-3</v>
      </c>
      <c r="AH67" s="483">
        <f t="shared" si="30"/>
        <v>9.4999999999999998E-3</v>
      </c>
      <c r="AI67" s="483">
        <f t="shared" si="30"/>
        <v>9.4999999999999998E-3</v>
      </c>
      <c r="AJ67" s="483">
        <f t="shared" si="30"/>
        <v>9.4999999999999998E-3</v>
      </c>
      <c r="AK67" s="483">
        <f t="shared" si="30"/>
        <v>9.4999999999999998E-3</v>
      </c>
      <c r="AL67" s="483">
        <f t="shared" si="30"/>
        <v>9.4999999999999998E-3</v>
      </c>
      <c r="AM67" s="483">
        <f t="shared" si="30"/>
        <v>9.4999999999999998E-3</v>
      </c>
      <c r="AN67" s="483">
        <f t="shared" si="30"/>
        <v>9.4999999999999998E-3</v>
      </c>
      <c r="AO67" s="483">
        <f t="shared" si="30"/>
        <v>9.4999999999999998E-3</v>
      </c>
      <c r="AP67" s="483">
        <f t="shared" si="30"/>
        <v>9.4999999999999998E-3</v>
      </c>
      <c r="AQ67" s="483">
        <f t="shared" si="30"/>
        <v>9.4999999999999998E-3</v>
      </c>
      <c r="AR67" s="483">
        <f t="shared" si="30"/>
        <v>9.4999999999999998E-3</v>
      </c>
      <c r="AS67" s="483">
        <f t="shared" si="30"/>
        <v>9.4999999999999998E-3</v>
      </c>
      <c r="AT67" s="483">
        <f t="shared" si="30"/>
        <v>9.4999999999999998E-3</v>
      </c>
      <c r="AU67" s="483">
        <f t="shared" si="30"/>
        <v>9.4999999999999998E-3</v>
      </c>
      <c r="AV67" s="484">
        <v>5</v>
      </c>
      <c r="AW67" s="1"/>
      <c r="AX67" s="1"/>
      <c r="AY67" s="1"/>
      <c r="AZ67" s="1"/>
      <c r="BA67" s="1"/>
    </row>
    <row r="68" spans="2:119" ht="15">
      <c r="B68" s="8" t="str">
        <f>Processes!D82</f>
        <v>MINNGA</v>
      </c>
      <c r="C68" s="8" t="str">
        <f>Processes!E82</f>
        <v>Mining technology - Mining Natural Gas</v>
      </c>
      <c r="D68" s="216"/>
      <c r="E68" s="486" t="s">
        <v>736</v>
      </c>
      <c r="F68" s="1119" t="str">
        <f t="shared" si="5"/>
        <v>MKr19</v>
      </c>
      <c r="G68" s="483">
        <f t="shared" ref="G68:P75" si="32">IFERROR(INDEX($G$122:$AU$177,MATCH($E68,$E$122:$E$177,0),MATCH(G$6,$G$121:$AU$121,0)),0)*$E$189</f>
        <v>22.2</v>
      </c>
      <c r="H68" s="483">
        <f t="shared" si="32"/>
        <v>23.05</v>
      </c>
      <c r="I68" s="483">
        <f t="shared" si="32"/>
        <v>27.55</v>
      </c>
      <c r="J68" s="483">
        <f t="shared" si="32"/>
        <v>27.1</v>
      </c>
      <c r="K68" s="483">
        <f t="shared" si="32"/>
        <v>22.85</v>
      </c>
      <c r="L68" s="483">
        <f t="shared" si="32"/>
        <v>22</v>
      </c>
      <c r="M68" s="483">
        <f t="shared" si="32"/>
        <v>18.399999999999999</v>
      </c>
      <c r="N68" s="483">
        <f t="shared" si="32"/>
        <v>18.45</v>
      </c>
      <c r="O68" s="483">
        <f t="shared" si="32"/>
        <v>26.711091690925127</v>
      </c>
      <c r="P68" s="483">
        <f t="shared" si="32"/>
        <v>17.130505620310231</v>
      </c>
      <c r="Q68" s="483">
        <f t="shared" ref="Q68:Z75" si="33">IFERROR(INDEX($G$122:$AU$177,MATCH($E68,$E$122:$E$177,0),MATCH(Q$6,$G$121:$AU$121,0)),0)*$E$189</f>
        <v>16.698924993241128</v>
      </c>
      <c r="R68" s="483">
        <f t="shared" si="33"/>
        <v>15.7626450127191</v>
      </c>
      <c r="S68" s="483">
        <f>IFERROR(INDEX($G$122:$AU$177,MATCH($E68,$E$122:$E$177,0),MATCH(S$6,$G$121:$AU$121,0)),0)*$E$189</f>
        <v>16.381274310770948</v>
      </c>
      <c r="T68" s="483">
        <f t="shared" si="33"/>
        <v>16.683844156437733</v>
      </c>
      <c r="U68" s="483">
        <f t="shared" si="33"/>
        <v>16.783561960181036</v>
      </c>
      <c r="V68" s="483">
        <f t="shared" si="33"/>
        <v>16.753041731456833</v>
      </c>
      <c r="W68" s="483">
        <f t="shared" si="33"/>
        <v>16.733819602152032</v>
      </c>
      <c r="X68" s="483">
        <f t="shared" si="33"/>
        <v>16.721473543115835</v>
      </c>
      <c r="Y68" s="483">
        <f t="shared" si="33"/>
        <v>16.71089979522673</v>
      </c>
      <c r="Z68" s="483">
        <f t="shared" si="33"/>
        <v>16.707110124011152</v>
      </c>
      <c r="AA68" s="483">
        <f t="shared" ref="AA68:AJ75" si="34">IFERROR(INDEX($G$122:$AU$177,MATCH($E68,$E$122:$E$177,0),MATCH(AA$6,$G$121:$AU$121,0)),0)*$E$189</f>
        <v>16.706076305204942</v>
      </c>
      <c r="AB68" s="483">
        <f t="shared" si="34"/>
        <v>16.729119169074192</v>
      </c>
      <c r="AC68" s="483">
        <f t="shared" si="34"/>
        <v>16.752162032943442</v>
      </c>
      <c r="AD68" s="483">
        <f t="shared" si="34"/>
        <v>16.775204896812689</v>
      </c>
      <c r="AE68" s="483">
        <f t="shared" si="34"/>
        <v>16.798247760681935</v>
      </c>
      <c r="AF68" s="483">
        <f t="shared" si="34"/>
        <v>16.821290624551189</v>
      </c>
      <c r="AG68" s="483">
        <f t="shared" si="34"/>
        <v>16.844333488420439</v>
      </c>
      <c r="AH68" s="483">
        <f t="shared" si="34"/>
        <v>16.867376352289682</v>
      </c>
      <c r="AI68" s="483">
        <f t="shared" si="34"/>
        <v>16.890419216158932</v>
      </c>
      <c r="AJ68" s="483">
        <f t="shared" si="34"/>
        <v>16.913462080028175</v>
      </c>
      <c r="AK68" s="483">
        <f t="shared" ref="AK68:AU75" si="35">IFERROR(INDEX($G$122:$AU$177,MATCH($E68,$E$122:$E$177,0),MATCH(AK$6,$G$121:$AU$121,0)),0)*$E$189</f>
        <v>16.936504943897425</v>
      </c>
      <c r="AL68" s="483">
        <f t="shared" si="35"/>
        <v>16.959547807766675</v>
      </c>
      <c r="AM68" s="483">
        <f t="shared" si="35"/>
        <v>16.982590671635922</v>
      </c>
      <c r="AN68" s="483">
        <f t="shared" si="35"/>
        <v>17.005633535505169</v>
      </c>
      <c r="AO68" s="483">
        <f t="shared" si="35"/>
        <v>17.028676399374419</v>
      </c>
      <c r="AP68" s="483">
        <f t="shared" si="35"/>
        <v>17.051719263243669</v>
      </c>
      <c r="AQ68" s="483">
        <f t="shared" si="35"/>
        <v>17.074762127112919</v>
      </c>
      <c r="AR68" s="483">
        <f t="shared" si="35"/>
        <v>17.097804990982162</v>
      </c>
      <c r="AS68" s="483">
        <f t="shared" si="35"/>
        <v>17.120847854851416</v>
      </c>
      <c r="AT68" s="483">
        <f t="shared" si="35"/>
        <v>17.143890718720659</v>
      </c>
      <c r="AU68" s="483">
        <f t="shared" si="35"/>
        <v>17.166933582589913</v>
      </c>
      <c r="AV68" s="484">
        <v>5</v>
      </c>
      <c r="AW68" s="483"/>
      <c r="AX68" s="483"/>
      <c r="AY68" s="483"/>
      <c r="BA68" s="602"/>
      <c r="BB68" s="602"/>
      <c r="BC68" s="602"/>
      <c r="CA68" s="483"/>
      <c r="CB68" s="483"/>
      <c r="CC68" s="483"/>
      <c r="CD68" s="483"/>
      <c r="CE68" s="483"/>
      <c r="CF68" s="483"/>
      <c r="CH68" s="602"/>
      <c r="CI68" s="602"/>
      <c r="CJ68" s="602"/>
      <c r="CK68" s="602"/>
      <c r="CL68" s="602"/>
      <c r="CM68" s="602"/>
      <c r="CN68" s="602"/>
      <c r="CO68" s="602"/>
      <c r="CP68" s="602"/>
      <c r="CQ68" s="602"/>
      <c r="CR68" s="602"/>
      <c r="CS68" s="602"/>
      <c r="CT68" s="602"/>
      <c r="CU68" s="602"/>
      <c r="CV68" s="602"/>
      <c r="CW68" s="602"/>
      <c r="CX68" s="602"/>
      <c r="CY68" s="602"/>
      <c r="CZ68" s="602"/>
      <c r="DA68" s="602"/>
      <c r="DB68" s="602"/>
      <c r="DC68" s="602"/>
      <c r="DD68" s="602"/>
      <c r="DE68" s="602"/>
      <c r="DF68" s="602"/>
      <c r="DG68" s="602"/>
      <c r="DH68" s="602"/>
      <c r="DI68" s="602"/>
      <c r="DJ68" s="602"/>
      <c r="DK68" s="602"/>
      <c r="DL68" s="602"/>
      <c r="DM68" s="602"/>
      <c r="DN68" s="602"/>
      <c r="DO68" s="602"/>
    </row>
    <row r="69" spans="2:119" ht="15">
      <c r="B69" s="8" t="str">
        <f>Processes!D83</f>
        <v>MINCRD</v>
      </c>
      <c r="C69" s="8" t="str">
        <f>Processes!E83</f>
        <v>Mining technology - Mining Crude Oil</v>
      </c>
      <c r="D69" s="216"/>
      <c r="E69" s="486" t="s">
        <v>735</v>
      </c>
      <c r="F69" s="1119" t="str">
        <f t="shared" si="5"/>
        <v>MKr19</v>
      </c>
      <c r="G69" s="483">
        <f t="shared" si="32"/>
        <v>38.1</v>
      </c>
      <c r="H69" s="483">
        <f t="shared" si="32"/>
        <v>53.05</v>
      </c>
      <c r="I69" s="483">
        <f t="shared" si="32"/>
        <v>56.45</v>
      </c>
      <c r="J69" s="483">
        <f t="shared" si="32"/>
        <v>50.15</v>
      </c>
      <c r="K69" s="483">
        <f t="shared" si="32"/>
        <v>48.65</v>
      </c>
      <c r="L69" s="483">
        <f t="shared" si="32"/>
        <v>31.35</v>
      </c>
      <c r="M69" s="483">
        <f t="shared" si="32"/>
        <v>29.95</v>
      </c>
      <c r="N69" s="483">
        <f t="shared" si="32"/>
        <v>31.95</v>
      </c>
      <c r="O69" s="483">
        <f t="shared" si="32"/>
        <v>39.296456059651113</v>
      </c>
      <c r="P69" s="483">
        <f t="shared" si="32"/>
        <v>36.333904109589035</v>
      </c>
      <c r="Q69" s="483">
        <f t="shared" si="33"/>
        <v>35.595773973805329</v>
      </c>
      <c r="R69" s="483">
        <f t="shared" si="33"/>
        <v>24.590558528714574</v>
      </c>
      <c r="S69" s="483">
        <f t="shared" si="33"/>
        <v>26.290661716037413</v>
      </c>
      <c r="T69" s="483">
        <f t="shared" si="33"/>
        <v>27.444983238166369</v>
      </c>
      <c r="U69" s="483">
        <f t="shared" si="33"/>
        <v>28.284194031230708</v>
      </c>
      <c r="V69" s="483">
        <f t="shared" si="33"/>
        <v>28.893214528675163</v>
      </c>
      <c r="W69" s="483">
        <f t="shared" si="33"/>
        <v>29.573135085849277</v>
      </c>
      <c r="X69" s="483">
        <f t="shared" si="33"/>
        <v>30.239023493434509</v>
      </c>
      <c r="Y69" s="483">
        <f t="shared" si="33"/>
        <v>30.851587128652312</v>
      </c>
      <c r="Z69" s="483">
        <f t="shared" si="33"/>
        <v>31.494801163848638</v>
      </c>
      <c r="AA69" s="483">
        <f t="shared" si="34"/>
        <v>32.104560774081321</v>
      </c>
      <c r="AB69" s="483">
        <f t="shared" si="34"/>
        <v>31.950766470971942</v>
      </c>
      <c r="AC69" s="483">
        <f t="shared" si="34"/>
        <v>31.79697216786257</v>
      </c>
      <c r="AD69" s="483">
        <f t="shared" si="34"/>
        <v>31.643177864753202</v>
      </c>
      <c r="AE69" s="483">
        <f t="shared" si="34"/>
        <v>31.489383561643827</v>
      </c>
      <c r="AF69" s="483">
        <f t="shared" si="34"/>
        <v>31.335589258534458</v>
      </c>
      <c r="AG69" s="483">
        <f t="shared" si="34"/>
        <v>31.181794955425087</v>
      </c>
      <c r="AH69" s="483">
        <f t="shared" si="34"/>
        <v>31.028000652315718</v>
      </c>
      <c r="AI69" s="483">
        <f t="shared" si="34"/>
        <v>30.87420634920635</v>
      </c>
      <c r="AJ69" s="483">
        <f t="shared" si="34"/>
        <v>30.720412046096975</v>
      </c>
      <c r="AK69" s="483">
        <f t="shared" si="35"/>
        <v>30.566617742987603</v>
      </c>
      <c r="AL69" s="483">
        <f t="shared" si="35"/>
        <v>30.412823439878235</v>
      </c>
      <c r="AM69" s="483">
        <f t="shared" si="35"/>
        <v>30.259029136768859</v>
      </c>
      <c r="AN69" s="483">
        <f t="shared" si="35"/>
        <v>30.105234833659487</v>
      </c>
      <c r="AO69" s="483">
        <f t="shared" si="35"/>
        <v>29.951440530550119</v>
      </c>
      <c r="AP69" s="483">
        <f t="shared" si="35"/>
        <v>29.797646227440747</v>
      </c>
      <c r="AQ69" s="483">
        <f t="shared" si="35"/>
        <v>29.643851924331376</v>
      </c>
      <c r="AR69" s="483">
        <f t="shared" si="35"/>
        <v>29.490057621222004</v>
      </c>
      <c r="AS69" s="483">
        <f t="shared" si="35"/>
        <v>29.336263318112636</v>
      </c>
      <c r="AT69" s="483">
        <f t="shared" si="35"/>
        <v>29.182469015003264</v>
      </c>
      <c r="AU69" s="483">
        <f t="shared" si="35"/>
        <v>29.028674711893892</v>
      </c>
      <c r="AV69" s="484">
        <v>5</v>
      </c>
      <c r="AW69" s="483"/>
      <c r="AX69" s="483"/>
      <c r="AY69" s="483"/>
      <c r="BA69" s="602"/>
      <c r="BB69" s="602"/>
      <c r="BC69" s="602"/>
      <c r="CA69" s="483"/>
      <c r="CB69" s="483"/>
      <c r="CC69" s="483"/>
      <c r="CD69" s="483"/>
      <c r="CE69" s="483"/>
      <c r="CF69" s="483"/>
      <c r="CG69" s="602"/>
      <c r="CH69" s="602"/>
      <c r="CI69" s="602"/>
      <c r="CJ69" s="602"/>
      <c r="CK69" s="602"/>
      <c r="CL69" s="602"/>
      <c r="CM69" s="602"/>
      <c r="CN69" s="602"/>
      <c r="CO69" s="602"/>
      <c r="CP69" s="602"/>
      <c r="CQ69" s="602"/>
      <c r="CR69" s="602"/>
      <c r="CS69" s="602"/>
      <c r="CT69" s="602"/>
      <c r="CU69" s="602"/>
      <c r="CV69" s="602"/>
      <c r="CW69" s="602"/>
      <c r="CX69" s="602"/>
      <c r="CY69" s="602"/>
      <c r="CZ69" s="602"/>
      <c r="DA69" s="602"/>
      <c r="DB69" s="602"/>
      <c r="DC69" s="602"/>
      <c r="DD69" s="602"/>
      <c r="DE69" s="602"/>
      <c r="DF69" s="602"/>
      <c r="DG69" s="602"/>
      <c r="DH69" s="602"/>
      <c r="DI69" s="602"/>
      <c r="DJ69" s="602"/>
      <c r="DK69" s="602"/>
      <c r="DL69" s="602"/>
      <c r="DM69" s="602"/>
      <c r="DN69" s="602"/>
      <c r="DO69" s="602"/>
    </row>
    <row r="70" spans="2:119" ht="15">
      <c r="B70" s="8" t="str">
        <f>Processes!D84</f>
        <v>MINWIN</v>
      </c>
      <c r="C70" s="8" t="str">
        <f>Processes!E84</f>
        <v>Mining technology - Wind</v>
      </c>
      <c r="D70" s="216"/>
      <c r="E70" s="216" t="str">
        <f t="shared" si="23"/>
        <v>WIN</v>
      </c>
      <c r="F70" s="1119" t="str">
        <f t="shared" si="5"/>
        <v>MKr19</v>
      </c>
      <c r="G70" s="483">
        <f t="shared" si="32"/>
        <v>0</v>
      </c>
      <c r="H70" s="483">
        <f t="shared" si="32"/>
        <v>0</v>
      </c>
      <c r="I70" s="483">
        <f t="shared" si="32"/>
        <v>0</v>
      </c>
      <c r="J70" s="483">
        <f t="shared" si="32"/>
        <v>0</v>
      </c>
      <c r="K70" s="483">
        <f t="shared" si="32"/>
        <v>0</v>
      </c>
      <c r="L70" s="483">
        <f t="shared" si="32"/>
        <v>0</v>
      </c>
      <c r="M70" s="483">
        <f t="shared" si="32"/>
        <v>0</v>
      </c>
      <c r="N70" s="483">
        <f t="shared" si="32"/>
        <v>0</v>
      </c>
      <c r="O70" s="483">
        <f t="shared" si="32"/>
        <v>0</v>
      </c>
      <c r="P70" s="483">
        <f t="shared" si="32"/>
        <v>0</v>
      </c>
      <c r="Q70" s="483">
        <f t="shared" si="33"/>
        <v>0</v>
      </c>
      <c r="R70" s="483">
        <f t="shared" si="33"/>
        <v>0</v>
      </c>
      <c r="S70" s="483">
        <f t="shared" si="33"/>
        <v>0</v>
      </c>
      <c r="T70" s="483">
        <f t="shared" si="33"/>
        <v>0</v>
      </c>
      <c r="U70" s="483">
        <f t="shared" si="33"/>
        <v>0</v>
      </c>
      <c r="V70" s="483">
        <f t="shared" si="33"/>
        <v>0</v>
      </c>
      <c r="W70" s="483">
        <f t="shared" si="33"/>
        <v>0</v>
      </c>
      <c r="X70" s="483">
        <f t="shared" si="33"/>
        <v>0</v>
      </c>
      <c r="Y70" s="483">
        <f t="shared" si="33"/>
        <v>0</v>
      </c>
      <c r="Z70" s="483">
        <f t="shared" si="33"/>
        <v>0</v>
      </c>
      <c r="AA70" s="483">
        <f t="shared" si="34"/>
        <v>0</v>
      </c>
      <c r="AB70" s="483">
        <f t="shared" si="34"/>
        <v>0</v>
      </c>
      <c r="AC70" s="483">
        <f t="shared" si="34"/>
        <v>0</v>
      </c>
      <c r="AD70" s="483">
        <f t="shared" si="34"/>
        <v>0</v>
      </c>
      <c r="AE70" s="483">
        <f t="shared" si="34"/>
        <v>0</v>
      </c>
      <c r="AF70" s="483">
        <f t="shared" si="34"/>
        <v>0</v>
      </c>
      <c r="AG70" s="483">
        <f t="shared" si="34"/>
        <v>0</v>
      </c>
      <c r="AH70" s="483">
        <f t="shared" si="34"/>
        <v>0</v>
      </c>
      <c r="AI70" s="483">
        <f t="shared" si="34"/>
        <v>0</v>
      </c>
      <c r="AJ70" s="483">
        <f t="shared" si="34"/>
        <v>0</v>
      </c>
      <c r="AK70" s="483">
        <f t="shared" si="35"/>
        <v>0</v>
      </c>
      <c r="AL70" s="483">
        <f t="shared" si="35"/>
        <v>0</v>
      </c>
      <c r="AM70" s="483">
        <f t="shared" si="35"/>
        <v>0</v>
      </c>
      <c r="AN70" s="483">
        <f t="shared" si="35"/>
        <v>0</v>
      </c>
      <c r="AO70" s="483">
        <f t="shared" si="35"/>
        <v>0</v>
      </c>
      <c r="AP70" s="483">
        <f t="shared" si="35"/>
        <v>0</v>
      </c>
      <c r="AQ70" s="483">
        <f t="shared" si="35"/>
        <v>0</v>
      </c>
      <c r="AR70" s="483">
        <f t="shared" si="35"/>
        <v>0</v>
      </c>
      <c r="AS70" s="483">
        <f t="shared" si="35"/>
        <v>0</v>
      </c>
      <c r="AT70" s="483">
        <f t="shared" si="35"/>
        <v>0</v>
      </c>
      <c r="AU70" s="483">
        <f t="shared" si="35"/>
        <v>0</v>
      </c>
      <c r="AV70" s="484">
        <v>5</v>
      </c>
    </row>
    <row r="71" spans="2:119" ht="15">
      <c r="B71" s="8" t="str">
        <f>Processes!D85</f>
        <v>MINHYD</v>
      </c>
      <c r="C71" s="8" t="str">
        <f>Processes!E85</f>
        <v>Mining technology - Hydro</v>
      </c>
      <c r="D71" s="216"/>
      <c r="E71" s="216" t="str">
        <f t="shared" si="23"/>
        <v>HYD</v>
      </c>
      <c r="F71" s="1119" t="str">
        <f t="shared" si="5"/>
        <v>MKr19</v>
      </c>
      <c r="G71" s="483">
        <f t="shared" si="32"/>
        <v>0</v>
      </c>
      <c r="H71" s="483">
        <f t="shared" si="32"/>
        <v>0</v>
      </c>
      <c r="I71" s="483">
        <f t="shared" si="32"/>
        <v>0</v>
      </c>
      <c r="J71" s="483">
        <f t="shared" si="32"/>
        <v>0</v>
      </c>
      <c r="K71" s="483">
        <f t="shared" si="32"/>
        <v>0</v>
      </c>
      <c r="L71" s="483">
        <f t="shared" si="32"/>
        <v>0</v>
      </c>
      <c r="M71" s="483">
        <f t="shared" si="32"/>
        <v>0</v>
      </c>
      <c r="N71" s="483">
        <f t="shared" si="32"/>
        <v>0</v>
      </c>
      <c r="O71" s="483">
        <f t="shared" si="32"/>
        <v>0</v>
      </c>
      <c r="P71" s="483">
        <f t="shared" si="32"/>
        <v>0</v>
      </c>
      <c r="Q71" s="483">
        <f t="shared" si="33"/>
        <v>0</v>
      </c>
      <c r="R71" s="483">
        <f t="shared" si="33"/>
        <v>0</v>
      </c>
      <c r="S71" s="483">
        <f t="shared" si="33"/>
        <v>0</v>
      </c>
      <c r="T71" s="483">
        <f t="shared" si="33"/>
        <v>0</v>
      </c>
      <c r="U71" s="483">
        <f t="shared" si="33"/>
        <v>0</v>
      </c>
      <c r="V71" s="483">
        <f t="shared" si="33"/>
        <v>0</v>
      </c>
      <c r="W71" s="483">
        <f t="shared" si="33"/>
        <v>0</v>
      </c>
      <c r="X71" s="483">
        <f t="shared" si="33"/>
        <v>0</v>
      </c>
      <c r="Y71" s="483">
        <f t="shared" si="33"/>
        <v>0</v>
      </c>
      <c r="Z71" s="483">
        <f t="shared" si="33"/>
        <v>0</v>
      </c>
      <c r="AA71" s="483">
        <f t="shared" si="34"/>
        <v>0</v>
      </c>
      <c r="AB71" s="483">
        <f t="shared" si="34"/>
        <v>0</v>
      </c>
      <c r="AC71" s="483">
        <f t="shared" si="34"/>
        <v>0</v>
      </c>
      <c r="AD71" s="483">
        <f t="shared" si="34"/>
        <v>0</v>
      </c>
      <c r="AE71" s="483">
        <f t="shared" si="34"/>
        <v>0</v>
      </c>
      <c r="AF71" s="483">
        <f t="shared" si="34"/>
        <v>0</v>
      </c>
      <c r="AG71" s="483">
        <f t="shared" si="34"/>
        <v>0</v>
      </c>
      <c r="AH71" s="483">
        <f t="shared" si="34"/>
        <v>0</v>
      </c>
      <c r="AI71" s="483">
        <f t="shared" si="34"/>
        <v>0</v>
      </c>
      <c r="AJ71" s="483">
        <f t="shared" si="34"/>
        <v>0</v>
      </c>
      <c r="AK71" s="483">
        <f t="shared" si="35"/>
        <v>0</v>
      </c>
      <c r="AL71" s="483">
        <f t="shared" si="35"/>
        <v>0</v>
      </c>
      <c r="AM71" s="483">
        <f t="shared" si="35"/>
        <v>0</v>
      </c>
      <c r="AN71" s="483">
        <f t="shared" si="35"/>
        <v>0</v>
      </c>
      <c r="AO71" s="483">
        <f t="shared" si="35"/>
        <v>0</v>
      </c>
      <c r="AP71" s="483">
        <f t="shared" si="35"/>
        <v>0</v>
      </c>
      <c r="AQ71" s="483">
        <f t="shared" si="35"/>
        <v>0</v>
      </c>
      <c r="AR71" s="483">
        <f t="shared" si="35"/>
        <v>0</v>
      </c>
      <c r="AS71" s="483">
        <f t="shared" si="35"/>
        <v>0</v>
      </c>
      <c r="AT71" s="483">
        <f t="shared" si="35"/>
        <v>0</v>
      </c>
      <c r="AU71" s="483">
        <f t="shared" si="35"/>
        <v>0</v>
      </c>
      <c r="AV71" s="484">
        <v>5</v>
      </c>
    </row>
    <row r="72" spans="2:119" ht="15">
      <c r="B72" s="8" t="str">
        <f>Processes!D86</f>
        <v>MINSOL</v>
      </c>
      <c r="C72" s="8" t="str">
        <f>Processes!E86</f>
        <v>Mining technology - Solar</v>
      </c>
      <c r="D72" s="216"/>
      <c r="E72" s="216" t="str">
        <f t="shared" si="23"/>
        <v>SOL</v>
      </c>
      <c r="F72" s="1119" t="str">
        <f t="shared" si="5"/>
        <v>MKr19</v>
      </c>
      <c r="G72" s="483">
        <f t="shared" si="32"/>
        <v>0</v>
      </c>
      <c r="H72" s="483">
        <f t="shared" si="32"/>
        <v>0</v>
      </c>
      <c r="I72" s="483">
        <f t="shared" si="32"/>
        <v>0</v>
      </c>
      <c r="J72" s="483">
        <f t="shared" si="32"/>
        <v>0</v>
      </c>
      <c r="K72" s="483">
        <f t="shared" si="32"/>
        <v>0</v>
      </c>
      <c r="L72" s="483">
        <f t="shared" si="32"/>
        <v>0</v>
      </c>
      <c r="M72" s="483">
        <f t="shared" si="32"/>
        <v>0</v>
      </c>
      <c r="N72" s="483">
        <f t="shared" si="32"/>
        <v>0</v>
      </c>
      <c r="O72" s="483">
        <f t="shared" si="32"/>
        <v>0</v>
      </c>
      <c r="P72" s="483">
        <f t="shared" si="32"/>
        <v>0</v>
      </c>
      <c r="Q72" s="483">
        <f t="shared" si="33"/>
        <v>0</v>
      </c>
      <c r="R72" s="483">
        <f t="shared" si="33"/>
        <v>0</v>
      </c>
      <c r="S72" s="483">
        <f t="shared" si="33"/>
        <v>0</v>
      </c>
      <c r="T72" s="483">
        <f t="shared" si="33"/>
        <v>0</v>
      </c>
      <c r="U72" s="483">
        <f t="shared" si="33"/>
        <v>0</v>
      </c>
      <c r="V72" s="483">
        <f t="shared" si="33"/>
        <v>0</v>
      </c>
      <c r="W72" s="483">
        <f t="shared" si="33"/>
        <v>0</v>
      </c>
      <c r="X72" s="483">
        <f t="shared" si="33"/>
        <v>0</v>
      </c>
      <c r="Y72" s="483">
        <f t="shared" si="33"/>
        <v>0</v>
      </c>
      <c r="Z72" s="483">
        <f t="shared" si="33"/>
        <v>0</v>
      </c>
      <c r="AA72" s="483">
        <f t="shared" si="34"/>
        <v>0</v>
      </c>
      <c r="AB72" s="483">
        <f t="shared" si="34"/>
        <v>0</v>
      </c>
      <c r="AC72" s="483">
        <f t="shared" si="34"/>
        <v>0</v>
      </c>
      <c r="AD72" s="483">
        <f t="shared" si="34"/>
        <v>0</v>
      </c>
      <c r="AE72" s="483">
        <f t="shared" si="34"/>
        <v>0</v>
      </c>
      <c r="AF72" s="483">
        <f t="shared" si="34"/>
        <v>0</v>
      </c>
      <c r="AG72" s="483">
        <f t="shared" si="34"/>
        <v>0</v>
      </c>
      <c r="AH72" s="483">
        <f t="shared" si="34"/>
        <v>0</v>
      </c>
      <c r="AI72" s="483">
        <f t="shared" si="34"/>
        <v>0</v>
      </c>
      <c r="AJ72" s="483">
        <f t="shared" si="34"/>
        <v>0</v>
      </c>
      <c r="AK72" s="483">
        <f t="shared" si="35"/>
        <v>0</v>
      </c>
      <c r="AL72" s="483">
        <f t="shared" si="35"/>
        <v>0</v>
      </c>
      <c r="AM72" s="483">
        <f t="shared" si="35"/>
        <v>0</v>
      </c>
      <c r="AN72" s="483">
        <f t="shared" si="35"/>
        <v>0</v>
      </c>
      <c r="AO72" s="483">
        <f t="shared" si="35"/>
        <v>0</v>
      </c>
      <c r="AP72" s="483">
        <f t="shared" si="35"/>
        <v>0</v>
      </c>
      <c r="AQ72" s="483">
        <f t="shared" si="35"/>
        <v>0</v>
      </c>
      <c r="AR72" s="483">
        <f t="shared" si="35"/>
        <v>0</v>
      </c>
      <c r="AS72" s="483">
        <f t="shared" si="35"/>
        <v>0</v>
      </c>
      <c r="AT72" s="483">
        <f t="shared" si="35"/>
        <v>0</v>
      </c>
      <c r="AU72" s="483">
        <f t="shared" si="35"/>
        <v>0</v>
      </c>
      <c r="AV72" s="484">
        <v>5</v>
      </c>
    </row>
    <row r="73" spans="2:119" ht="15">
      <c r="B73" s="8" t="str">
        <f>Processes!D87</f>
        <v>MINGEO</v>
      </c>
      <c r="C73" s="8" t="str">
        <f>Processes!E87</f>
        <v>Mining technology - Geothermal</v>
      </c>
      <c r="D73" s="216"/>
      <c r="E73" s="216" t="str">
        <f t="shared" si="23"/>
        <v>GEO</v>
      </c>
      <c r="F73" s="1119" t="str">
        <f t="shared" si="5"/>
        <v>MKr19</v>
      </c>
      <c r="G73" s="483">
        <f t="shared" si="32"/>
        <v>0</v>
      </c>
      <c r="H73" s="483">
        <f t="shared" si="32"/>
        <v>0</v>
      </c>
      <c r="I73" s="483">
        <f t="shared" si="32"/>
        <v>0</v>
      </c>
      <c r="J73" s="483">
        <f t="shared" si="32"/>
        <v>0</v>
      </c>
      <c r="K73" s="483">
        <f t="shared" si="32"/>
        <v>0</v>
      </c>
      <c r="L73" s="483">
        <f t="shared" si="32"/>
        <v>0</v>
      </c>
      <c r="M73" s="483">
        <f t="shared" si="32"/>
        <v>0</v>
      </c>
      <c r="N73" s="483">
        <f t="shared" si="32"/>
        <v>0</v>
      </c>
      <c r="O73" s="483">
        <f t="shared" si="32"/>
        <v>0</v>
      </c>
      <c r="P73" s="483">
        <f t="shared" si="32"/>
        <v>0</v>
      </c>
      <c r="Q73" s="483">
        <f t="shared" si="33"/>
        <v>0</v>
      </c>
      <c r="R73" s="483">
        <f t="shared" si="33"/>
        <v>0</v>
      </c>
      <c r="S73" s="483">
        <f t="shared" si="33"/>
        <v>0</v>
      </c>
      <c r="T73" s="483">
        <f t="shared" si="33"/>
        <v>0</v>
      </c>
      <c r="U73" s="483">
        <f t="shared" si="33"/>
        <v>0</v>
      </c>
      <c r="V73" s="483">
        <f t="shared" si="33"/>
        <v>0</v>
      </c>
      <c r="W73" s="483">
        <f t="shared" si="33"/>
        <v>0</v>
      </c>
      <c r="X73" s="483">
        <f t="shared" si="33"/>
        <v>0</v>
      </c>
      <c r="Y73" s="483">
        <f t="shared" si="33"/>
        <v>0</v>
      </c>
      <c r="Z73" s="483">
        <f t="shared" si="33"/>
        <v>0</v>
      </c>
      <c r="AA73" s="483">
        <f t="shared" si="34"/>
        <v>0</v>
      </c>
      <c r="AB73" s="483">
        <f t="shared" si="34"/>
        <v>0</v>
      </c>
      <c r="AC73" s="483">
        <f t="shared" si="34"/>
        <v>0</v>
      </c>
      <c r="AD73" s="483">
        <f t="shared" si="34"/>
        <v>0</v>
      </c>
      <c r="AE73" s="483">
        <f t="shared" si="34"/>
        <v>0</v>
      </c>
      <c r="AF73" s="483">
        <f t="shared" si="34"/>
        <v>0</v>
      </c>
      <c r="AG73" s="483">
        <f t="shared" si="34"/>
        <v>0</v>
      </c>
      <c r="AH73" s="483">
        <f t="shared" si="34"/>
        <v>0</v>
      </c>
      <c r="AI73" s="483">
        <f t="shared" si="34"/>
        <v>0</v>
      </c>
      <c r="AJ73" s="483">
        <f t="shared" si="34"/>
        <v>0</v>
      </c>
      <c r="AK73" s="483">
        <f t="shared" si="35"/>
        <v>0</v>
      </c>
      <c r="AL73" s="483">
        <f t="shared" si="35"/>
        <v>0</v>
      </c>
      <c r="AM73" s="483">
        <f t="shared" si="35"/>
        <v>0</v>
      </c>
      <c r="AN73" s="483">
        <f t="shared" si="35"/>
        <v>0</v>
      </c>
      <c r="AO73" s="483">
        <f t="shared" si="35"/>
        <v>0</v>
      </c>
      <c r="AP73" s="483">
        <f t="shared" si="35"/>
        <v>0</v>
      </c>
      <c r="AQ73" s="483">
        <f t="shared" si="35"/>
        <v>0</v>
      </c>
      <c r="AR73" s="483">
        <f t="shared" si="35"/>
        <v>0</v>
      </c>
      <c r="AS73" s="483">
        <f t="shared" si="35"/>
        <v>0</v>
      </c>
      <c r="AT73" s="483">
        <f t="shared" si="35"/>
        <v>0</v>
      </c>
      <c r="AU73" s="483">
        <f t="shared" si="35"/>
        <v>0</v>
      </c>
      <c r="AV73" s="484">
        <v>5</v>
      </c>
    </row>
    <row r="74" spans="2:119" ht="15">
      <c r="B74" s="8" t="str">
        <f>Processes!D88</f>
        <v>MINWAV</v>
      </c>
      <c r="C74" s="8" t="str">
        <f>Processes!E88</f>
        <v>Mining technology - Wave</v>
      </c>
      <c r="D74" s="216"/>
      <c r="E74" s="216" t="str">
        <f t="shared" si="23"/>
        <v>WAV</v>
      </c>
      <c r="F74" s="1119" t="str">
        <f t="shared" si="5"/>
        <v>MKr19</v>
      </c>
      <c r="G74" s="483">
        <f t="shared" si="32"/>
        <v>0</v>
      </c>
      <c r="H74" s="483">
        <f t="shared" si="32"/>
        <v>0</v>
      </c>
      <c r="I74" s="483">
        <f t="shared" si="32"/>
        <v>0</v>
      </c>
      <c r="J74" s="483">
        <f t="shared" si="32"/>
        <v>0</v>
      </c>
      <c r="K74" s="483">
        <f t="shared" si="32"/>
        <v>0</v>
      </c>
      <c r="L74" s="483">
        <f t="shared" si="32"/>
        <v>0</v>
      </c>
      <c r="M74" s="483">
        <f t="shared" si="32"/>
        <v>0</v>
      </c>
      <c r="N74" s="483">
        <f t="shared" si="32"/>
        <v>0</v>
      </c>
      <c r="O74" s="483">
        <f t="shared" si="32"/>
        <v>0</v>
      </c>
      <c r="P74" s="483">
        <f t="shared" si="32"/>
        <v>0</v>
      </c>
      <c r="Q74" s="483">
        <f t="shared" si="33"/>
        <v>0</v>
      </c>
      <c r="R74" s="483">
        <f t="shared" si="33"/>
        <v>0</v>
      </c>
      <c r="S74" s="483">
        <f t="shared" si="33"/>
        <v>0</v>
      </c>
      <c r="T74" s="483">
        <f t="shared" si="33"/>
        <v>0</v>
      </c>
      <c r="U74" s="483">
        <f t="shared" si="33"/>
        <v>0</v>
      </c>
      <c r="V74" s="483">
        <f t="shared" si="33"/>
        <v>0</v>
      </c>
      <c r="W74" s="483">
        <f t="shared" si="33"/>
        <v>0</v>
      </c>
      <c r="X74" s="483">
        <f t="shared" si="33"/>
        <v>0</v>
      </c>
      <c r="Y74" s="483">
        <f t="shared" si="33"/>
        <v>0</v>
      </c>
      <c r="Z74" s="483">
        <f t="shared" si="33"/>
        <v>0</v>
      </c>
      <c r="AA74" s="483">
        <f t="shared" si="34"/>
        <v>0</v>
      </c>
      <c r="AB74" s="483">
        <f t="shared" si="34"/>
        <v>0</v>
      </c>
      <c r="AC74" s="483">
        <f t="shared" si="34"/>
        <v>0</v>
      </c>
      <c r="AD74" s="483">
        <f t="shared" si="34"/>
        <v>0</v>
      </c>
      <c r="AE74" s="483">
        <f t="shared" si="34"/>
        <v>0</v>
      </c>
      <c r="AF74" s="483">
        <f t="shared" si="34"/>
        <v>0</v>
      </c>
      <c r="AG74" s="483">
        <f t="shared" si="34"/>
        <v>0</v>
      </c>
      <c r="AH74" s="483">
        <f t="shared" si="34"/>
        <v>0</v>
      </c>
      <c r="AI74" s="483">
        <f t="shared" si="34"/>
        <v>0</v>
      </c>
      <c r="AJ74" s="483">
        <f t="shared" si="34"/>
        <v>0</v>
      </c>
      <c r="AK74" s="483">
        <f t="shared" si="35"/>
        <v>0</v>
      </c>
      <c r="AL74" s="483">
        <f t="shared" si="35"/>
        <v>0</v>
      </c>
      <c r="AM74" s="483">
        <f t="shared" si="35"/>
        <v>0</v>
      </c>
      <c r="AN74" s="483">
        <f t="shared" si="35"/>
        <v>0</v>
      </c>
      <c r="AO74" s="483">
        <f t="shared" si="35"/>
        <v>0</v>
      </c>
      <c r="AP74" s="483">
        <f t="shared" si="35"/>
        <v>0</v>
      </c>
      <c r="AQ74" s="483">
        <f t="shared" si="35"/>
        <v>0</v>
      </c>
      <c r="AR74" s="483">
        <f t="shared" si="35"/>
        <v>0</v>
      </c>
      <c r="AS74" s="483">
        <f t="shared" si="35"/>
        <v>0</v>
      </c>
      <c r="AT74" s="483">
        <f t="shared" si="35"/>
        <v>0</v>
      </c>
      <c r="AU74" s="483">
        <f t="shared" si="35"/>
        <v>0</v>
      </c>
      <c r="AV74" s="484">
        <v>5</v>
      </c>
    </row>
    <row r="75" spans="2:119" ht="15">
      <c r="B75" s="560" t="str">
        <f>Processes!D89</f>
        <v>MINMOV</v>
      </c>
      <c r="C75" s="560" t="str">
        <f>Processes!E89</f>
        <v>Mining technology - Movement - Dummy commodity for bike and walk</v>
      </c>
      <c r="D75" s="561"/>
      <c r="E75" s="561" t="str">
        <f t="shared" si="23"/>
        <v>MOV</v>
      </c>
      <c r="F75" s="1119" t="str">
        <f>IFERROR(VLOOKUP(E75,$E$122:$F$174,2,FALSE),"MKr19")</f>
        <v>MKr19</v>
      </c>
      <c r="G75" s="562">
        <f t="shared" si="32"/>
        <v>0</v>
      </c>
      <c r="H75" s="562">
        <f t="shared" si="32"/>
        <v>0</v>
      </c>
      <c r="I75" s="562">
        <f t="shared" si="32"/>
        <v>0</v>
      </c>
      <c r="J75" s="562">
        <f t="shared" si="32"/>
        <v>0</v>
      </c>
      <c r="K75" s="562">
        <f t="shared" si="32"/>
        <v>0</v>
      </c>
      <c r="L75" s="562">
        <f t="shared" si="32"/>
        <v>0</v>
      </c>
      <c r="M75" s="562">
        <f t="shared" si="32"/>
        <v>0</v>
      </c>
      <c r="N75" s="562">
        <f t="shared" si="32"/>
        <v>0</v>
      </c>
      <c r="O75" s="562">
        <f t="shared" si="32"/>
        <v>0</v>
      </c>
      <c r="P75" s="562">
        <f t="shared" si="32"/>
        <v>0</v>
      </c>
      <c r="Q75" s="562">
        <f t="shared" si="33"/>
        <v>0</v>
      </c>
      <c r="R75" s="562">
        <f t="shared" si="33"/>
        <v>0</v>
      </c>
      <c r="S75" s="562">
        <f t="shared" si="33"/>
        <v>0</v>
      </c>
      <c r="T75" s="562">
        <f t="shared" si="33"/>
        <v>0</v>
      </c>
      <c r="U75" s="562">
        <f t="shared" si="33"/>
        <v>0</v>
      </c>
      <c r="V75" s="562">
        <f t="shared" si="33"/>
        <v>0</v>
      </c>
      <c r="W75" s="562">
        <f t="shared" si="33"/>
        <v>0</v>
      </c>
      <c r="X75" s="562">
        <f t="shared" si="33"/>
        <v>0</v>
      </c>
      <c r="Y75" s="562">
        <f t="shared" si="33"/>
        <v>0</v>
      </c>
      <c r="Z75" s="562">
        <f t="shared" si="33"/>
        <v>0</v>
      </c>
      <c r="AA75" s="562">
        <f t="shared" si="34"/>
        <v>0</v>
      </c>
      <c r="AB75" s="562">
        <f t="shared" si="34"/>
        <v>0</v>
      </c>
      <c r="AC75" s="562">
        <f t="shared" si="34"/>
        <v>0</v>
      </c>
      <c r="AD75" s="562">
        <f t="shared" si="34"/>
        <v>0</v>
      </c>
      <c r="AE75" s="562">
        <f t="shared" si="34"/>
        <v>0</v>
      </c>
      <c r="AF75" s="562">
        <f t="shared" si="34"/>
        <v>0</v>
      </c>
      <c r="AG75" s="562">
        <f t="shared" si="34"/>
        <v>0</v>
      </c>
      <c r="AH75" s="562">
        <f t="shared" si="34"/>
        <v>0</v>
      </c>
      <c r="AI75" s="562">
        <f t="shared" si="34"/>
        <v>0</v>
      </c>
      <c r="AJ75" s="562">
        <f t="shared" si="34"/>
        <v>0</v>
      </c>
      <c r="AK75" s="562">
        <f t="shared" si="35"/>
        <v>0</v>
      </c>
      <c r="AL75" s="562">
        <f t="shared" si="35"/>
        <v>0</v>
      </c>
      <c r="AM75" s="562">
        <f t="shared" si="35"/>
        <v>0</v>
      </c>
      <c r="AN75" s="562">
        <f t="shared" si="35"/>
        <v>0</v>
      </c>
      <c r="AO75" s="562">
        <f t="shared" si="35"/>
        <v>0</v>
      </c>
      <c r="AP75" s="562">
        <f t="shared" si="35"/>
        <v>0</v>
      </c>
      <c r="AQ75" s="562">
        <f t="shared" si="35"/>
        <v>0</v>
      </c>
      <c r="AR75" s="562">
        <f t="shared" si="35"/>
        <v>0</v>
      </c>
      <c r="AS75" s="562">
        <f t="shared" si="35"/>
        <v>0</v>
      </c>
      <c r="AT75" s="562">
        <f t="shared" si="35"/>
        <v>0</v>
      </c>
      <c r="AU75" s="562">
        <f t="shared" si="35"/>
        <v>0</v>
      </c>
      <c r="AV75" s="484">
        <v>5</v>
      </c>
    </row>
    <row r="76" spans="2:119" ht="15">
      <c r="B76" s="8" t="str">
        <f>Processes!D90</f>
        <v>EXPCOA</v>
      </c>
      <c r="C76" s="8" t="str">
        <f>Processes!E90</f>
        <v>Export technology - Coal</v>
      </c>
      <c r="D76" s="216" t="str">
        <f>IF(LEN(B76)=6,RIGHT(B76,3),RIGHT(B76,4))</f>
        <v>COA</v>
      </c>
      <c r="E76" s="484"/>
      <c r="F76" s="1119" t="str">
        <f t="shared" ref="F76:F96" si="36">IFERROR(VLOOKUP(D76,$E$122:$F$174,2,FALSE),"MKr19")</f>
        <v>MKr19</v>
      </c>
      <c r="G76" s="483">
        <f t="shared" ref="G76:P85" si="37">IFERROR(INDEX($G$122:$AU$177,MATCH($D76,$E$122:$E$177,0),MATCH(G$6,$G$121:$AU$121,0)),0)*$E$194</f>
        <v>21.945</v>
      </c>
      <c r="H76" s="483">
        <f t="shared" si="37"/>
        <v>26.314999999999998</v>
      </c>
      <c r="I76" s="483">
        <f t="shared" si="37"/>
        <v>22.704999999999998</v>
      </c>
      <c r="J76" s="483">
        <f t="shared" si="37"/>
        <v>19.285</v>
      </c>
      <c r="K76" s="483">
        <f t="shared" si="37"/>
        <v>16.34</v>
      </c>
      <c r="L76" s="483">
        <f t="shared" si="37"/>
        <v>14.914999999999999</v>
      </c>
      <c r="M76" s="483">
        <f t="shared" si="37"/>
        <v>11.589999999999998</v>
      </c>
      <c r="N76" s="483">
        <f t="shared" si="37"/>
        <v>11.114999999999998</v>
      </c>
      <c r="O76" s="483">
        <f t="shared" si="37"/>
        <v>21.78900632162258</v>
      </c>
      <c r="P76" s="483">
        <f t="shared" si="37"/>
        <v>14.756127705880644</v>
      </c>
      <c r="Q76" s="483">
        <f t="shared" ref="Q76:Z85" si="38">IFERROR(INDEX($G$122:$AU$177,MATCH($D76,$E$122:$E$177,0),MATCH(Q$6,$G$121:$AU$121,0)),0)*$E$194</f>
        <v>12.283074295108483</v>
      </c>
      <c r="R76" s="483">
        <f t="shared" si="38"/>
        <v>12.507756006608648</v>
      </c>
      <c r="S76" s="483">
        <f t="shared" si="38"/>
        <v>12.989799807358731</v>
      </c>
      <c r="T76" s="483">
        <f t="shared" si="38"/>
        <v>13.465230349692069</v>
      </c>
      <c r="U76" s="483">
        <f t="shared" si="38"/>
        <v>13.915030684931427</v>
      </c>
      <c r="V76" s="483">
        <f t="shared" si="38"/>
        <v>13.851853886698651</v>
      </c>
      <c r="W76" s="483">
        <f t="shared" si="38"/>
        <v>13.80507556918923</v>
      </c>
      <c r="X76" s="483">
        <f t="shared" si="38"/>
        <v>13.753369063433919</v>
      </c>
      <c r="Y76" s="483">
        <f t="shared" si="38"/>
        <v>13.692531115779898</v>
      </c>
      <c r="Z76" s="483">
        <f t="shared" si="38"/>
        <v>13.626765425212151</v>
      </c>
      <c r="AA76" s="483">
        <f t="shared" ref="AA76:AJ85" si="39">IFERROR(INDEX($G$122:$AU$177,MATCH($D76,$E$122:$E$177,0),MATCH(AA$6,$G$121:$AU$121,0)),0)*$E$194</f>
        <v>13.553177994478832</v>
      </c>
      <c r="AB76" s="483">
        <f t="shared" si="39"/>
        <v>13.519158410926833</v>
      </c>
      <c r="AC76" s="483">
        <f t="shared" si="39"/>
        <v>13.485285401041429</v>
      </c>
      <c r="AD76" s="483">
        <f t="shared" si="39"/>
        <v>13.451158746657704</v>
      </c>
      <c r="AE76" s="483">
        <f t="shared" si="39"/>
        <v>13.417185755155389</v>
      </c>
      <c r="AF76" s="483">
        <f t="shared" si="39"/>
        <v>13.383193406292561</v>
      </c>
      <c r="AG76" s="483">
        <f t="shared" si="39"/>
        <v>13.349386406163774</v>
      </c>
      <c r="AH76" s="483">
        <f t="shared" si="39"/>
        <v>13.315362687933581</v>
      </c>
      <c r="AI76" s="483">
        <f t="shared" si="39"/>
        <v>13.281485201433636</v>
      </c>
      <c r="AJ76" s="483">
        <f t="shared" si="39"/>
        <v>13.247421773855388</v>
      </c>
      <c r="AK76" s="483">
        <f t="shared" ref="AK76:AU85" si="40">IFERROR(INDEX($G$122:$AU$177,MATCH($D76,$E$122:$E$177,0),MATCH(AK$6,$G$121:$AU$121,0)),0)*$E$194</f>
        <v>13.213418778043801</v>
      </c>
      <c r="AL76" s="483">
        <f t="shared" si="40"/>
        <v>13.179415681273062</v>
      </c>
      <c r="AM76" s="483">
        <f t="shared" si="40"/>
        <v>13.144779930167507</v>
      </c>
      <c r="AN76" s="483">
        <f t="shared" si="40"/>
        <v>13.110143029498113</v>
      </c>
      <c r="AO76" s="483">
        <f t="shared" si="40"/>
        <v>13.075504977795086</v>
      </c>
      <c r="AP76" s="483">
        <f t="shared" si="40"/>
        <v>13.040865773586766</v>
      </c>
      <c r="AQ76" s="483">
        <f t="shared" si="40"/>
        <v>13.006225415399589</v>
      </c>
      <c r="AR76" s="483">
        <f t="shared" si="40"/>
        <v>12.971583901758121</v>
      </c>
      <c r="AS76" s="483">
        <f t="shared" si="40"/>
        <v>12.936941231185042</v>
      </c>
      <c r="AT76" s="483">
        <f t="shared" si="40"/>
        <v>12.902297402201137</v>
      </c>
      <c r="AU76" s="483">
        <f t="shared" si="40"/>
        <v>12.867652413325308</v>
      </c>
      <c r="AV76" s="484">
        <v>5</v>
      </c>
      <c r="AW76" s="483"/>
      <c r="AX76" s="483"/>
      <c r="AY76" s="483"/>
      <c r="AZ76" s="602"/>
      <c r="BA76" s="602"/>
      <c r="BB76" s="602"/>
    </row>
    <row r="77" spans="2:119" ht="15">
      <c r="B77" s="8" t="str">
        <f>Processes!D91</f>
        <v>EXPNGA</v>
      </c>
      <c r="C77" s="8" t="str">
        <f>Processes!E91</f>
        <v>Export technology - Natural Gas</v>
      </c>
      <c r="D77" s="216" t="str">
        <f>IF(LEN(B77)=6,RIGHT(B77,3),RIGHT(B77,4))</f>
        <v>NGA</v>
      </c>
      <c r="E77" s="484"/>
      <c r="F77" s="1119" t="str">
        <f t="shared" si="36"/>
        <v>MKr19</v>
      </c>
      <c r="G77" s="483">
        <f t="shared" si="37"/>
        <v>42.18</v>
      </c>
      <c r="H77" s="483">
        <f t="shared" si="37"/>
        <v>43.795000000000002</v>
      </c>
      <c r="I77" s="483">
        <f t="shared" si="37"/>
        <v>52.344999999999999</v>
      </c>
      <c r="J77" s="483">
        <f t="shared" si="37"/>
        <v>51.49</v>
      </c>
      <c r="K77" s="483">
        <f t="shared" si="37"/>
        <v>43.414999999999999</v>
      </c>
      <c r="L77" s="483">
        <f t="shared" si="37"/>
        <v>41.8</v>
      </c>
      <c r="M77" s="483">
        <f t="shared" si="37"/>
        <v>34.959999999999994</v>
      </c>
      <c r="N77" s="483">
        <f t="shared" si="37"/>
        <v>35.055</v>
      </c>
      <c r="O77" s="483">
        <f t="shared" si="37"/>
        <v>50.751074212757736</v>
      </c>
      <c r="P77" s="483">
        <f t="shared" si="37"/>
        <v>32.54796067858944</v>
      </c>
      <c r="Q77" s="483">
        <f t="shared" si="38"/>
        <v>31.727957487158143</v>
      </c>
      <c r="R77" s="483">
        <f t="shared" si="38"/>
        <v>29.949025524166288</v>
      </c>
      <c r="S77" s="483">
        <f t="shared" si="38"/>
        <v>31.124421190464801</v>
      </c>
      <c r="T77" s="483">
        <f>IFERROR(INDEX($G$122:$AU$177,MATCH($D77,$E$122:$E$177,0),MATCH(T$6,$G$121:$AU$121,0)),0)*$E$194</f>
        <v>31.69930389723169</v>
      </c>
      <c r="U77" s="483">
        <f t="shared" si="38"/>
        <v>31.888767724343968</v>
      </c>
      <c r="V77" s="483">
        <f t="shared" si="38"/>
        <v>31.830779289767982</v>
      </c>
      <c r="W77" s="483">
        <f t="shared" si="38"/>
        <v>31.794257244088858</v>
      </c>
      <c r="X77" s="483">
        <f t="shared" si="38"/>
        <v>31.770799731920086</v>
      </c>
      <c r="Y77" s="483">
        <f t="shared" si="38"/>
        <v>31.750709610930787</v>
      </c>
      <c r="Z77" s="483">
        <f t="shared" si="38"/>
        <v>31.743509235621186</v>
      </c>
      <c r="AA77" s="483">
        <f t="shared" si="39"/>
        <v>31.741544979889387</v>
      </c>
      <c r="AB77" s="483">
        <f t="shared" si="39"/>
        <v>31.785326421240963</v>
      </c>
      <c r="AC77" s="483">
        <f t="shared" si="39"/>
        <v>31.829107862592537</v>
      </c>
      <c r="AD77" s="483">
        <f t="shared" si="39"/>
        <v>31.872889303944106</v>
      </c>
      <c r="AE77" s="483">
        <f t="shared" si="39"/>
        <v>31.916670745295676</v>
      </c>
      <c r="AF77" s="483">
        <f t="shared" si="39"/>
        <v>31.960452186647256</v>
      </c>
      <c r="AG77" s="483">
        <f t="shared" si="39"/>
        <v>32.004233627998829</v>
      </c>
      <c r="AH77" s="483">
        <f t="shared" si="39"/>
        <v>32.048015069350392</v>
      </c>
      <c r="AI77" s="483">
        <f t="shared" si="39"/>
        <v>32.091796510701968</v>
      </c>
      <c r="AJ77" s="483">
        <f t="shared" si="39"/>
        <v>32.135577952053531</v>
      </c>
      <c r="AK77" s="483">
        <f t="shared" si="40"/>
        <v>32.179359393405107</v>
      </c>
      <c r="AL77" s="483">
        <f t="shared" si="40"/>
        <v>32.223140834756684</v>
      </c>
      <c r="AM77" s="483">
        <f t="shared" si="40"/>
        <v>32.266922276108254</v>
      </c>
      <c r="AN77" s="483">
        <f t="shared" si="40"/>
        <v>32.310703717459816</v>
      </c>
      <c r="AO77" s="483">
        <f t="shared" si="40"/>
        <v>32.354485158811393</v>
      </c>
      <c r="AP77" s="483">
        <f t="shared" si="40"/>
        <v>32.39826660016297</v>
      </c>
      <c r="AQ77" s="483">
        <f t="shared" si="40"/>
        <v>32.442048041514546</v>
      </c>
      <c r="AR77" s="483">
        <f t="shared" si="40"/>
        <v>32.485829482866109</v>
      </c>
      <c r="AS77" s="483">
        <f t="shared" si="40"/>
        <v>32.529610924217685</v>
      </c>
      <c r="AT77" s="483">
        <f t="shared" si="40"/>
        <v>32.573392365569248</v>
      </c>
      <c r="AU77" s="483">
        <f t="shared" si="40"/>
        <v>32.617173806920832</v>
      </c>
      <c r="AV77" s="484">
        <v>5</v>
      </c>
      <c r="AW77" s="483"/>
      <c r="AX77" s="483"/>
      <c r="AY77" s="483"/>
      <c r="AZ77" s="602"/>
      <c r="BA77" s="602"/>
      <c r="BB77" s="602"/>
      <c r="BC77" s="602"/>
    </row>
    <row r="78" spans="2:119" ht="15">
      <c r="B78" s="8" t="str">
        <f>Processes!D92</f>
        <v>EXPCRD</v>
      </c>
      <c r="C78" s="8" t="str">
        <f>Processes!E92</f>
        <v>Export technology - Crude Oil</v>
      </c>
      <c r="D78" s="216" t="str">
        <f t="shared" ref="D78:D112" si="41">IF(LEN(B78)=6,RIGHT(B78,3),RIGHT(B78,4))</f>
        <v>CRD</v>
      </c>
      <c r="E78" s="485"/>
      <c r="F78" s="1119" t="str">
        <f t="shared" si="36"/>
        <v>MKr19</v>
      </c>
      <c r="G78" s="483">
        <f t="shared" si="37"/>
        <v>72.39</v>
      </c>
      <c r="H78" s="483">
        <f t="shared" si="37"/>
        <v>100.79499999999999</v>
      </c>
      <c r="I78" s="483">
        <f t="shared" si="37"/>
        <v>107.255</v>
      </c>
      <c r="J78" s="483">
        <f t="shared" si="37"/>
        <v>95.284999999999997</v>
      </c>
      <c r="K78" s="483">
        <f t="shared" si="37"/>
        <v>92.434999999999988</v>
      </c>
      <c r="L78" s="483">
        <f t="shared" si="37"/>
        <v>59.564999999999998</v>
      </c>
      <c r="M78" s="483">
        <f t="shared" si="37"/>
        <v>56.904999999999994</v>
      </c>
      <c r="N78" s="483">
        <f t="shared" si="37"/>
        <v>60.704999999999998</v>
      </c>
      <c r="O78" s="483">
        <f t="shared" si="37"/>
        <v>74.663266513337106</v>
      </c>
      <c r="P78" s="483">
        <f t="shared" si="37"/>
        <v>69.03441780821916</v>
      </c>
      <c r="Q78" s="483">
        <f t="shared" si="38"/>
        <v>67.631970550230122</v>
      </c>
      <c r="R78" s="483">
        <f t="shared" si="38"/>
        <v>46.72206120455769</v>
      </c>
      <c r="S78" s="483">
        <f t="shared" si="38"/>
        <v>49.952257260471079</v>
      </c>
      <c r="T78" s="483">
        <f t="shared" si="38"/>
        <v>52.145468152516102</v>
      </c>
      <c r="U78" s="483">
        <f t="shared" si="38"/>
        <v>53.739968659338345</v>
      </c>
      <c r="V78" s="483">
        <f t="shared" si="38"/>
        <v>54.897107604482805</v>
      </c>
      <c r="W78" s="483">
        <f t="shared" si="38"/>
        <v>56.188956663113622</v>
      </c>
      <c r="X78" s="483">
        <f t="shared" si="38"/>
        <v>57.454144637525566</v>
      </c>
      <c r="Y78" s="483">
        <f t="shared" si="38"/>
        <v>58.618015544439388</v>
      </c>
      <c r="Z78" s="483">
        <f t="shared" si="38"/>
        <v>59.840122211312412</v>
      </c>
      <c r="AA78" s="483">
        <f t="shared" si="39"/>
        <v>60.99866547075451</v>
      </c>
      <c r="AB78" s="483">
        <f t="shared" si="39"/>
        <v>60.706456294846689</v>
      </c>
      <c r="AC78" s="483">
        <f t="shared" si="39"/>
        <v>60.414247118938881</v>
      </c>
      <c r="AD78" s="483">
        <f t="shared" si="39"/>
        <v>60.122037943031081</v>
      </c>
      <c r="AE78" s="483">
        <f t="shared" si="39"/>
        <v>59.829828767123267</v>
      </c>
      <c r="AF78" s="483">
        <f t="shared" si="39"/>
        <v>59.537619591215467</v>
      </c>
      <c r="AG78" s="483">
        <f t="shared" si="39"/>
        <v>59.24541041530766</v>
      </c>
      <c r="AH78" s="483">
        <f t="shared" si="39"/>
        <v>58.95320123939986</v>
      </c>
      <c r="AI78" s="483">
        <f t="shared" si="39"/>
        <v>58.66099206349206</v>
      </c>
      <c r="AJ78" s="483">
        <f t="shared" si="39"/>
        <v>58.368782887584253</v>
      </c>
      <c r="AK78" s="483">
        <f t="shared" si="40"/>
        <v>58.076573711676446</v>
      </c>
      <c r="AL78" s="483">
        <f t="shared" si="40"/>
        <v>57.784364535768646</v>
      </c>
      <c r="AM78" s="483">
        <f t="shared" si="40"/>
        <v>57.492155359860831</v>
      </c>
      <c r="AN78" s="483">
        <f t="shared" si="40"/>
        <v>57.199946183953024</v>
      </c>
      <c r="AO78" s="483">
        <f t="shared" si="40"/>
        <v>56.907737008045224</v>
      </c>
      <c r="AP78" s="483">
        <f t="shared" si="40"/>
        <v>56.615527832137417</v>
      </c>
      <c r="AQ78" s="483">
        <f t="shared" si="40"/>
        <v>56.32331865622961</v>
      </c>
      <c r="AR78" s="483">
        <f t="shared" si="40"/>
        <v>56.031109480321803</v>
      </c>
      <c r="AS78" s="483">
        <f t="shared" si="40"/>
        <v>55.738900304414003</v>
      </c>
      <c r="AT78" s="483">
        <f t="shared" si="40"/>
        <v>55.446691128506195</v>
      </c>
      <c r="AU78" s="483">
        <f t="shared" si="40"/>
        <v>55.154481952598395</v>
      </c>
      <c r="AV78" s="484">
        <v>5</v>
      </c>
      <c r="AW78" s="483"/>
      <c r="AX78" s="483"/>
      <c r="AY78" s="483"/>
      <c r="AZ78" s="602"/>
      <c r="BA78" s="602"/>
      <c r="BB78" s="602"/>
      <c r="BC78" s="602"/>
      <c r="CA78" s="603"/>
      <c r="CB78" s="603"/>
      <c r="CC78" s="603"/>
      <c r="CD78" s="603"/>
      <c r="CE78" s="603"/>
      <c r="CF78" s="603"/>
    </row>
    <row r="79" spans="2:119" ht="15">
      <c r="B79" s="8" t="str">
        <f>Processes!D93</f>
        <v>EXPLPG</v>
      </c>
      <c r="C79" s="8" t="str">
        <f>Processes!E93</f>
        <v>Export technology - Liquid petrol gas</v>
      </c>
      <c r="D79" s="216" t="str">
        <f t="shared" si="41"/>
        <v>LPG</v>
      </c>
      <c r="E79" s="485"/>
      <c r="F79" s="1119" t="str">
        <f t="shared" si="36"/>
        <v>MKr14</v>
      </c>
      <c r="G79" s="483">
        <f t="shared" si="37"/>
        <v>84.36</v>
      </c>
      <c r="H79" s="483">
        <f t="shared" si="37"/>
        <v>87.59</v>
      </c>
      <c r="I79" s="483">
        <f t="shared" si="37"/>
        <v>104.69</v>
      </c>
      <c r="J79" s="483">
        <f t="shared" si="37"/>
        <v>102.98</v>
      </c>
      <c r="K79" s="483">
        <f t="shared" si="37"/>
        <v>86.83</v>
      </c>
      <c r="L79" s="483">
        <f t="shared" si="37"/>
        <v>83.6</v>
      </c>
      <c r="M79" s="483">
        <f t="shared" si="37"/>
        <v>69.919999999999987</v>
      </c>
      <c r="N79" s="483">
        <f t="shared" si="37"/>
        <v>70.11</v>
      </c>
      <c r="O79" s="483">
        <f t="shared" si="37"/>
        <v>101.50214842551547</v>
      </c>
      <c r="P79" s="483">
        <f t="shared" si="37"/>
        <v>65.095921357178881</v>
      </c>
      <c r="Q79" s="483">
        <f t="shared" si="38"/>
        <v>63.455914974316286</v>
      </c>
      <c r="R79" s="483">
        <f t="shared" si="38"/>
        <v>59.898051048332576</v>
      </c>
      <c r="S79" s="483">
        <f t="shared" si="38"/>
        <v>62.248842380929602</v>
      </c>
      <c r="T79" s="483">
        <f t="shared" si="38"/>
        <v>63.398607794463381</v>
      </c>
      <c r="U79" s="483">
        <f t="shared" si="38"/>
        <v>63.777535448687935</v>
      </c>
      <c r="V79" s="483">
        <f t="shared" si="38"/>
        <v>63.661558579535964</v>
      </c>
      <c r="W79" s="483">
        <f t="shared" si="38"/>
        <v>63.588514488177715</v>
      </c>
      <c r="X79" s="483">
        <f t="shared" si="38"/>
        <v>63.541599463840171</v>
      </c>
      <c r="Y79" s="483">
        <f t="shared" si="38"/>
        <v>63.501419221861575</v>
      </c>
      <c r="Z79" s="483">
        <f t="shared" si="38"/>
        <v>63.487018471242372</v>
      </c>
      <c r="AA79" s="483">
        <f t="shared" si="39"/>
        <v>63.483089959778773</v>
      </c>
      <c r="AB79" s="483">
        <f t="shared" si="39"/>
        <v>63.570652842481927</v>
      </c>
      <c r="AC79" s="483">
        <f t="shared" si="39"/>
        <v>63.658215725185073</v>
      </c>
      <c r="AD79" s="483">
        <f t="shared" si="39"/>
        <v>63.745778607888212</v>
      </c>
      <c r="AE79" s="483">
        <f t="shared" si="39"/>
        <v>63.833341490591351</v>
      </c>
      <c r="AF79" s="483">
        <f t="shared" si="39"/>
        <v>63.920904373294512</v>
      </c>
      <c r="AG79" s="483">
        <f t="shared" si="39"/>
        <v>64.008467255997658</v>
      </c>
      <c r="AH79" s="483">
        <f t="shared" si="39"/>
        <v>64.096030138700783</v>
      </c>
      <c r="AI79" s="483">
        <f t="shared" si="39"/>
        <v>64.183593021403937</v>
      </c>
      <c r="AJ79" s="483">
        <f t="shared" si="39"/>
        <v>64.271155904107061</v>
      </c>
      <c r="AK79" s="483">
        <f t="shared" si="40"/>
        <v>64.358718786810215</v>
      </c>
      <c r="AL79" s="483">
        <f t="shared" si="40"/>
        <v>64.446281669513368</v>
      </c>
      <c r="AM79" s="483">
        <f t="shared" si="40"/>
        <v>64.533844552216507</v>
      </c>
      <c r="AN79" s="483">
        <f t="shared" si="40"/>
        <v>64.621407434919632</v>
      </c>
      <c r="AO79" s="483">
        <f t="shared" si="40"/>
        <v>64.708970317622786</v>
      </c>
      <c r="AP79" s="483">
        <f t="shared" si="40"/>
        <v>64.796533200325939</v>
      </c>
      <c r="AQ79" s="483">
        <f t="shared" si="40"/>
        <v>64.884096083029092</v>
      </c>
      <c r="AR79" s="483">
        <f t="shared" si="40"/>
        <v>64.971658965732217</v>
      </c>
      <c r="AS79" s="483">
        <f t="shared" si="40"/>
        <v>65.059221848435371</v>
      </c>
      <c r="AT79" s="483">
        <f t="shared" si="40"/>
        <v>65.146784731138496</v>
      </c>
      <c r="AU79" s="483">
        <f t="shared" si="40"/>
        <v>65.234347613841663</v>
      </c>
      <c r="AV79" s="484">
        <v>5</v>
      </c>
      <c r="AW79" s="602"/>
      <c r="AX79" s="602"/>
      <c r="AY79" s="602"/>
      <c r="AZ79" s="602"/>
      <c r="BA79" s="602"/>
      <c r="BB79" s="602"/>
      <c r="BC79" s="602"/>
      <c r="CA79" s="603"/>
      <c r="CB79" s="603"/>
      <c r="CC79" s="603"/>
      <c r="CD79" s="603"/>
      <c r="CE79" s="603"/>
      <c r="CF79" s="603"/>
    </row>
    <row r="80" spans="2:119" ht="15">
      <c r="B80" s="8" t="str">
        <f>Processes!D94</f>
        <v>EXPLVN</v>
      </c>
      <c r="C80" s="8" t="str">
        <f>Processes!E94</f>
        <v>Export technology - Naphtha (Petroleoum)</v>
      </c>
      <c r="D80" s="216" t="str">
        <f t="shared" si="41"/>
        <v>LVN</v>
      </c>
      <c r="E80" s="485"/>
      <c r="F80" s="1119" t="str">
        <f t="shared" si="36"/>
        <v>MKr14</v>
      </c>
      <c r="G80" s="483">
        <f t="shared" si="37"/>
        <v>84.36</v>
      </c>
      <c r="H80" s="483">
        <f t="shared" si="37"/>
        <v>87.59</v>
      </c>
      <c r="I80" s="483">
        <f t="shared" si="37"/>
        <v>104.69</v>
      </c>
      <c r="J80" s="483">
        <f t="shared" si="37"/>
        <v>102.98</v>
      </c>
      <c r="K80" s="483">
        <f t="shared" si="37"/>
        <v>86.83</v>
      </c>
      <c r="L80" s="483">
        <f t="shared" si="37"/>
        <v>83.6</v>
      </c>
      <c r="M80" s="483">
        <f t="shared" si="37"/>
        <v>69.919999999999987</v>
      </c>
      <c r="N80" s="483">
        <f t="shared" si="37"/>
        <v>70.11</v>
      </c>
      <c r="O80" s="483">
        <f t="shared" si="37"/>
        <v>101.50214842551547</v>
      </c>
      <c r="P80" s="483">
        <f t="shared" si="37"/>
        <v>65.095921357178881</v>
      </c>
      <c r="Q80" s="483">
        <f t="shared" si="38"/>
        <v>63.455914974316286</v>
      </c>
      <c r="R80" s="483">
        <f t="shared" si="38"/>
        <v>59.898051048332576</v>
      </c>
      <c r="S80" s="483">
        <f t="shared" si="38"/>
        <v>62.248842380929602</v>
      </c>
      <c r="T80" s="483">
        <f t="shared" si="38"/>
        <v>63.398607794463381</v>
      </c>
      <c r="U80" s="483">
        <f t="shared" si="38"/>
        <v>63.777535448687935</v>
      </c>
      <c r="V80" s="483">
        <f t="shared" si="38"/>
        <v>63.661558579535964</v>
      </c>
      <c r="W80" s="483">
        <f t="shared" si="38"/>
        <v>63.588514488177715</v>
      </c>
      <c r="X80" s="483">
        <f t="shared" si="38"/>
        <v>63.541599463840171</v>
      </c>
      <c r="Y80" s="483">
        <f t="shared" si="38"/>
        <v>63.501419221861575</v>
      </c>
      <c r="Z80" s="483">
        <f t="shared" si="38"/>
        <v>63.487018471242372</v>
      </c>
      <c r="AA80" s="483">
        <f t="shared" si="39"/>
        <v>63.483089959778773</v>
      </c>
      <c r="AB80" s="483">
        <f t="shared" si="39"/>
        <v>63.570652842481927</v>
      </c>
      <c r="AC80" s="483">
        <f t="shared" si="39"/>
        <v>63.658215725185073</v>
      </c>
      <c r="AD80" s="483">
        <f t="shared" si="39"/>
        <v>63.745778607888212</v>
      </c>
      <c r="AE80" s="483">
        <f t="shared" si="39"/>
        <v>63.833341490591351</v>
      </c>
      <c r="AF80" s="483">
        <f t="shared" si="39"/>
        <v>63.920904373294512</v>
      </c>
      <c r="AG80" s="483">
        <f t="shared" si="39"/>
        <v>64.008467255997658</v>
      </c>
      <c r="AH80" s="483">
        <f t="shared" si="39"/>
        <v>64.096030138700783</v>
      </c>
      <c r="AI80" s="483">
        <f t="shared" si="39"/>
        <v>64.183593021403937</v>
      </c>
      <c r="AJ80" s="483">
        <f t="shared" si="39"/>
        <v>64.271155904107061</v>
      </c>
      <c r="AK80" s="483">
        <f t="shared" si="40"/>
        <v>64.358718786810215</v>
      </c>
      <c r="AL80" s="483">
        <f t="shared" si="40"/>
        <v>64.446281669513368</v>
      </c>
      <c r="AM80" s="483">
        <f t="shared" si="40"/>
        <v>64.533844552216507</v>
      </c>
      <c r="AN80" s="483">
        <f t="shared" si="40"/>
        <v>64.621407434919632</v>
      </c>
      <c r="AO80" s="483">
        <f t="shared" si="40"/>
        <v>64.708970317622786</v>
      </c>
      <c r="AP80" s="483">
        <f t="shared" si="40"/>
        <v>64.796533200325939</v>
      </c>
      <c r="AQ80" s="483">
        <f t="shared" si="40"/>
        <v>64.884096083029092</v>
      </c>
      <c r="AR80" s="483">
        <f t="shared" si="40"/>
        <v>64.971658965732217</v>
      </c>
      <c r="AS80" s="483">
        <f t="shared" si="40"/>
        <v>65.059221848435371</v>
      </c>
      <c r="AT80" s="483">
        <f t="shared" si="40"/>
        <v>65.146784731138496</v>
      </c>
      <c r="AU80" s="483">
        <f t="shared" si="40"/>
        <v>65.234347613841663</v>
      </c>
      <c r="AV80" s="484">
        <v>5</v>
      </c>
      <c r="AW80" s="602"/>
      <c r="AX80" s="602"/>
      <c r="AY80" s="602"/>
      <c r="AZ80" s="602"/>
      <c r="BA80" s="602"/>
      <c r="BB80" s="602"/>
      <c r="BC80" s="602"/>
      <c r="CA80" s="603"/>
      <c r="CB80" s="603"/>
      <c r="CC80" s="603"/>
      <c r="CD80" s="603"/>
      <c r="CE80" s="603"/>
      <c r="CF80" s="603"/>
    </row>
    <row r="81" spans="2:84" ht="15">
      <c r="B81" s="8" t="str">
        <f>Processes!D95</f>
        <v>EXPGSL</v>
      </c>
      <c r="C81" s="8" t="str">
        <f>Processes!E95</f>
        <v>Export technology - Gasoline</v>
      </c>
      <c r="D81" s="216" t="str">
        <f t="shared" si="41"/>
        <v>GSL</v>
      </c>
      <c r="E81" s="485"/>
      <c r="F81" s="1119" t="str">
        <f t="shared" si="36"/>
        <v>MKr19</v>
      </c>
      <c r="G81" s="483">
        <f t="shared" si="37"/>
        <v>88.16</v>
      </c>
      <c r="H81" s="483">
        <f t="shared" si="37"/>
        <v>116.755</v>
      </c>
      <c r="I81" s="483">
        <f t="shared" si="37"/>
        <v>129.86499999999998</v>
      </c>
      <c r="J81" s="483">
        <f t="shared" si="37"/>
        <v>115.89999999999999</v>
      </c>
      <c r="K81" s="483">
        <f t="shared" si="37"/>
        <v>109.05999999999999</v>
      </c>
      <c r="L81" s="483">
        <f t="shared" si="37"/>
        <v>74.290000000000006</v>
      </c>
      <c r="M81" s="483">
        <f t="shared" si="37"/>
        <v>71.534999999999997</v>
      </c>
      <c r="N81" s="483">
        <f t="shared" si="37"/>
        <v>75.430000000000007</v>
      </c>
      <c r="O81" s="483">
        <f t="shared" si="37"/>
        <v>97.281022004987349</v>
      </c>
      <c r="P81" s="483">
        <f t="shared" si="37"/>
        <v>92.859615434698739</v>
      </c>
      <c r="Q81" s="483">
        <f t="shared" si="38"/>
        <v>91.453673832219465</v>
      </c>
      <c r="R81" s="483">
        <f t="shared" si="38"/>
        <v>70.56879269142425</v>
      </c>
      <c r="S81" s="483">
        <f t="shared" si="38"/>
        <v>73.806866618593077</v>
      </c>
      <c r="T81" s="483">
        <f t="shared" si="38"/>
        <v>76.013796318990643</v>
      </c>
      <c r="U81" s="483">
        <f t="shared" si="38"/>
        <v>77.627095006707535</v>
      </c>
      <c r="V81" s="483">
        <f t="shared" si="38"/>
        <v>78.80174894190931</v>
      </c>
      <c r="W81" s="483">
        <f t="shared" si="38"/>
        <v>80.09893911330299</v>
      </c>
      <c r="X81" s="483">
        <f t="shared" si="38"/>
        <v>81.370170941805384</v>
      </c>
      <c r="Y81" s="483">
        <f t="shared" si="38"/>
        <v>82.539736173993532</v>
      </c>
      <c r="Z81" s="483">
        <f t="shared" si="38"/>
        <v>83.767850466579958</v>
      </c>
      <c r="AA81" s="483">
        <f t="shared" si="39"/>
        <v>84.929880872470534</v>
      </c>
      <c r="AB81" s="483">
        <f t="shared" si="39"/>
        <v>84.639044298377826</v>
      </c>
      <c r="AC81" s="483">
        <f t="shared" si="39"/>
        <v>84.347512149203396</v>
      </c>
      <c r="AD81" s="483">
        <f t="shared" si="39"/>
        <v>84.057183686862714</v>
      </c>
      <c r="AE81" s="483">
        <f t="shared" si="39"/>
        <v>83.766126007099942</v>
      </c>
      <c r="AF81" s="483">
        <f t="shared" si="39"/>
        <v>83.475160188978734</v>
      </c>
      <c r="AG81" s="483">
        <f t="shared" si="39"/>
        <v>83.183314786114749</v>
      </c>
      <c r="AH81" s="483">
        <f t="shared" si="39"/>
        <v>82.892497833412349</v>
      </c>
      <c r="AI81" s="483">
        <f t="shared" si="39"/>
        <v>82.600986928309936</v>
      </c>
      <c r="AJ81" s="483">
        <f t="shared" si="39"/>
        <v>82.310358418959339</v>
      </c>
      <c r="AK81" s="483">
        <f t="shared" si="40"/>
        <v>82.019443126641477</v>
      </c>
      <c r="AL81" s="483">
        <f t="shared" si="40"/>
        <v>81.728528313431966</v>
      </c>
      <c r="AM81" s="483">
        <f t="shared" si="40"/>
        <v>81.44061580343886</v>
      </c>
      <c r="AN81" s="483">
        <f t="shared" si="40"/>
        <v>81.152708748777343</v>
      </c>
      <c r="AO81" s="483">
        <f t="shared" si="40"/>
        <v>80.864807156422501</v>
      </c>
      <c r="AP81" s="483">
        <f t="shared" si="40"/>
        <v>80.576911033358186</v>
      </c>
      <c r="AQ81" s="483">
        <f t="shared" si="40"/>
        <v>80.289020386577249</v>
      </c>
      <c r="AR81" s="483">
        <f t="shared" si="40"/>
        <v>80.001135223081477</v>
      </c>
      <c r="AS81" s="483">
        <f t="shared" si="40"/>
        <v>79.713255549881637</v>
      </c>
      <c r="AT81" s="483">
        <f t="shared" si="40"/>
        <v>79.425381373997368</v>
      </c>
      <c r="AU81" s="483">
        <f t="shared" si="40"/>
        <v>79.137512702457386</v>
      </c>
      <c r="AV81" s="484">
        <v>5</v>
      </c>
      <c r="AW81" s="483"/>
      <c r="AX81" s="483"/>
      <c r="AY81" s="483"/>
      <c r="AZ81" s="602"/>
      <c r="BA81" s="602"/>
      <c r="BB81" s="602"/>
      <c r="BC81" s="602"/>
      <c r="CA81" s="603"/>
      <c r="CB81" s="603"/>
      <c r="CC81" s="603"/>
      <c r="CD81" s="603"/>
      <c r="CE81" s="603"/>
      <c r="CF81" s="603"/>
    </row>
    <row r="82" spans="2:84" ht="15">
      <c r="B82" s="8" t="str">
        <f>Processes!D96</f>
        <v>EXPKER</v>
      </c>
      <c r="C82" s="8" t="str">
        <f>Processes!E96</f>
        <v>Export technology - Kerosene</v>
      </c>
      <c r="D82" s="216" t="str">
        <f t="shared" si="41"/>
        <v>KER</v>
      </c>
      <c r="E82" s="485"/>
      <c r="F82" s="1119" t="str">
        <f t="shared" si="36"/>
        <v>MKr19</v>
      </c>
      <c r="G82" s="483">
        <f t="shared" si="37"/>
        <v>72.674999999999997</v>
      </c>
      <c r="H82" s="483">
        <f t="shared" si="37"/>
        <v>106.78</v>
      </c>
      <c r="I82" s="483">
        <f t="shared" si="37"/>
        <v>110.48499999999999</v>
      </c>
      <c r="J82" s="483">
        <f t="shared" si="37"/>
        <v>112.66999999999999</v>
      </c>
      <c r="K82" s="483">
        <f t="shared" si="37"/>
        <v>104.59499999999998</v>
      </c>
      <c r="L82" s="483">
        <f t="shared" si="37"/>
        <v>69.825000000000003</v>
      </c>
      <c r="M82" s="483">
        <f t="shared" si="37"/>
        <v>67.069999999999993</v>
      </c>
      <c r="N82" s="483">
        <f t="shared" si="37"/>
        <v>70.965000000000003</v>
      </c>
      <c r="O82" s="483">
        <f t="shared" si="37"/>
        <v>94.52602200498734</v>
      </c>
      <c r="P82" s="483">
        <f t="shared" si="37"/>
        <v>88.34711543469875</v>
      </c>
      <c r="Q82" s="483">
        <f t="shared" si="38"/>
        <v>86.941173832219462</v>
      </c>
      <c r="R82" s="483">
        <f t="shared" si="38"/>
        <v>66.056292691424247</v>
      </c>
      <c r="S82" s="483">
        <f t="shared" si="38"/>
        <v>69.294366618593074</v>
      </c>
      <c r="T82" s="483">
        <f t="shared" si="38"/>
        <v>71.50129631899064</v>
      </c>
      <c r="U82" s="483">
        <f t="shared" si="38"/>
        <v>73.114595006707532</v>
      </c>
      <c r="V82" s="483">
        <f t="shared" si="38"/>
        <v>74.289248941909307</v>
      </c>
      <c r="W82" s="483">
        <f t="shared" si="38"/>
        <v>75.586439113303001</v>
      </c>
      <c r="X82" s="483">
        <f t="shared" si="38"/>
        <v>76.857670941805381</v>
      </c>
      <c r="Y82" s="483">
        <f t="shared" si="38"/>
        <v>78.027236173993543</v>
      </c>
      <c r="Z82" s="483">
        <f t="shared" si="38"/>
        <v>79.255350466579955</v>
      </c>
      <c r="AA82" s="483">
        <f t="shared" si="39"/>
        <v>80.417380872470531</v>
      </c>
      <c r="AB82" s="483">
        <f t="shared" si="39"/>
        <v>80.126544298377823</v>
      </c>
      <c r="AC82" s="483">
        <f t="shared" si="39"/>
        <v>79.835012149203408</v>
      </c>
      <c r="AD82" s="483">
        <f t="shared" si="39"/>
        <v>79.544683686862726</v>
      </c>
      <c r="AE82" s="483">
        <f t="shared" si="39"/>
        <v>79.253626007099939</v>
      </c>
      <c r="AF82" s="483">
        <f t="shared" si="39"/>
        <v>78.962660188978745</v>
      </c>
      <c r="AG82" s="483">
        <f t="shared" si="39"/>
        <v>78.670814786114747</v>
      </c>
      <c r="AH82" s="483">
        <f t="shared" si="39"/>
        <v>78.379997833412347</v>
      </c>
      <c r="AI82" s="483">
        <f t="shared" si="39"/>
        <v>78.088486928309948</v>
      </c>
      <c r="AJ82" s="483">
        <f t="shared" si="39"/>
        <v>77.797858418959336</v>
      </c>
      <c r="AK82" s="483">
        <f t="shared" si="40"/>
        <v>77.506943126641474</v>
      </c>
      <c r="AL82" s="483">
        <f t="shared" si="40"/>
        <v>77.216028313431977</v>
      </c>
      <c r="AM82" s="483">
        <f t="shared" si="40"/>
        <v>76.928115803438857</v>
      </c>
      <c r="AN82" s="483">
        <f t="shared" si="40"/>
        <v>76.640208748777354</v>
      </c>
      <c r="AO82" s="483">
        <f t="shared" si="40"/>
        <v>76.352307156422498</v>
      </c>
      <c r="AP82" s="483">
        <f t="shared" si="40"/>
        <v>76.064411033358184</v>
      </c>
      <c r="AQ82" s="483">
        <f t="shared" si="40"/>
        <v>75.776520386577246</v>
      </c>
      <c r="AR82" s="483">
        <f t="shared" si="40"/>
        <v>75.488635223081488</v>
      </c>
      <c r="AS82" s="483">
        <f t="shared" si="40"/>
        <v>75.200755549881634</v>
      </c>
      <c r="AT82" s="483">
        <f t="shared" si="40"/>
        <v>74.912881373997365</v>
      </c>
      <c r="AU82" s="483">
        <f t="shared" si="40"/>
        <v>74.625012702457397</v>
      </c>
      <c r="AV82" s="484">
        <v>5</v>
      </c>
      <c r="AW82" s="483"/>
      <c r="AX82" s="483"/>
      <c r="AY82" s="483"/>
      <c r="AZ82" s="602"/>
      <c r="BA82" s="602"/>
      <c r="BB82" s="602"/>
      <c r="BC82" s="602"/>
      <c r="CA82" s="603"/>
      <c r="CB82" s="603"/>
      <c r="CC82" s="603"/>
      <c r="CD82" s="603"/>
      <c r="CE82" s="603"/>
      <c r="CF82" s="603"/>
    </row>
    <row r="83" spans="2:84" ht="15">
      <c r="B83" s="8" t="str">
        <f>Processes!D97</f>
        <v>EXPDSL</v>
      </c>
      <c r="C83" s="8" t="str">
        <f>Processes!E97</f>
        <v>Export technology - Diesel</v>
      </c>
      <c r="D83" s="216" t="str">
        <f t="shared" si="41"/>
        <v>DSL</v>
      </c>
      <c r="E83" s="485"/>
      <c r="F83" s="1119" t="str">
        <f t="shared" si="36"/>
        <v>MKr19</v>
      </c>
      <c r="G83" s="483">
        <f t="shared" si="37"/>
        <v>100.13</v>
      </c>
      <c r="H83" s="483">
        <f t="shared" si="37"/>
        <v>111.53</v>
      </c>
      <c r="I83" s="483">
        <f t="shared" si="37"/>
        <v>127.48999999999998</v>
      </c>
      <c r="J83" s="483">
        <f t="shared" si="37"/>
        <v>117.03999999999999</v>
      </c>
      <c r="K83" s="483">
        <f t="shared" si="37"/>
        <v>107.82499999999999</v>
      </c>
      <c r="L83" s="483">
        <f t="shared" si="37"/>
        <v>73.149999999999991</v>
      </c>
      <c r="M83" s="483">
        <f t="shared" si="37"/>
        <v>70.3</v>
      </c>
      <c r="N83" s="483">
        <f t="shared" si="37"/>
        <v>74.290000000000006</v>
      </c>
      <c r="O83" s="483">
        <f t="shared" si="37"/>
        <v>96.426022004987345</v>
      </c>
      <c r="P83" s="483">
        <f t="shared" si="37"/>
        <v>90.807615434698747</v>
      </c>
      <c r="Q83" s="483">
        <f t="shared" si="38"/>
        <v>89.401673832219473</v>
      </c>
      <c r="R83" s="483">
        <f t="shared" si="38"/>
        <v>68.516792691424257</v>
      </c>
      <c r="S83" s="483">
        <f t="shared" si="38"/>
        <v>71.754866618593084</v>
      </c>
      <c r="T83" s="483">
        <f t="shared" si="38"/>
        <v>73.96179631899065</v>
      </c>
      <c r="U83" s="483">
        <f t="shared" si="38"/>
        <v>75.575095006707542</v>
      </c>
      <c r="V83" s="483">
        <f t="shared" si="38"/>
        <v>76.749748941909317</v>
      </c>
      <c r="W83" s="483">
        <f t="shared" si="38"/>
        <v>78.046939113302997</v>
      </c>
      <c r="X83" s="483">
        <f t="shared" si="38"/>
        <v>79.318170941805391</v>
      </c>
      <c r="Y83" s="483">
        <f t="shared" si="38"/>
        <v>80.48773617399354</v>
      </c>
      <c r="Z83" s="483">
        <f t="shared" si="38"/>
        <v>81.715850466579965</v>
      </c>
      <c r="AA83" s="483">
        <f t="shared" si="39"/>
        <v>82.877880872470527</v>
      </c>
      <c r="AB83" s="483">
        <f t="shared" si="39"/>
        <v>82.587044298377819</v>
      </c>
      <c r="AC83" s="483">
        <f t="shared" si="39"/>
        <v>82.295512149203404</v>
      </c>
      <c r="AD83" s="483">
        <f t="shared" si="39"/>
        <v>82.005183686862722</v>
      </c>
      <c r="AE83" s="483">
        <f t="shared" si="39"/>
        <v>81.714126007099949</v>
      </c>
      <c r="AF83" s="483">
        <f t="shared" si="39"/>
        <v>81.423160188978741</v>
      </c>
      <c r="AG83" s="483">
        <f t="shared" si="39"/>
        <v>81.131314786114757</v>
      </c>
      <c r="AH83" s="483">
        <f t="shared" si="39"/>
        <v>80.840497833412343</v>
      </c>
      <c r="AI83" s="483">
        <f t="shared" si="39"/>
        <v>80.548986928309944</v>
      </c>
      <c r="AJ83" s="483">
        <f t="shared" si="39"/>
        <v>80.258358418959332</v>
      </c>
      <c r="AK83" s="483">
        <f t="shared" si="40"/>
        <v>79.967443126641484</v>
      </c>
      <c r="AL83" s="483">
        <f t="shared" si="40"/>
        <v>79.676528313431973</v>
      </c>
      <c r="AM83" s="483">
        <f t="shared" si="40"/>
        <v>79.388615803438867</v>
      </c>
      <c r="AN83" s="483">
        <f t="shared" si="40"/>
        <v>79.10070874877735</v>
      </c>
      <c r="AO83" s="483">
        <f t="shared" si="40"/>
        <v>78.812807156422508</v>
      </c>
      <c r="AP83" s="483">
        <f t="shared" si="40"/>
        <v>78.524911033358194</v>
      </c>
      <c r="AQ83" s="483">
        <f t="shared" si="40"/>
        <v>78.237020386577257</v>
      </c>
      <c r="AR83" s="483">
        <f t="shared" si="40"/>
        <v>77.949135223081484</v>
      </c>
      <c r="AS83" s="483">
        <f t="shared" si="40"/>
        <v>77.661255549881631</v>
      </c>
      <c r="AT83" s="483">
        <f t="shared" si="40"/>
        <v>77.373381373997375</v>
      </c>
      <c r="AU83" s="483">
        <f t="shared" si="40"/>
        <v>77.085512702457393</v>
      </c>
      <c r="AV83" s="484">
        <v>5</v>
      </c>
      <c r="AW83" s="483"/>
      <c r="AX83" s="483"/>
      <c r="AY83" s="483"/>
      <c r="AZ83" s="602"/>
      <c r="BA83" s="602"/>
      <c r="BB83" s="602"/>
      <c r="BC83" s="602"/>
      <c r="CA83" s="603"/>
      <c r="CB83" s="603"/>
      <c r="CC83" s="603"/>
      <c r="CD83" s="603"/>
      <c r="CE83" s="603"/>
      <c r="CF83" s="603"/>
    </row>
    <row r="84" spans="2:84" ht="15">
      <c r="B84" s="8" t="str">
        <f>Processes!D98</f>
        <v>EXPHFO</v>
      </c>
      <c r="C84" s="8" t="str">
        <f>Processes!E98</f>
        <v>Export technology - Heavy Fuel Oil</v>
      </c>
      <c r="D84" s="216" t="str">
        <f t="shared" si="41"/>
        <v>HFO</v>
      </c>
      <c r="E84" s="485"/>
      <c r="F84" s="1119" t="str">
        <f t="shared" si="36"/>
        <v>MKr19</v>
      </c>
      <c r="G84" s="483">
        <f t="shared" si="37"/>
        <v>64.790000000000006</v>
      </c>
      <c r="H84" s="483">
        <f t="shared" si="37"/>
        <v>96.899999999999991</v>
      </c>
      <c r="I84" s="483">
        <f t="shared" si="37"/>
        <v>91.39</v>
      </c>
      <c r="J84" s="483">
        <f t="shared" si="37"/>
        <v>87.114999999999995</v>
      </c>
      <c r="K84" s="483">
        <f t="shared" si="37"/>
        <v>79.8</v>
      </c>
      <c r="L84" s="483">
        <f t="shared" si="37"/>
        <v>45.125</v>
      </c>
      <c r="M84" s="483">
        <f t="shared" si="37"/>
        <v>42.274999999999999</v>
      </c>
      <c r="N84" s="483">
        <f t="shared" si="37"/>
        <v>46.265000000000001</v>
      </c>
      <c r="O84" s="483">
        <f t="shared" si="37"/>
        <v>64.34838436678902</v>
      </c>
      <c r="P84" s="483">
        <f t="shared" si="37"/>
        <v>58.729977796500442</v>
      </c>
      <c r="Q84" s="483">
        <f t="shared" si="38"/>
        <v>57.324036194021168</v>
      </c>
      <c r="R84" s="483">
        <f t="shared" si="38"/>
        <v>36.43915505322596</v>
      </c>
      <c r="S84" s="483">
        <f t="shared" si="38"/>
        <v>39.677228980394787</v>
      </c>
      <c r="T84" s="483">
        <f t="shared" si="38"/>
        <v>41.884158680792353</v>
      </c>
      <c r="U84" s="483">
        <f t="shared" si="38"/>
        <v>43.497457368509231</v>
      </c>
      <c r="V84" s="483">
        <f t="shared" si="38"/>
        <v>44.672111303711013</v>
      </c>
      <c r="W84" s="483">
        <f t="shared" si="38"/>
        <v>45.969301475104693</v>
      </c>
      <c r="X84" s="483">
        <f t="shared" si="38"/>
        <v>47.240533303607087</v>
      </c>
      <c r="Y84" s="483">
        <f t="shared" si="38"/>
        <v>48.410098535795242</v>
      </c>
      <c r="Z84" s="483">
        <f t="shared" si="38"/>
        <v>49.638212828381661</v>
      </c>
      <c r="AA84" s="483">
        <f t="shared" si="39"/>
        <v>50.80024323427223</v>
      </c>
      <c r="AB84" s="483">
        <f t="shared" si="39"/>
        <v>50.509406660179529</v>
      </c>
      <c r="AC84" s="483">
        <f t="shared" si="39"/>
        <v>50.2178745110051</v>
      </c>
      <c r="AD84" s="483">
        <f t="shared" si="39"/>
        <v>49.927546048664425</v>
      </c>
      <c r="AE84" s="483">
        <f t="shared" si="39"/>
        <v>49.636488368901652</v>
      </c>
      <c r="AF84" s="483">
        <f t="shared" si="39"/>
        <v>49.345522550780437</v>
      </c>
      <c r="AG84" s="483">
        <f t="shared" si="39"/>
        <v>49.05367714791646</v>
      </c>
      <c r="AH84" s="483">
        <f t="shared" si="39"/>
        <v>48.762860195214053</v>
      </c>
      <c r="AI84" s="483">
        <f t="shared" si="39"/>
        <v>48.47134929011164</v>
      </c>
      <c r="AJ84" s="483">
        <f t="shared" si="39"/>
        <v>48.180720780761035</v>
      </c>
      <c r="AK84" s="483">
        <f t="shared" si="40"/>
        <v>47.88980548844318</v>
      </c>
      <c r="AL84" s="483">
        <f t="shared" si="40"/>
        <v>47.598890675233669</v>
      </c>
      <c r="AM84" s="483">
        <f t="shared" si="40"/>
        <v>47.310978165240549</v>
      </c>
      <c r="AN84" s="483">
        <f t="shared" si="40"/>
        <v>47.023071110579053</v>
      </c>
      <c r="AO84" s="483">
        <f t="shared" si="40"/>
        <v>46.735169518224204</v>
      </c>
      <c r="AP84" s="483">
        <f t="shared" si="40"/>
        <v>46.447273395159883</v>
      </c>
      <c r="AQ84" s="483">
        <f t="shared" si="40"/>
        <v>46.15938274837896</v>
      </c>
      <c r="AR84" s="483">
        <f t="shared" si="40"/>
        <v>45.871497584883187</v>
      </c>
      <c r="AS84" s="483">
        <f t="shared" si="40"/>
        <v>45.583617911683326</v>
      </c>
      <c r="AT84" s="483">
        <f t="shared" si="40"/>
        <v>45.295743735799064</v>
      </c>
      <c r="AU84" s="483">
        <f t="shared" si="40"/>
        <v>45.007875064259089</v>
      </c>
      <c r="AV84" s="484">
        <v>5</v>
      </c>
      <c r="AW84" s="483"/>
      <c r="AX84" s="483"/>
      <c r="AY84" s="483"/>
      <c r="AZ84" s="602"/>
      <c r="BA84" s="602"/>
      <c r="BB84" s="602"/>
      <c r="BC84" s="602"/>
      <c r="CA84" s="603"/>
      <c r="CB84" s="603"/>
      <c r="CC84" s="603"/>
      <c r="CD84" s="603"/>
      <c r="CE84" s="603"/>
      <c r="CF84" s="603"/>
    </row>
    <row r="85" spans="2:84" ht="15">
      <c r="B85" s="8" t="str">
        <f>Processes!D99</f>
        <v>EXPMGO</v>
      </c>
      <c r="C85" s="8" t="str">
        <f>Processes!E99</f>
        <v>Export technology - Marine Gas Oil</v>
      </c>
      <c r="D85" s="216" t="str">
        <f t="shared" si="41"/>
        <v>MGO</v>
      </c>
      <c r="E85" s="485"/>
      <c r="F85" s="1119" t="str">
        <f t="shared" si="36"/>
        <v>MKr19</v>
      </c>
      <c r="G85" s="483">
        <f t="shared" si="37"/>
        <v>64.790000000000006</v>
      </c>
      <c r="H85" s="483">
        <f t="shared" si="37"/>
        <v>96.899999999999991</v>
      </c>
      <c r="I85" s="483">
        <f t="shared" si="37"/>
        <v>91.39</v>
      </c>
      <c r="J85" s="483">
        <f t="shared" si="37"/>
        <v>87.114999999999995</v>
      </c>
      <c r="K85" s="483">
        <f t="shared" si="37"/>
        <v>79.8</v>
      </c>
      <c r="L85" s="483">
        <f t="shared" si="37"/>
        <v>45.125</v>
      </c>
      <c r="M85" s="483">
        <f t="shared" si="37"/>
        <v>42.274999999999999</v>
      </c>
      <c r="N85" s="483">
        <f t="shared" si="37"/>
        <v>46.265000000000001</v>
      </c>
      <c r="O85" s="483">
        <f t="shared" si="37"/>
        <v>64.34838436678902</v>
      </c>
      <c r="P85" s="483">
        <f t="shared" si="37"/>
        <v>58.729977796500442</v>
      </c>
      <c r="Q85" s="483">
        <f t="shared" si="38"/>
        <v>57.324036194021168</v>
      </c>
      <c r="R85" s="483">
        <f t="shared" si="38"/>
        <v>36.43915505322596</v>
      </c>
      <c r="S85" s="483">
        <f t="shared" si="38"/>
        <v>39.677228980394787</v>
      </c>
      <c r="T85" s="483">
        <f t="shared" si="38"/>
        <v>41.884158680792353</v>
      </c>
      <c r="U85" s="483">
        <f t="shared" si="38"/>
        <v>43.497457368509231</v>
      </c>
      <c r="V85" s="483">
        <f t="shared" si="38"/>
        <v>44.672111303711013</v>
      </c>
      <c r="W85" s="483">
        <f t="shared" si="38"/>
        <v>45.969301475104693</v>
      </c>
      <c r="X85" s="483">
        <f t="shared" si="38"/>
        <v>47.240533303607087</v>
      </c>
      <c r="Y85" s="483">
        <f t="shared" si="38"/>
        <v>48.410098535795242</v>
      </c>
      <c r="Z85" s="483">
        <f t="shared" si="38"/>
        <v>49.638212828381661</v>
      </c>
      <c r="AA85" s="483">
        <f t="shared" si="39"/>
        <v>50.80024323427223</v>
      </c>
      <c r="AB85" s="483">
        <f t="shared" si="39"/>
        <v>50.509406660179529</v>
      </c>
      <c r="AC85" s="483">
        <f t="shared" si="39"/>
        <v>50.2178745110051</v>
      </c>
      <c r="AD85" s="483">
        <f t="shared" si="39"/>
        <v>49.927546048664425</v>
      </c>
      <c r="AE85" s="483">
        <f t="shared" si="39"/>
        <v>49.636488368901652</v>
      </c>
      <c r="AF85" s="483">
        <f t="shared" si="39"/>
        <v>49.345522550780437</v>
      </c>
      <c r="AG85" s="483">
        <f t="shared" si="39"/>
        <v>49.05367714791646</v>
      </c>
      <c r="AH85" s="483">
        <f t="shared" si="39"/>
        <v>48.762860195214053</v>
      </c>
      <c r="AI85" s="483">
        <f t="shared" si="39"/>
        <v>48.47134929011164</v>
      </c>
      <c r="AJ85" s="483">
        <f t="shared" si="39"/>
        <v>48.180720780761035</v>
      </c>
      <c r="AK85" s="483">
        <f t="shared" si="40"/>
        <v>47.88980548844318</v>
      </c>
      <c r="AL85" s="483">
        <f t="shared" si="40"/>
        <v>47.598890675233669</v>
      </c>
      <c r="AM85" s="483">
        <f t="shared" si="40"/>
        <v>47.310978165240549</v>
      </c>
      <c r="AN85" s="483">
        <f t="shared" si="40"/>
        <v>47.023071110579053</v>
      </c>
      <c r="AO85" s="483">
        <f t="shared" si="40"/>
        <v>46.735169518224204</v>
      </c>
      <c r="AP85" s="483">
        <f t="shared" si="40"/>
        <v>46.447273395159883</v>
      </c>
      <c r="AQ85" s="483">
        <f t="shared" si="40"/>
        <v>46.15938274837896</v>
      </c>
      <c r="AR85" s="483">
        <f t="shared" si="40"/>
        <v>45.871497584883187</v>
      </c>
      <c r="AS85" s="483">
        <f t="shared" si="40"/>
        <v>45.583617911683326</v>
      </c>
      <c r="AT85" s="483">
        <f t="shared" si="40"/>
        <v>45.295743735799064</v>
      </c>
      <c r="AU85" s="483">
        <f t="shared" si="40"/>
        <v>45.007875064259089</v>
      </c>
      <c r="AV85" s="484">
        <v>5</v>
      </c>
      <c r="AW85" s="483"/>
      <c r="AX85" s="483"/>
      <c r="AY85" s="483"/>
      <c r="AZ85" s="602"/>
      <c r="BA85" s="602"/>
      <c r="BB85" s="602"/>
      <c r="BC85" s="602"/>
    </row>
    <row r="86" spans="2:84" ht="15">
      <c r="B86" s="8" t="str">
        <f>Processes!D100</f>
        <v>EXPAGSL</v>
      </c>
      <c r="C86" s="8" t="str">
        <f>Processes!E100</f>
        <v>Export technology - Aviation gasoline</v>
      </c>
      <c r="D86" s="216" t="str">
        <f t="shared" si="41"/>
        <v>AGSL</v>
      </c>
      <c r="E86" s="485"/>
      <c r="F86" s="1119" t="str">
        <f t="shared" si="36"/>
        <v>MKr19</v>
      </c>
      <c r="G86" s="483">
        <f>G82</f>
        <v>72.674999999999997</v>
      </c>
      <c r="H86" s="483">
        <f t="shared" ref="H86:AU86" si="42">H82</f>
        <v>106.78</v>
      </c>
      <c r="I86" s="483">
        <f t="shared" si="42"/>
        <v>110.48499999999999</v>
      </c>
      <c r="J86" s="483">
        <f t="shared" si="42"/>
        <v>112.66999999999999</v>
      </c>
      <c r="K86" s="483">
        <f t="shared" si="42"/>
        <v>104.59499999999998</v>
      </c>
      <c r="L86" s="483">
        <f t="shared" si="42"/>
        <v>69.825000000000003</v>
      </c>
      <c r="M86" s="483">
        <f t="shared" si="42"/>
        <v>67.069999999999993</v>
      </c>
      <c r="N86" s="483">
        <f t="shared" si="42"/>
        <v>70.965000000000003</v>
      </c>
      <c r="O86" s="483">
        <f t="shared" si="42"/>
        <v>94.52602200498734</v>
      </c>
      <c r="P86" s="483">
        <f t="shared" si="42"/>
        <v>88.34711543469875</v>
      </c>
      <c r="Q86" s="483">
        <f t="shared" si="42"/>
        <v>86.941173832219462</v>
      </c>
      <c r="R86" s="483">
        <f t="shared" si="42"/>
        <v>66.056292691424247</v>
      </c>
      <c r="S86" s="483">
        <f t="shared" si="42"/>
        <v>69.294366618593074</v>
      </c>
      <c r="T86" s="483">
        <f t="shared" si="42"/>
        <v>71.50129631899064</v>
      </c>
      <c r="U86" s="483">
        <f t="shared" si="42"/>
        <v>73.114595006707532</v>
      </c>
      <c r="V86" s="483">
        <f t="shared" si="42"/>
        <v>74.289248941909307</v>
      </c>
      <c r="W86" s="483">
        <f t="shared" si="42"/>
        <v>75.586439113303001</v>
      </c>
      <c r="X86" s="483">
        <f t="shared" si="42"/>
        <v>76.857670941805381</v>
      </c>
      <c r="Y86" s="483">
        <f t="shared" si="42"/>
        <v>78.027236173993543</v>
      </c>
      <c r="Z86" s="483">
        <f t="shared" si="42"/>
        <v>79.255350466579955</v>
      </c>
      <c r="AA86" s="483">
        <f t="shared" si="42"/>
        <v>80.417380872470531</v>
      </c>
      <c r="AB86" s="483">
        <f t="shared" si="42"/>
        <v>80.126544298377823</v>
      </c>
      <c r="AC86" s="483">
        <f t="shared" si="42"/>
        <v>79.835012149203408</v>
      </c>
      <c r="AD86" s="483">
        <f t="shared" si="42"/>
        <v>79.544683686862726</v>
      </c>
      <c r="AE86" s="483">
        <f t="shared" si="42"/>
        <v>79.253626007099939</v>
      </c>
      <c r="AF86" s="483">
        <f t="shared" si="42"/>
        <v>78.962660188978745</v>
      </c>
      <c r="AG86" s="483">
        <f t="shared" si="42"/>
        <v>78.670814786114747</v>
      </c>
      <c r="AH86" s="483">
        <f t="shared" si="42"/>
        <v>78.379997833412347</v>
      </c>
      <c r="AI86" s="483">
        <f t="shared" si="42"/>
        <v>78.088486928309948</v>
      </c>
      <c r="AJ86" s="483">
        <f t="shared" si="42"/>
        <v>77.797858418959336</v>
      </c>
      <c r="AK86" s="483">
        <f t="shared" si="42"/>
        <v>77.506943126641474</v>
      </c>
      <c r="AL86" s="483">
        <f t="shared" si="42"/>
        <v>77.216028313431977</v>
      </c>
      <c r="AM86" s="483">
        <f t="shared" si="42"/>
        <v>76.928115803438857</v>
      </c>
      <c r="AN86" s="483">
        <f t="shared" si="42"/>
        <v>76.640208748777354</v>
      </c>
      <c r="AO86" s="483">
        <f t="shared" si="42"/>
        <v>76.352307156422498</v>
      </c>
      <c r="AP86" s="483">
        <f t="shared" si="42"/>
        <v>76.064411033358184</v>
      </c>
      <c r="AQ86" s="483">
        <f t="shared" si="42"/>
        <v>75.776520386577246</v>
      </c>
      <c r="AR86" s="483">
        <f t="shared" si="42"/>
        <v>75.488635223081488</v>
      </c>
      <c r="AS86" s="483">
        <f t="shared" si="42"/>
        <v>75.200755549881634</v>
      </c>
      <c r="AT86" s="483">
        <f t="shared" si="42"/>
        <v>74.912881373997365</v>
      </c>
      <c r="AU86" s="483">
        <f t="shared" si="42"/>
        <v>74.625012702457397</v>
      </c>
      <c r="AV86" s="484">
        <v>5</v>
      </c>
      <c r="AW86" s="602"/>
      <c r="AX86" s="602"/>
      <c r="AY86" s="602"/>
      <c r="AZ86" s="602"/>
      <c r="BA86" s="602"/>
      <c r="BB86" s="602"/>
      <c r="BC86" s="602"/>
    </row>
    <row r="87" spans="2:84" ht="15">
      <c r="B87" s="8" t="str">
        <f>Processes!D101</f>
        <v>EXPBGA</v>
      </c>
      <c r="C87" s="8" t="str">
        <f>Processes!E101</f>
        <v>Export technology - Biogas</v>
      </c>
      <c r="D87" s="216" t="str">
        <f t="shared" si="41"/>
        <v>BGA</v>
      </c>
      <c r="E87" s="485"/>
      <c r="F87" s="1119" t="str">
        <f t="shared" si="36"/>
        <v>MKr19</v>
      </c>
      <c r="G87" s="483">
        <f>G77</f>
        <v>42.18</v>
      </c>
      <c r="H87" s="483">
        <f t="shared" ref="H87:AU87" si="43">H77</f>
        <v>43.795000000000002</v>
      </c>
      <c r="I87" s="483">
        <f t="shared" si="43"/>
        <v>52.344999999999999</v>
      </c>
      <c r="J87" s="483">
        <f t="shared" si="43"/>
        <v>51.49</v>
      </c>
      <c r="K87" s="483">
        <f t="shared" si="43"/>
        <v>43.414999999999999</v>
      </c>
      <c r="L87" s="483">
        <f t="shared" si="43"/>
        <v>41.8</v>
      </c>
      <c r="M87" s="483">
        <f t="shared" si="43"/>
        <v>34.959999999999994</v>
      </c>
      <c r="N87" s="483">
        <f t="shared" si="43"/>
        <v>35.055</v>
      </c>
      <c r="O87" s="483">
        <f t="shared" si="43"/>
        <v>50.751074212757736</v>
      </c>
      <c r="P87" s="483">
        <f t="shared" si="43"/>
        <v>32.54796067858944</v>
      </c>
      <c r="Q87" s="483">
        <f t="shared" si="43"/>
        <v>31.727957487158143</v>
      </c>
      <c r="R87" s="483">
        <f t="shared" si="43"/>
        <v>29.949025524166288</v>
      </c>
      <c r="S87" s="483">
        <f t="shared" si="43"/>
        <v>31.124421190464801</v>
      </c>
      <c r="T87" s="483">
        <f t="shared" si="43"/>
        <v>31.69930389723169</v>
      </c>
      <c r="U87" s="483">
        <f t="shared" si="43"/>
        <v>31.888767724343968</v>
      </c>
      <c r="V87" s="483">
        <f t="shared" si="43"/>
        <v>31.830779289767982</v>
      </c>
      <c r="W87" s="483">
        <f t="shared" si="43"/>
        <v>31.794257244088858</v>
      </c>
      <c r="X87" s="483">
        <f t="shared" si="43"/>
        <v>31.770799731920086</v>
      </c>
      <c r="Y87" s="483">
        <f t="shared" si="43"/>
        <v>31.750709610930787</v>
      </c>
      <c r="Z87" s="483">
        <f t="shared" si="43"/>
        <v>31.743509235621186</v>
      </c>
      <c r="AA87" s="483">
        <f t="shared" si="43"/>
        <v>31.741544979889387</v>
      </c>
      <c r="AB87" s="483">
        <f t="shared" si="43"/>
        <v>31.785326421240963</v>
      </c>
      <c r="AC87" s="483">
        <f t="shared" si="43"/>
        <v>31.829107862592537</v>
      </c>
      <c r="AD87" s="483">
        <f t="shared" si="43"/>
        <v>31.872889303944106</v>
      </c>
      <c r="AE87" s="483">
        <f t="shared" si="43"/>
        <v>31.916670745295676</v>
      </c>
      <c r="AF87" s="483">
        <f t="shared" si="43"/>
        <v>31.960452186647256</v>
      </c>
      <c r="AG87" s="483">
        <f t="shared" si="43"/>
        <v>32.004233627998829</v>
      </c>
      <c r="AH87" s="483">
        <f t="shared" si="43"/>
        <v>32.048015069350392</v>
      </c>
      <c r="AI87" s="483">
        <f t="shared" si="43"/>
        <v>32.091796510701968</v>
      </c>
      <c r="AJ87" s="483">
        <f t="shared" si="43"/>
        <v>32.135577952053531</v>
      </c>
      <c r="AK87" s="483">
        <f t="shared" si="43"/>
        <v>32.179359393405107</v>
      </c>
      <c r="AL87" s="483">
        <f t="shared" si="43"/>
        <v>32.223140834756684</v>
      </c>
      <c r="AM87" s="483">
        <f t="shared" si="43"/>
        <v>32.266922276108254</v>
      </c>
      <c r="AN87" s="483">
        <f t="shared" si="43"/>
        <v>32.310703717459816</v>
      </c>
      <c r="AO87" s="483">
        <f t="shared" si="43"/>
        <v>32.354485158811393</v>
      </c>
      <c r="AP87" s="483">
        <f t="shared" si="43"/>
        <v>32.39826660016297</v>
      </c>
      <c r="AQ87" s="483">
        <f t="shared" si="43"/>
        <v>32.442048041514546</v>
      </c>
      <c r="AR87" s="483">
        <f t="shared" si="43"/>
        <v>32.485829482866109</v>
      </c>
      <c r="AS87" s="483">
        <f t="shared" si="43"/>
        <v>32.529610924217685</v>
      </c>
      <c r="AT87" s="483">
        <f t="shared" si="43"/>
        <v>32.573392365569248</v>
      </c>
      <c r="AU87" s="483">
        <f t="shared" si="43"/>
        <v>32.617173806920832</v>
      </c>
      <c r="AV87" s="484">
        <v>5</v>
      </c>
      <c r="AW87" s="602"/>
      <c r="AX87" s="602"/>
      <c r="AY87" s="602"/>
      <c r="AZ87" s="602"/>
      <c r="BA87" s="602"/>
      <c r="BB87" s="602"/>
      <c r="BC87" s="602"/>
    </row>
    <row r="88" spans="2:84" ht="15">
      <c r="B88" s="8" t="str">
        <f>Processes!D102</f>
        <v>EXPHFB</v>
      </c>
      <c r="C88" s="8" t="str">
        <f>Processes!E102</f>
        <v>Export technology - Heavy Fuel Bio Oil</v>
      </c>
      <c r="D88" s="216" t="str">
        <f t="shared" si="41"/>
        <v>HFB</v>
      </c>
      <c r="E88" s="485"/>
      <c r="F88" s="1119" t="str">
        <f t="shared" si="36"/>
        <v>MKr19</v>
      </c>
      <c r="G88" s="483">
        <f>G84</f>
        <v>64.790000000000006</v>
      </c>
      <c r="H88" s="483">
        <f t="shared" ref="H88:AU88" si="44">H84</f>
        <v>96.899999999999991</v>
      </c>
      <c r="I88" s="483">
        <f t="shared" si="44"/>
        <v>91.39</v>
      </c>
      <c r="J88" s="483">
        <f t="shared" si="44"/>
        <v>87.114999999999995</v>
      </c>
      <c r="K88" s="483">
        <f t="shared" si="44"/>
        <v>79.8</v>
      </c>
      <c r="L88" s="483">
        <f t="shared" si="44"/>
        <v>45.125</v>
      </c>
      <c r="M88" s="483">
        <f t="shared" si="44"/>
        <v>42.274999999999999</v>
      </c>
      <c r="N88" s="483">
        <f t="shared" si="44"/>
        <v>46.265000000000001</v>
      </c>
      <c r="O88" s="483">
        <f t="shared" si="44"/>
        <v>64.34838436678902</v>
      </c>
      <c r="P88" s="483">
        <f t="shared" si="44"/>
        <v>58.729977796500442</v>
      </c>
      <c r="Q88" s="483">
        <f t="shared" si="44"/>
        <v>57.324036194021168</v>
      </c>
      <c r="R88" s="483">
        <f t="shared" si="44"/>
        <v>36.43915505322596</v>
      </c>
      <c r="S88" s="483">
        <f t="shared" si="44"/>
        <v>39.677228980394787</v>
      </c>
      <c r="T88" s="483">
        <f t="shared" si="44"/>
        <v>41.884158680792353</v>
      </c>
      <c r="U88" s="483">
        <f t="shared" si="44"/>
        <v>43.497457368509231</v>
      </c>
      <c r="V88" s="483">
        <f t="shared" si="44"/>
        <v>44.672111303711013</v>
      </c>
      <c r="W88" s="483">
        <f t="shared" si="44"/>
        <v>45.969301475104693</v>
      </c>
      <c r="X88" s="483">
        <f t="shared" si="44"/>
        <v>47.240533303607087</v>
      </c>
      <c r="Y88" s="483">
        <f t="shared" si="44"/>
        <v>48.410098535795242</v>
      </c>
      <c r="Z88" s="483">
        <f t="shared" si="44"/>
        <v>49.638212828381661</v>
      </c>
      <c r="AA88" s="483">
        <f t="shared" si="44"/>
        <v>50.80024323427223</v>
      </c>
      <c r="AB88" s="483">
        <f t="shared" si="44"/>
        <v>50.509406660179529</v>
      </c>
      <c r="AC88" s="483">
        <f t="shared" si="44"/>
        <v>50.2178745110051</v>
      </c>
      <c r="AD88" s="483">
        <f t="shared" si="44"/>
        <v>49.927546048664425</v>
      </c>
      <c r="AE88" s="483">
        <f t="shared" si="44"/>
        <v>49.636488368901652</v>
      </c>
      <c r="AF88" s="483">
        <f t="shared" si="44"/>
        <v>49.345522550780437</v>
      </c>
      <c r="AG88" s="483">
        <f t="shared" si="44"/>
        <v>49.05367714791646</v>
      </c>
      <c r="AH88" s="483">
        <f t="shared" si="44"/>
        <v>48.762860195214053</v>
      </c>
      <c r="AI88" s="483">
        <f t="shared" si="44"/>
        <v>48.47134929011164</v>
      </c>
      <c r="AJ88" s="483">
        <f t="shared" si="44"/>
        <v>48.180720780761035</v>
      </c>
      <c r="AK88" s="483">
        <f t="shared" si="44"/>
        <v>47.88980548844318</v>
      </c>
      <c r="AL88" s="483">
        <f t="shared" si="44"/>
        <v>47.598890675233669</v>
      </c>
      <c r="AM88" s="483">
        <f t="shared" si="44"/>
        <v>47.310978165240549</v>
      </c>
      <c r="AN88" s="483">
        <f t="shared" si="44"/>
        <v>47.023071110579053</v>
      </c>
      <c r="AO88" s="483">
        <f t="shared" si="44"/>
        <v>46.735169518224204</v>
      </c>
      <c r="AP88" s="483">
        <f t="shared" si="44"/>
        <v>46.447273395159883</v>
      </c>
      <c r="AQ88" s="483">
        <f t="shared" si="44"/>
        <v>46.15938274837896</v>
      </c>
      <c r="AR88" s="483">
        <f t="shared" si="44"/>
        <v>45.871497584883187</v>
      </c>
      <c r="AS88" s="483">
        <f t="shared" si="44"/>
        <v>45.583617911683326</v>
      </c>
      <c r="AT88" s="483">
        <f t="shared" si="44"/>
        <v>45.295743735799064</v>
      </c>
      <c r="AU88" s="483">
        <f t="shared" si="44"/>
        <v>45.007875064259089</v>
      </c>
      <c r="AV88" s="484">
        <v>5</v>
      </c>
      <c r="AW88" s="602"/>
      <c r="AX88" s="602"/>
      <c r="AY88" s="602"/>
      <c r="AZ88" s="602"/>
      <c r="BA88" s="602"/>
      <c r="BB88" s="602"/>
      <c r="BC88" s="602"/>
    </row>
    <row r="89" spans="2:84" ht="15">
      <c r="B89" s="8" t="str">
        <f>Processes!D103</f>
        <v>EXPDDGS</v>
      </c>
      <c r="C89" s="8" t="str">
        <f>Processes!E103</f>
        <v>Export technology - Ethanol</v>
      </c>
      <c r="D89" s="216" t="str">
        <f t="shared" si="41"/>
        <v>DDGS</v>
      </c>
      <c r="E89" s="485"/>
      <c r="F89" s="1119" t="str">
        <f t="shared" si="36"/>
        <v>MKr14</v>
      </c>
      <c r="G89" s="483">
        <f>IFERROR(INDEX($G$122:$AU$177,MATCH($D89,$E$122:$E$177,0),MATCH(G$6,$G$121:$AU$121,0)),0)*$E$194</f>
        <v>9.5</v>
      </c>
      <c r="H89" s="483">
        <f t="shared" ref="H89:AU89" si="45">IFERROR(INDEX($G$122:$AU$177,MATCH($D89,$E$122:$E$177,0),MATCH(H$6,$G$121:$AU$121,0)),0)*$E$194</f>
        <v>9.5</v>
      </c>
      <c r="I89" s="483">
        <f t="shared" si="45"/>
        <v>9.5</v>
      </c>
      <c r="J89" s="483">
        <f t="shared" si="45"/>
        <v>9.5</v>
      </c>
      <c r="K89" s="483">
        <f t="shared" si="45"/>
        <v>9.5</v>
      </c>
      <c r="L89" s="483">
        <f t="shared" si="45"/>
        <v>9.5</v>
      </c>
      <c r="M89" s="483">
        <f t="shared" si="45"/>
        <v>9.5</v>
      </c>
      <c r="N89" s="483">
        <f t="shared" si="45"/>
        <v>9.5</v>
      </c>
      <c r="O89" s="483">
        <f t="shared" si="45"/>
        <v>9.5</v>
      </c>
      <c r="P89" s="483">
        <f t="shared" si="45"/>
        <v>9.5</v>
      </c>
      <c r="Q89" s="483">
        <f t="shared" si="45"/>
        <v>9.5</v>
      </c>
      <c r="R89" s="483">
        <f t="shared" si="45"/>
        <v>9.5</v>
      </c>
      <c r="S89" s="483">
        <f t="shared" si="45"/>
        <v>9.5</v>
      </c>
      <c r="T89" s="483">
        <f t="shared" si="45"/>
        <v>9.5</v>
      </c>
      <c r="U89" s="483">
        <f t="shared" si="45"/>
        <v>9.5</v>
      </c>
      <c r="V89" s="483">
        <f t="shared" si="45"/>
        <v>9.5</v>
      </c>
      <c r="W89" s="483">
        <f t="shared" si="45"/>
        <v>9.5</v>
      </c>
      <c r="X89" s="483">
        <f t="shared" si="45"/>
        <v>9.5</v>
      </c>
      <c r="Y89" s="483">
        <f t="shared" si="45"/>
        <v>9.5</v>
      </c>
      <c r="Z89" s="483">
        <f t="shared" si="45"/>
        <v>9.5</v>
      </c>
      <c r="AA89" s="483">
        <f t="shared" si="45"/>
        <v>9.5</v>
      </c>
      <c r="AB89" s="483">
        <f t="shared" si="45"/>
        <v>9.5</v>
      </c>
      <c r="AC89" s="483">
        <f t="shared" si="45"/>
        <v>9.5</v>
      </c>
      <c r="AD89" s="483">
        <f t="shared" si="45"/>
        <v>9.5</v>
      </c>
      <c r="AE89" s="483">
        <f t="shared" si="45"/>
        <v>9.5</v>
      </c>
      <c r="AF89" s="483">
        <f t="shared" si="45"/>
        <v>9.5</v>
      </c>
      <c r="AG89" s="483">
        <f t="shared" si="45"/>
        <v>9.5</v>
      </c>
      <c r="AH89" s="483">
        <f t="shared" si="45"/>
        <v>9.5</v>
      </c>
      <c r="AI89" s="483">
        <f t="shared" si="45"/>
        <v>9.5</v>
      </c>
      <c r="AJ89" s="483">
        <f t="shared" si="45"/>
        <v>9.5</v>
      </c>
      <c r="AK89" s="483">
        <f t="shared" si="45"/>
        <v>9.5</v>
      </c>
      <c r="AL89" s="483">
        <f t="shared" si="45"/>
        <v>9.5</v>
      </c>
      <c r="AM89" s="483">
        <f t="shared" si="45"/>
        <v>9.5</v>
      </c>
      <c r="AN89" s="483">
        <f t="shared" si="45"/>
        <v>9.5</v>
      </c>
      <c r="AO89" s="483">
        <f t="shared" si="45"/>
        <v>9.5</v>
      </c>
      <c r="AP89" s="483">
        <f t="shared" si="45"/>
        <v>9.5</v>
      </c>
      <c r="AQ89" s="483">
        <f t="shared" si="45"/>
        <v>9.5</v>
      </c>
      <c r="AR89" s="483">
        <f t="shared" si="45"/>
        <v>9.5</v>
      </c>
      <c r="AS89" s="483">
        <f t="shared" si="45"/>
        <v>9.5</v>
      </c>
      <c r="AT89" s="483">
        <f t="shared" si="45"/>
        <v>9.5</v>
      </c>
      <c r="AU89" s="483">
        <f t="shared" si="45"/>
        <v>9.5</v>
      </c>
      <c r="AV89" s="484">
        <v>5</v>
      </c>
      <c r="AW89" s="602"/>
      <c r="AX89" s="602"/>
      <c r="AY89" s="602"/>
      <c r="AZ89" s="602"/>
      <c r="BA89" s="602"/>
      <c r="BB89" s="602"/>
      <c r="BC89" s="602"/>
    </row>
    <row r="90" spans="2:84" ht="15">
      <c r="B90" s="8" t="str">
        <f>Processes!D104</f>
        <v>EXPH2</v>
      </c>
      <c r="C90" s="8" t="str">
        <f>Processes!E104</f>
        <v>Export technology - Hydrogen</v>
      </c>
      <c r="D90" s="216" t="str">
        <f>IF(LEN(B90)=6,RIGHT(B90,2),RIGHT(B90,2))</f>
        <v>H2</v>
      </c>
      <c r="E90" s="485"/>
      <c r="F90" s="1119" t="str">
        <f t="shared" si="36"/>
        <v>MKr14</v>
      </c>
      <c r="G90" s="483">
        <f>G77</f>
        <v>42.18</v>
      </c>
      <c r="H90" s="483">
        <f t="shared" ref="H90:AU90" si="46">H77</f>
        <v>43.795000000000002</v>
      </c>
      <c r="I90" s="483">
        <f t="shared" si="46"/>
        <v>52.344999999999999</v>
      </c>
      <c r="J90" s="483">
        <f t="shared" si="46"/>
        <v>51.49</v>
      </c>
      <c r="K90" s="483">
        <f t="shared" si="46"/>
        <v>43.414999999999999</v>
      </c>
      <c r="L90" s="483">
        <f t="shared" si="46"/>
        <v>41.8</v>
      </c>
      <c r="M90" s="483">
        <f t="shared" si="46"/>
        <v>34.959999999999994</v>
      </c>
      <c r="N90" s="483">
        <f t="shared" si="46"/>
        <v>35.055</v>
      </c>
      <c r="O90" s="483">
        <f t="shared" si="46"/>
        <v>50.751074212757736</v>
      </c>
      <c r="P90" s="483">
        <f t="shared" si="46"/>
        <v>32.54796067858944</v>
      </c>
      <c r="Q90" s="483">
        <f t="shared" si="46"/>
        <v>31.727957487158143</v>
      </c>
      <c r="R90" s="483">
        <f t="shared" si="46"/>
        <v>29.949025524166288</v>
      </c>
      <c r="S90" s="483">
        <f t="shared" si="46"/>
        <v>31.124421190464801</v>
      </c>
      <c r="T90" s="483">
        <f t="shared" si="46"/>
        <v>31.69930389723169</v>
      </c>
      <c r="U90" s="483">
        <f t="shared" si="46"/>
        <v>31.888767724343968</v>
      </c>
      <c r="V90" s="483">
        <f t="shared" si="46"/>
        <v>31.830779289767982</v>
      </c>
      <c r="W90" s="483">
        <f t="shared" si="46"/>
        <v>31.794257244088858</v>
      </c>
      <c r="X90" s="483">
        <f t="shared" si="46"/>
        <v>31.770799731920086</v>
      </c>
      <c r="Y90" s="483">
        <f t="shared" si="46"/>
        <v>31.750709610930787</v>
      </c>
      <c r="Z90" s="483">
        <f t="shared" si="46"/>
        <v>31.743509235621186</v>
      </c>
      <c r="AA90" s="483">
        <f t="shared" si="46"/>
        <v>31.741544979889387</v>
      </c>
      <c r="AB90" s="483">
        <f t="shared" si="46"/>
        <v>31.785326421240963</v>
      </c>
      <c r="AC90" s="483">
        <f t="shared" si="46"/>
        <v>31.829107862592537</v>
      </c>
      <c r="AD90" s="483">
        <f t="shared" si="46"/>
        <v>31.872889303944106</v>
      </c>
      <c r="AE90" s="483">
        <f t="shared" si="46"/>
        <v>31.916670745295676</v>
      </c>
      <c r="AF90" s="483">
        <f t="shared" si="46"/>
        <v>31.960452186647256</v>
      </c>
      <c r="AG90" s="483">
        <f t="shared" si="46"/>
        <v>32.004233627998829</v>
      </c>
      <c r="AH90" s="483">
        <f t="shared" si="46"/>
        <v>32.048015069350392</v>
      </c>
      <c r="AI90" s="483">
        <f t="shared" si="46"/>
        <v>32.091796510701968</v>
      </c>
      <c r="AJ90" s="483">
        <f t="shared" si="46"/>
        <v>32.135577952053531</v>
      </c>
      <c r="AK90" s="483">
        <f t="shared" si="46"/>
        <v>32.179359393405107</v>
      </c>
      <c r="AL90" s="483">
        <f t="shared" si="46"/>
        <v>32.223140834756684</v>
      </c>
      <c r="AM90" s="483">
        <f t="shared" si="46"/>
        <v>32.266922276108254</v>
      </c>
      <c r="AN90" s="483">
        <f t="shared" si="46"/>
        <v>32.310703717459816</v>
      </c>
      <c r="AO90" s="483">
        <f t="shared" si="46"/>
        <v>32.354485158811393</v>
      </c>
      <c r="AP90" s="483">
        <f t="shared" si="46"/>
        <v>32.39826660016297</v>
      </c>
      <c r="AQ90" s="483">
        <f t="shared" si="46"/>
        <v>32.442048041514546</v>
      </c>
      <c r="AR90" s="483">
        <f t="shared" si="46"/>
        <v>32.485829482866109</v>
      </c>
      <c r="AS90" s="483">
        <f t="shared" si="46"/>
        <v>32.529610924217685</v>
      </c>
      <c r="AT90" s="483">
        <f t="shared" si="46"/>
        <v>32.573392365569248</v>
      </c>
      <c r="AU90" s="483">
        <f t="shared" si="46"/>
        <v>32.617173806920832</v>
      </c>
      <c r="AV90" s="484">
        <v>5</v>
      </c>
      <c r="AW90" s="602">
        <v>0</v>
      </c>
      <c r="AX90" s="602">
        <v>0</v>
      </c>
      <c r="AY90" s="602">
        <v>0</v>
      </c>
      <c r="AZ90" s="602">
        <v>4</v>
      </c>
      <c r="BA90" s="602">
        <v>0</v>
      </c>
      <c r="BB90" s="602">
        <v>0</v>
      </c>
      <c r="BC90" s="602">
        <v>0</v>
      </c>
      <c r="BD90" s="602">
        <v>4</v>
      </c>
      <c r="BE90" s="602">
        <v>0</v>
      </c>
      <c r="BF90" s="602">
        <v>0</v>
      </c>
      <c r="BG90" s="602">
        <v>0</v>
      </c>
      <c r="BH90" s="602">
        <v>4</v>
      </c>
      <c r="BI90" s="602">
        <v>0</v>
      </c>
      <c r="BJ90" s="602">
        <v>0</v>
      </c>
      <c r="BK90" s="602">
        <v>0</v>
      </c>
      <c r="BL90" s="602">
        <v>4</v>
      </c>
      <c r="BM90" s="602">
        <v>0</v>
      </c>
      <c r="BN90" s="602">
        <v>0</v>
      </c>
      <c r="BO90" s="602">
        <v>0</v>
      </c>
      <c r="BP90" s="602">
        <v>4</v>
      </c>
    </row>
    <row r="91" spans="2:84" ht="15">
      <c r="B91" s="8" t="str">
        <f>Processes!D105</f>
        <v>EXPH2G</v>
      </c>
      <c r="C91" s="8" t="str">
        <f>Processes!E105</f>
        <v>Export technology - Hydrogen Gas</v>
      </c>
      <c r="D91" s="216" t="str">
        <f t="shared" si="41"/>
        <v>H2G</v>
      </c>
      <c r="E91" s="485"/>
      <c r="F91" s="1119" t="str">
        <f t="shared" si="36"/>
        <v>MKr14</v>
      </c>
      <c r="G91" s="483">
        <f>G77</f>
        <v>42.18</v>
      </c>
      <c r="H91" s="483">
        <f t="shared" ref="H91:AU91" si="47">H77</f>
        <v>43.795000000000002</v>
      </c>
      <c r="I91" s="483">
        <f t="shared" si="47"/>
        <v>52.344999999999999</v>
      </c>
      <c r="J91" s="483">
        <f t="shared" si="47"/>
        <v>51.49</v>
      </c>
      <c r="K91" s="483">
        <f t="shared" si="47"/>
        <v>43.414999999999999</v>
      </c>
      <c r="L91" s="483">
        <f t="shared" si="47"/>
        <v>41.8</v>
      </c>
      <c r="M91" s="483">
        <f t="shared" si="47"/>
        <v>34.959999999999994</v>
      </c>
      <c r="N91" s="483">
        <f t="shared" si="47"/>
        <v>35.055</v>
      </c>
      <c r="O91" s="483">
        <f t="shared" si="47"/>
        <v>50.751074212757736</v>
      </c>
      <c r="P91" s="483">
        <f t="shared" si="47"/>
        <v>32.54796067858944</v>
      </c>
      <c r="Q91" s="483">
        <f t="shared" si="47"/>
        <v>31.727957487158143</v>
      </c>
      <c r="R91" s="483">
        <f t="shared" si="47"/>
        <v>29.949025524166288</v>
      </c>
      <c r="S91" s="483">
        <f t="shared" si="47"/>
        <v>31.124421190464801</v>
      </c>
      <c r="T91" s="483">
        <f t="shared" si="47"/>
        <v>31.69930389723169</v>
      </c>
      <c r="U91" s="483">
        <f t="shared" si="47"/>
        <v>31.888767724343968</v>
      </c>
      <c r="V91" s="483">
        <f t="shared" si="47"/>
        <v>31.830779289767982</v>
      </c>
      <c r="W91" s="483">
        <f t="shared" si="47"/>
        <v>31.794257244088858</v>
      </c>
      <c r="X91" s="483">
        <f t="shared" si="47"/>
        <v>31.770799731920086</v>
      </c>
      <c r="Y91" s="483">
        <f t="shared" si="47"/>
        <v>31.750709610930787</v>
      </c>
      <c r="Z91" s="483">
        <f t="shared" si="47"/>
        <v>31.743509235621186</v>
      </c>
      <c r="AA91" s="483">
        <f t="shared" si="47"/>
        <v>31.741544979889387</v>
      </c>
      <c r="AB91" s="483">
        <f t="shared" si="47"/>
        <v>31.785326421240963</v>
      </c>
      <c r="AC91" s="483">
        <f t="shared" si="47"/>
        <v>31.829107862592537</v>
      </c>
      <c r="AD91" s="483">
        <f t="shared" si="47"/>
        <v>31.872889303944106</v>
      </c>
      <c r="AE91" s="483">
        <f t="shared" si="47"/>
        <v>31.916670745295676</v>
      </c>
      <c r="AF91" s="483">
        <f t="shared" si="47"/>
        <v>31.960452186647256</v>
      </c>
      <c r="AG91" s="483">
        <f t="shared" si="47"/>
        <v>32.004233627998829</v>
      </c>
      <c r="AH91" s="483">
        <f t="shared" si="47"/>
        <v>32.048015069350392</v>
      </c>
      <c r="AI91" s="483">
        <f t="shared" si="47"/>
        <v>32.091796510701968</v>
      </c>
      <c r="AJ91" s="483">
        <f t="shared" si="47"/>
        <v>32.135577952053531</v>
      </c>
      <c r="AK91" s="483">
        <f t="shared" si="47"/>
        <v>32.179359393405107</v>
      </c>
      <c r="AL91" s="483">
        <f t="shared" si="47"/>
        <v>32.223140834756684</v>
      </c>
      <c r="AM91" s="483">
        <f t="shared" si="47"/>
        <v>32.266922276108254</v>
      </c>
      <c r="AN91" s="483">
        <f t="shared" si="47"/>
        <v>32.310703717459816</v>
      </c>
      <c r="AO91" s="483">
        <f t="shared" si="47"/>
        <v>32.354485158811393</v>
      </c>
      <c r="AP91" s="483">
        <f t="shared" si="47"/>
        <v>32.39826660016297</v>
      </c>
      <c r="AQ91" s="483">
        <f t="shared" si="47"/>
        <v>32.442048041514546</v>
      </c>
      <c r="AR91" s="483">
        <f t="shared" si="47"/>
        <v>32.485829482866109</v>
      </c>
      <c r="AS91" s="483">
        <f t="shared" si="47"/>
        <v>32.529610924217685</v>
      </c>
      <c r="AT91" s="483">
        <f t="shared" si="47"/>
        <v>32.573392365569248</v>
      </c>
      <c r="AU91" s="483">
        <f t="shared" si="47"/>
        <v>32.617173806920832</v>
      </c>
      <c r="AV91" s="484">
        <v>5</v>
      </c>
      <c r="AW91" s="602">
        <v>0</v>
      </c>
      <c r="AX91" s="602">
        <v>0</v>
      </c>
      <c r="AY91" s="602">
        <v>0</v>
      </c>
      <c r="AZ91" s="602">
        <v>4</v>
      </c>
      <c r="BA91" s="602">
        <v>0</v>
      </c>
      <c r="BB91" s="602">
        <v>0</v>
      </c>
      <c r="BC91" s="602">
        <v>0</v>
      </c>
      <c r="BD91" s="602">
        <v>4</v>
      </c>
      <c r="BE91" s="602">
        <v>0</v>
      </c>
      <c r="BF91" s="602">
        <v>0</v>
      </c>
      <c r="BG91" s="602">
        <v>0</v>
      </c>
      <c r="BH91" s="602">
        <v>4</v>
      </c>
      <c r="BI91" s="602">
        <v>0</v>
      </c>
      <c r="BJ91" s="602">
        <v>0</v>
      </c>
      <c r="BK91" s="602">
        <v>0</v>
      </c>
      <c r="BL91" s="602">
        <v>4</v>
      </c>
      <c r="BM91" s="602">
        <v>0</v>
      </c>
      <c r="BN91" s="602">
        <v>0</v>
      </c>
      <c r="BO91" s="602">
        <v>0</v>
      </c>
      <c r="BP91" s="602">
        <v>4</v>
      </c>
    </row>
    <row r="92" spans="2:84" ht="15">
      <c r="B92" s="8" t="str">
        <f>Processes!D106</f>
        <v>EXPAMM</v>
      </c>
      <c r="C92" s="8" t="str">
        <f>Processes!E106</f>
        <v>Export technology - Ammonia (Liquid)</v>
      </c>
      <c r="D92" s="216" t="str">
        <f t="shared" si="41"/>
        <v>AMM</v>
      </c>
      <c r="E92" s="485"/>
      <c r="F92" s="1119" t="str">
        <f t="shared" si="36"/>
        <v>MKr19</v>
      </c>
      <c r="G92" s="483">
        <f>G83</f>
        <v>100.13</v>
      </c>
      <c r="H92" s="483">
        <f t="shared" ref="H92:AU92" si="48">H83</f>
        <v>111.53</v>
      </c>
      <c r="I92" s="483">
        <f t="shared" si="48"/>
        <v>127.48999999999998</v>
      </c>
      <c r="J92" s="483">
        <f t="shared" si="48"/>
        <v>117.03999999999999</v>
      </c>
      <c r="K92" s="483">
        <f t="shared" si="48"/>
        <v>107.82499999999999</v>
      </c>
      <c r="L92" s="483">
        <f t="shared" si="48"/>
        <v>73.149999999999991</v>
      </c>
      <c r="M92" s="483">
        <f t="shared" si="48"/>
        <v>70.3</v>
      </c>
      <c r="N92" s="483">
        <f t="shared" si="48"/>
        <v>74.290000000000006</v>
      </c>
      <c r="O92" s="483">
        <f t="shared" si="48"/>
        <v>96.426022004987345</v>
      </c>
      <c r="P92" s="483">
        <f t="shared" si="48"/>
        <v>90.807615434698747</v>
      </c>
      <c r="Q92" s="483">
        <f t="shared" si="48"/>
        <v>89.401673832219473</v>
      </c>
      <c r="R92" s="483">
        <f t="shared" si="48"/>
        <v>68.516792691424257</v>
      </c>
      <c r="S92" s="483">
        <f t="shared" si="48"/>
        <v>71.754866618593084</v>
      </c>
      <c r="T92" s="483">
        <f t="shared" si="48"/>
        <v>73.96179631899065</v>
      </c>
      <c r="U92" s="483">
        <f t="shared" si="48"/>
        <v>75.575095006707542</v>
      </c>
      <c r="V92" s="483">
        <f t="shared" si="48"/>
        <v>76.749748941909317</v>
      </c>
      <c r="W92" s="483">
        <f t="shared" si="48"/>
        <v>78.046939113302997</v>
      </c>
      <c r="X92" s="483">
        <f t="shared" si="48"/>
        <v>79.318170941805391</v>
      </c>
      <c r="Y92" s="483">
        <f t="shared" si="48"/>
        <v>80.48773617399354</v>
      </c>
      <c r="Z92" s="483">
        <f t="shared" si="48"/>
        <v>81.715850466579965</v>
      </c>
      <c r="AA92" s="483">
        <f t="shared" si="48"/>
        <v>82.877880872470527</v>
      </c>
      <c r="AB92" s="483">
        <f t="shared" si="48"/>
        <v>82.587044298377819</v>
      </c>
      <c r="AC92" s="483">
        <f t="shared" si="48"/>
        <v>82.295512149203404</v>
      </c>
      <c r="AD92" s="483">
        <f t="shared" si="48"/>
        <v>82.005183686862722</v>
      </c>
      <c r="AE92" s="483">
        <f t="shared" si="48"/>
        <v>81.714126007099949</v>
      </c>
      <c r="AF92" s="483">
        <f t="shared" si="48"/>
        <v>81.423160188978741</v>
      </c>
      <c r="AG92" s="483">
        <f t="shared" si="48"/>
        <v>81.131314786114757</v>
      </c>
      <c r="AH92" s="483">
        <f t="shared" si="48"/>
        <v>80.840497833412343</v>
      </c>
      <c r="AI92" s="483">
        <f t="shared" si="48"/>
        <v>80.548986928309944</v>
      </c>
      <c r="AJ92" s="483">
        <f t="shared" si="48"/>
        <v>80.258358418959332</v>
      </c>
      <c r="AK92" s="483">
        <f t="shared" si="48"/>
        <v>79.967443126641484</v>
      </c>
      <c r="AL92" s="483">
        <f t="shared" si="48"/>
        <v>79.676528313431973</v>
      </c>
      <c r="AM92" s="483">
        <f t="shared" si="48"/>
        <v>79.388615803438867</v>
      </c>
      <c r="AN92" s="483">
        <f t="shared" si="48"/>
        <v>79.10070874877735</v>
      </c>
      <c r="AO92" s="483">
        <f t="shared" si="48"/>
        <v>78.812807156422508</v>
      </c>
      <c r="AP92" s="483">
        <f t="shared" si="48"/>
        <v>78.524911033358194</v>
      </c>
      <c r="AQ92" s="483">
        <f t="shared" si="48"/>
        <v>78.237020386577257</v>
      </c>
      <c r="AR92" s="483">
        <f t="shared" si="48"/>
        <v>77.949135223081484</v>
      </c>
      <c r="AS92" s="483">
        <f t="shared" si="48"/>
        <v>77.661255549881631</v>
      </c>
      <c r="AT92" s="483">
        <f t="shared" si="48"/>
        <v>77.373381373997375</v>
      </c>
      <c r="AU92" s="483">
        <f t="shared" si="48"/>
        <v>77.085512702457393</v>
      </c>
      <c r="AV92" s="484">
        <v>5</v>
      </c>
      <c r="AW92" s="602">
        <v>0</v>
      </c>
      <c r="AX92" s="602">
        <v>0</v>
      </c>
      <c r="AY92" s="602">
        <v>0</v>
      </c>
      <c r="AZ92" s="602">
        <v>4</v>
      </c>
      <c r="BA92" s="602">
        <v>0</v>
      </c>
      <c r="BB92" s="602">
        <v>0</v>
      </c>
      <c r="BC92" s="602">
        <v>0</v>
      </c>
      <c r="BD92" s="602">
        <v>4</v>
      </c>
      <c r="BE92" s="602">
        <v>0</v>
      </c>
      <c r="BF92" s="602">
        <v>0</v>
      </c>
      <c r="BG92" s="602">
        <v>0</v>
      </c>
      <c r="BH92" s="602">
        <v>4</v>
      </c>
      <c r="BI92" s="602">
        <v>0</v>
      </c>
      <c r="BJ92" s="602">
        <v>0</v>
      </c>
      <c r="BK92" s="602">
        <v>0</v>
      </c>
      <c r="BL92" s="602">
        <v>4</v>
      </c>
      <c r="BM92" s="602">
        <v>0</v>
      </c>
      <c r="BN92" s="602">
        <v>0</v>
      </c>
      <c r="BO92" s="602">
        <v>0</v>
      </c>
      <c r="BP92" s="602">
        <v>4</v>
      </c>
    </row>
    <row r="93" spans="2:84" ht="15">
      <c r="B93" s="8" t="str">
        <f>Processes!D107</f>
        <v>EXPDME</v>
      </c>
      <c r="C93" s="8" t="str">
        <f>Processes!E107</f>
        <v>Export technology - Dimethyl ether</v>
      </c>
      <c r="D93" s="216" t="str">
        <f t="shared" si="41"/>
        <v>DME</v>
      </c>
      <c r="E93" s="485"/>
      <c r="F93" s="1119" t="str">
        <f t="shared" si="36"/>
        <v>MKr19</v>
      </c>
      <c r="G93" s="483">
        <f>G$83</f>
        <v>100.13</v>
      </c>
      <c r="H93" s="483">
        <f t="shared" ref="H93:AU93" si="49">H$83</f>
        <v>111.53</v>
      </c>
      <c r="I93" s="483">
        <f t="shared" si="49"/>
        <v>127.48999999999998</v>
      </c>
      <c r="J93" s="483">
        <f t="shared" si="49"/>
        <v>117.03999999999999</v>
      </c>
      <c r="K93" s="483">
        <f t="shared" si="49"/>
        <v>107.82499999999999</v>
      </c>
      <c r="L93" s="483">
        <f t="shared" si="49"/>
        <v>73.149999999999991</v>
      </c>
      <c r="M93" s="483">
        <f t="shared" si="49"/>
        <v>70.3</v>
      </c>
      <c r="N93" s="483">
        <f t="shared" si="49"/>
        <v>74.290000000000006</v>
      </c>
      <c r="O93" s="483">
        <f t="shared" si="49"/>
        <v>96.426022004987345</v>
      </c>
      <c r="P93" s="483">
        <f t="shared" si="49"/>
        <v>90.807615434698747</v>
      </c>
      <c r="Q93" s="483">
        <f t="shared" si="49"/>
        <v>89.401673832219473</v>
      </c>
      <c r="R93" s="483">
        <f t="shared" si="49"/>
        <v>68.516792691424257</v>
      </c>
      <c r="S93" s="483">
        <f t="shared" si="49"/>
        <v>71.754866618593084</v>
      </c>
      <c r="T93" s="483">
        <f t="shared" si="49"/>
        <v>73.96179631899065</v>
      </c>
      <c r="U93" s="483">
        <f t="shared" si="49"/>
        <v>75.575095006707542</v>
      </c>
      <c r="V93" s="483">
        <f t="shared" si="49"/>
        <v>76.749748941909317</v>
      </c>
      <c r="W93" s="483">
        <f t="shared" si="49"/>
        <v>78.046939113302997</v>
      </c>
      <c r="X93" s="483">
        <f t="shared" si="49"/>
        <v>79.318170941805391</v>
      </c>
      <c r="Y93" s="483">
        <f t="shared" si="49"/>
        <v>80.48773617399354</v>
      </c>
      <c r="Z93" s="483">
        <f t="shared" si="49"/>
        <v>81.715850466579965</v>
      </c>
      <c r="AA93" s="483">
        <f t="shared" si="49"/>
        <v>82.877880872470527</v>
      </c>
      <c r="AB93" s="483">
        <f t="shared" si="49"/>
        <v>82.587044298377819</v>
      </c>
      <c r="AC93" s="483">
        <f t="shared" si="49"/>
        <v>82.295512149203404</v>
      </c>
      <c r="AD93" s="483">
        <f t="shared" si="49"/>
        <v>82.005183686862722</v>
      </c>
      <c r="AE93" s="483">
        <f t="shared" si="49"/>
        <v>81.714126007099949</v>
      </c>
      <c r="AF93" s="483">
        <f t="shared" si="49"/>
        <v>81.423160188978741</v>
      </c>
      <c r="AG93" s="483">
        <f t="shared" si="49"/>
        <v>81.131314786114757</v>
      </c>
      <c r="AH93" s="483">
        <f t="shared" si="49"/>
        <v>80.840497833412343</v>
      </c>
      <c r="AI93" s="483">
        <f t="shared" si="49"/>
        <v>80.548986928309944</v>
      </c>
      <c r="AJ93" s="483">
        <f t="shared" si="49"/>
        <v>80.258358418959332</v>
      </c>
      <c r="AK93" s="483">
        <f t="shared" si="49"/>
        <v>79.967443126641484</v>
      </c>
      <c r="AL93" s="483">
        <f t="shared" si="49"/>
        <v>79.676528313431973</v>
      </c>
      <c r="AM93" s="483">
        <f t="shared" si="49"/>
        <v>79.388615803438867</v>
      </c>
      <c r="AN93" s="483">
        <f t="shared" si="49"/>
        <v>79.10070874877735</v>
      </c>
      <c r="AO93" s="483">
        <f t="shared" si="49"/>
        <v>78.812807156422508</v>
      </c>
      <c r="AP93" s="483">
        <f t="shared" si="49"/>
        <v>78.524911033358194</v>
      </c>
      <c r="AQ93" s="483">
        <f t="shared" si="49"/>
        <v>78.237020386577257</v>
      </c>
      <c r="AR93" s="483">
        <f t="shared" si="49"/>
        <v>77.949135223081484</v>
      </c>
      <c r="AS93" s="483">
        <f t="shared" si="49"/>
        <v>77.661255549881631</v>
      </c>
      <c r="AT93" s="483">
        <f t="shared" si="49"/>
        <v>77.373381373997375</v>
      </c>
      <c r="AU93" s="483">
        <f t="shared" si="49"/>
        <v>77.085512702457393</v>
      </c>
      <c r="AV93" s="484">
        <v>5</v>
      </c>
      <c r="AW93" s="602">
        <v>0</v>
      </c>
      <c r="AX93" s="602">
        <v>0</v>
      </c>
      <c r="AY93" s="602">
        <v>0</v>
      </c>
      <c r="AZ93" s="602">
        <v>4</v>
      </c>
      <c r="BA93" s="602">
        <v>0</v>
      </c>
      <c r="BB93" s="602">
        <v>0</v>
      </c>
      <c r="BC93" s="602">
        <v>0</v>
      </c>
      <c r="BD93" s="602">
        <v>4</v>
      </c>
      <c r="BE93" s="602">
        <v>0</v>
      </c>
      <c r="BF93" s="602">
        <v>0</v>
      </c>
      <c r="BG93" s="602">
        <v>0</v>
      </c>
      <c r="BH93" s="602">
        <v>4</v>
      </c>
      <c r="BI93" s="602">
        <v>0</v>
      </c>
      <c r="BJ93" s="602">
        <v>0</v>
      </c>
      <c r="BK93" s="602">
        <v>0</v>
      </c>
      <c r="BL93" s="602">
        <v>4</v>
      </c>
      <c r="BM93" s="602">
        <v>0</v>
      </c>
      <c r="BN93" s="602">
        <v>0</v>
      </c>
      <c r="BO93" s="602">
        <v>0</v>
      </c>
      <c r="BP93" s="602">
        <v>4</v>
      </c>
    </row>
    <row r="94" spans="2:84" ht="15">
      <c r="B94" s="8" t="str">
        <f>Processes!D108</f>
        <v>EXPKRB1</v>
      </c>
      <c r="C94" s="8" t="str">
        <f>Processes!E108</f>
        <v>Export technology - Bio Kerosene G1</v>
      </c>
      <c r="D94" s="216" t="str">
        <f t="shared" si="41"/>
        <v>KRB1</v>
      </c>
      <c r="E94" s="485"/>
      <c r="F94" s="1119" t="str">
        <f t="shared" si="36"/>
        <v>MKr19</v>
      </c>
      <c r="G94" s="483">
        <f>G$82</f>
        <v>72.674999999999997</v>
      </c>
      <c r="H94" s="483">
        <f t="shared" ref="H94:AU96" si="50">H$82</f>
        <v>106.78</v>
      </c>
      <c r="I94" s="483">
        <f t="shared" si="50"/>
        <v>110.48499999999999</v>
      </c>
      <c r="J94" s="483">
        <f t="shared" si="50"/>
        <v>112.66999999999999</v>
      </c>
      <c r="K94" s="483">
        <f t="shared" si="50"/>
        <v>104.59499999999998</v>
      </c>
      <c r="L94" s="483">
        <f t="shared" si="50"/>
        <v>69.825000000000003</v>
      </c>
      <c r="M94" s="483">
        <f t="shared" si="50"/>
        <v>67.069999999999993</v>
      </c>
      <c r="N94" s="483">
        <f t="shared" si="50"/>
        <v>70.965000000000003</v>
      </c>
      <c r="O94" s="483">
        <f t="shared" si="50"/>
        <v>94.52602200498734</v>
      </c>
      <c r="P94" s="483">
        <f t="shared" si="50"/>
        <v>88.34711543469875</v>
      </c>
      <c r="Q94" s="483">
        <f t="shared" si="50"/>
        <v>86.941173832219462</v>
      </c>
      <c r="R94" s="483">
        <f t="shared" si="50"/>
        <v>66.056292691424247</v>
      </c>
      <c r="S94" s="483">
        <f t="shared" si="50"/>
        <v>69.294366618593074</v>
      </c>
      <c r="T94" s="483">
        <f t="shared" si="50"/>
        <v>71.50129631899064</v>
      </c>
      <c r="U94" s="483">
        <f t="shared" si="50"/>
        <v>73.114595006707532</v>
      </c>
      <c r="V94" s="483">
        <f t="shared" si="50"/>
        <v>74.289248941909307</v>
      </c>
      <c r="W94" s="483">
        <f t="shared" si="50"/>
        <v>75.586439113303001</v>
      </c>
      <c r="X94" s="483">
        <f t="shared" si="50"/>
        <v>76.857670941805381</v>
      </c>
      <c r="Y94" s="483">
        <f t="shared" si="50"/>
        <v>78.027236173993543</v>
      </c>
      <c r="Z94" s="483">
        <f t="shared" si="50"/>
        <v>79.255350466579955</v>
      </c>
      <c r="AA94" s="483">
        <f t="shared" si="50"/>
        <v>80.417380872470531</v>
      </c>
      <c r="AB94" s="483">
        <f t="shared" si="50"/>
        <v>80.126544298377823</v>
      </c>
      <c r="AC94" s="483">
        <f t="shared" si="50"/>
        <v>79.835012149203408</v>
      </c>
      <c r="AD94" s="483">
        <f t="shared" si="50"/>
        <v>79.544683686862726</v>
      </c>
      <c r="AE94" s="483">
        <f t="shared" si="50"/>
        <v>79.253626007099939</v>
      </c>
      <c r="AF94" s="483">
        <f t="shared" si="50"/>
        <v>78.962660188978745</v>
      </c>
      <c r="AG94" s="483">
        <f t="shared" si="50"/>
        <v>78.670814786114747</v>
      </c>
      <c r="AH94" s="483">
        <f t="shared" si="50"/>
        <v>78.379997833412347</v>
      </c>
      <c r="AI94" s="483">
        <f t="shared" si="50"/>
        <v>78.088486928309948</v>
      </c>
      <c r="AJ94" s="483">
        <f t="shared" si="50"/>
        <v>77.797858418959336</v>
      </c>
      <c r="AK94" s="483">
        <f t="shared" si="50"/>
        <v>77.506943126641474</v>
      </c>
      <c r="AL94" s="483">
        <f t="shared" si="50"/>
        <v>77.216028313431977</v>
      </c>
      <c r="AM94" s="483">
        <f t="shared" si="50"/>
        <v>76.928115803438857</v>
      </c>
      <c r="AN94" s="483">
        <f t="shared" si="50"/>
        <v>76.640208748777354</v>
      </c>
      <c r="AO94" s="483">
        <f t="shared" si="50"/>
        <v>76.352307156422498</v>
      </c>
      <c r="AP94" s="483">
        <f t="shared" si="50"/>
        <v>76.064411033358184</v>
      </c>
      <c r="AQ94" s="483">
        <f t="shared" si="50"/>
        <v>75.776520386577246</v>
      </c>
      <c r="AR94" s="483">
        <f t="shared" si="50"/>
        <v>75.488635223081488</v>
      </c>
      <c r="AS94" s="483">
        <f t="shared" si="50"/>
        <v>75.200755549881634</v>
      </c>
      <c r="AT94" s="483">
        <f t="shared" si="50"/>
        <v>74.912881373997365</v>
      </c>
      <c r="AU94" s="483">
        <f t="shared" si="50"/>
        <v>74.625012702457397</v>
      </c>
      <c r="AV94" s="484">
        <v>5</v>
      </c>
      <c r="AW94" s="602">
        <v>0</v>
      </c>
      <c r="AX94" s="602">
        <v>0</v>
      </c>
      <c r="AY94" s="602">
        <v>0</v>
      </c>
      <c r="AZ94" s="602">
        <v>4</v>
      </c>
      <c r="BA94" s="602">
        <v>0</v>
      </c>
      <c r="BB94" s="602">
        <v>0</v>
      </c>
      <c r="BC94" s="602">
        <v>0</v>
      </c>
      <c r="BD94" s="602">
        <v>4</v>
      </c>
      <c r="BE94" s="602">
        <v>0</v>
      </c>
      <c r="BF94" s="602">
        <v>0</v>
      </c>
      <c r="BG94" s="602">
        <v>0</v>
      </c>
      <c r="BH94" s="602">
        <v>4</v>
      </c>
      <c r="BI94" s="602">
        <v>0</v>
      </c>
      <c r="BJ94" s="602">
        <v>0</v>
      </c>
      <c r="BK94" s="602">
        <v>0</v>
      </c>
      <c r="BL94" s="602">
        <v>4</v>
      </c>
      <c r="BM94" s="602">
        <v>0</v>
      </c>
      <c r="BN94" s="602">
        <v>0</v>
      </c>
      <c r="BO94" s="602">
        <v>0</v>
      </c>
      <c r="BP94" s="602">
        <v>4</v>
      </c>
    </row>
    <row r="95" spans="2:84" ht="15">
      <c r="B95" s="8" t="str">
        <f>Processes!D109</f>
        <v>EXPKRB2</v>
      </c>
      <c r="C95" s="8" t="str">
        <f>Processes!E109</f>
        <v>Export technology - Bio Kerosene G2</v>
      </c>
      <c r="D95" s="216" t="str">
        <f t="shared" si="41"/>
        <v>KRB2</v>
      </c>
      <c r="E95" s="485"/>
      <c r="F95" s="1119" t="str">
        <f t="shared" si="36"/>
        <v>MKr19</v>
      </c>
      <c r="G95" s="483">
        <f>G$82</f>
        <v>72.674999999999997</v>
      </c>
      <c r="H95" s="483">
        <f t="shared" si="50"/>
        <v>106.78</v>
      </c>
      <c r="I95" s="483">
        <f t="shared" si="50"/>
        <v>110.48499999999999</v>
      </c>
      <c r="J95" s="483">
        <f t="shared" si="50"/>
        <v>112.66999999999999</v>
      </c>
      <c r="K95" s="483">
        <f t="shared" si="50"/>
        <v>104.59499999999998</v>
      </c>
      <c r="L95" s="483">
        <f t="shared" si="50"/>
        <v>69.825000000000003</v>
      </c>
      <c r="M95" s="483">
        <f t="shared" si="50"/>
        <v>67.069999999999993</v>
      </c>
      <c r="N95" s="483">
        <f t="shared" si="50"/>
        <v>70.965000000000003</v>
      </c>
      <c r="O95" s="483">
        <f t="shared" si="50"/>
        <v>94.52602200498734</v>
      </c>
      <c r="P95" s="483">
        <f t="shared" si="50"/>
        <v>88.34711543469875</v>
      </c>
      <c r="Q95" s="483">
        <f t="shared" si="50"/>
        <v>86.941173832219462</v>
      </c>
      <c r="R95" s="483">
        <f t="shared" si="50"/>
        <v>66.056292691424247</v>
      </c>
      <c r="S95" s="483">
        <f t="shared" si="50"/>
        <v>69.294366618593074</v>
      </c>
      <c r="T95" s="483">
        <f t="shared" si="50"/>
        <v>71.50129631899064</v>
      </c>
      <c r="U95" s="483">
        <f t="shared" si="50"/>
        <v>73.114595006707532</v>
      </c>
      <c r="V95" s="483">
        <f t="shared" si="50"/>
        <v>74.289248941909307</v>
      </c>
      <c r="W95" s="483">
        <f t="shared" si="50"/>
        <v>75.586439113303001</v>
      </c>
      <c r="X95" s="483">
        <f t="shared" si="50"/>
        <v>76.857670941805381</v>
      </c>
      <c r="Y95" s="483">
        <f t="shared" si="50"/>
        <v>78.027236173993543</v>
      </c>
      <c r="Z95" s="483">
        <f t="shared" si="50"/>
        <v>79.255350466579955</v>
      </c>
      <c r="AA95" s="483">
        <f t="shared" si="50"/>
        <v>80.417380872470531</v>
      </c>
      <c r="AB95" s="483">
        <f t="shared" si="50"/>
        <v>80.126544298377823</v>
      </c>
      <c r="AC95" s="483">
        <f t="shared" si="50"/>
        <v>79.835012149203408</v>
      </c>
      <c r="AD95" s="483">
        <f t="shared" si="50"/>
        <v>79.544683686862726</v>
      </c>
      <c r="AE95" s="483">
        <f t="shared" si="50"/>
        <v>79.253626007099939</v>
      </c>
      <c r="AF95" s="483">
        <f t="shared" si="50"/>
        <v>78.962660188978745</v>
      </c>
      <c r="AG95" s="483">
        <f t="shared" si="50"/>
        <v>78.670814786114747</v>
      </c>
      <c r="AH95" s="483">
        <f t="shared" si="50"/>
        <v>78.379997833412347</v>
      </c>
      <c r="AI95" s="483">
        <f t="shared" si="50"/>
        <v>78.088486928309948</v>
      </c>
      <c r="AJ95" s="483">
        <f t="shared" si="50"/>
        <v>77.797858418959336</v>
      </c>
      <c r="AK95" s="483">
        <f t="shared" si="50"/>
        <v>77.506943126641474</v>
      </c>
      <c r="AL95" s="483">
        <f t="shared" si="50"/>
        <v>77.216028313431977</v>
      </c>
      <c r="AM95" s="483">
        <f t="shared" si="50"/>
        <v>76.928115803438857</v>
      </c>
      <c r="AN95" s="483">
        <f t="shared" si="50"/>
        <v>76.640208748777354</v>
      </c>
      <c r="AO95" s="483">
        <f t="shared" si="50"/>
        <v>76.352307156422498</v>
      </c>
      <c r="AP95" s="483">
        <f t="shared" si="50"/>
        <v>76.064411033358184</v>
      </c>
      <c r="AQ95" s="483">
        <f t="shared" si="50"/>
        <v>75.776520386577246</v>
      </c>
      <c r="AR95" s="483">
        <f t="shared" si="50"/>
        <v>75.488635223081488</v>
      </c>
      <c r="AS95" s="483">
        <f t="shared" si="50"/>
        <v>75.200755549881634</v>
      </c>
      <c r="AT95" s="483">
        <f t="shared" si="50"/>
        <v>74.912881373997365</v>
      </c>
      <c r="AU95" s="483">
        <f t="shared" si="50"/>
        <v>74.625012702457397</v>
      </c>
      <c r="AV95" s="484">
        <v>5</v>
      </c>
      <c r="AW95" s="602">
        <v>0</v>
      </c>
      <c r="AX95" s="602">
        <v>0</v>
      </c>
      <c r="AY95" s="602">
        <v>0</v>
      </c>
      <c r="AZ95" s="602">
        <v>4</v>
      </c>
      <c r="BA95" s="602">
        <v>0</v>
      </c>
      <c r="BB95" s="602">
        <v>0</v>
      </c>
      <c r="BC95" s="602">
        <v>0</v>
      </c>
      <c r="BD95" s="602">
        <v>4</v>
      </c>
      <c r="BE95" s="602">
        <v>0</v>
      </c>
      <c r="BF95" s="602">
        <v>0</v>
      </c>
      <c r="BG95" s="602">
        <v>0</v>
      </c>
      <c r="BH95" s="602">
        <v>4</v>
      </c>
      <c r="BI95" s="602">
        <v>0</v>
      </c>
      <c r="BJ95" s="602">
        <v>0</v>
      </c>
      <c r="BK95" s="602">
        <v>0</v>
      </c>
      <c r="BL95" s="602">
        <v>4</v>
      </c>
      <c r="BM95" s="602">
        <v>0</v>
      </c>
      <c r="BN95" s="602">
        <v>0</v>
      </c>
      <c r="BO95" s="602">
        <v>0</v>
      </c>
      <c r="BP95" s="602">
        <v>4</v>
      </c>
    </row>
    <row r="96" spans="2:84" ht="15">
      <c r="B96" s="8" t="str">
        <f>Processes!D110</f>
        <v>EXPKRE</v>
      </c>
      <c r="C96" s="8" t="str">
        <f>Processes!E110</f>
        <v>Export technology - Electro Kerosene</v>
      </c>
      <c r="D96" s="216" t="str">
        <f t="shared" si="41"/>
        <v>KRE</v>
      </c>
      <c r="E96" s="485"/>
      <c r="F96" s="1119" t="str">
        <f t="shared" si="36"/>
        <v>MKr19</v>
      </c>
      <c r="G96" s="483">
        <f>G$82</f>
        <v>72.674999999999997</v>
      </c>
      <c r="H96" s="483">
        <f t="shared" si="50"/>
        <v>106.78</v>
      </c>
      <c r="I96" s="483">
        <f t="shared" si="50"/>
        <v>110.48499999999999</v>
      </c>
      <c r="J96" s="483">
        <f t="shared" si="50"/>
        <v>112.66999999999999</v>
      </c>
      <c r="K96" s="483">
        <f t="shared" si="50"/>
        <v>104.59499999999998</v>
      </c>
      <c r="L96" s="483">
        <f t="shared" si="50"/>
        <v>69.825000000000003</v>
      </c>
      <c r="M96" s="483">
        <f t="shared" si="50"/>
        <v>67.069999999999993</v>
      </c>
      <c r="N96" s="483">
        <f t="shared" si="50"/>
        <v>70.965000000000003</v>
      </c>
      <c r="O96" s="483">
        <f t="shared" si="50"/>
        <v>94.52602200498734</v>
      </c>
      <c r="P96" s="483">
        <f t="shared" si="50"/>
        <v>88.34711543469875</v>
      </c>
      <c r="Q96" s="483">
        <f t="shared" si="50"/>
        <v>86.941173832219462</v>
      </c>
      <c r="R96" s="483">
        <f t="shared" si="50"/>
        <v>66.056292691424247</v>
      </c>
      <c r="S96" s="483">
        <f t="shared" si="50"/>
        <v>69.294366618593074</v>
      </c>
      <c r="T96" s="483">
        <f t="shared" si="50"/>
        <v>71.50129631899064</v>
      </c>
      <c r="U96" s="483">
        <f t="shared" si="50"/>
        <v>73.114595006707532</v>
      </c>
      <c r="V96" s="483">
        <f t="shared" si="50"/>
        <v>74.289248941909307</v>
      </c>
      <c r="W96" s="483">
        <f t="shared" si="50"/>
        <v>75.586439113303001</v>
      </c>
      <c r="X96" s="483">
        <f t="shared" si="50"/>
        <v>76.857670941805381</v>
      </c>
      <c r="Y96" s="483">
        <f t="shared" si="50"/>
        <v>78.027236173993543</v>
      </c>
      <c r="Z96" s="483">
        <f t="shared" si="50"/>
        <v>79.255350466579955</v>
      </c>
      <c r="AA96" s="483">
        <f t="shared" si="50"/>
        <v>80.417380872470531</v>
      </c>
      <c r="AB96" s="483">
        <f t="shared" si="50"/>
        <v>80.126544298377823</v>
      </c>
      <c r="AC96" s="483">
        <f t="shared" si="50"/>
        <v>79.835012149203408</v>
      </c>
      <c r="AD96" s="483">
        <f t="shared" si="50"/>
        <v>79.544683686862726</v>
      </c>
      <c r="AE96" s="483">
        <f t="shared" si="50"/>
        <v>79.253626007099939</v>
      </c>
      <c r="AF96" s="483">
        <f t="shared" si="50"/>
        <v>78.962660188978745</v>
      </c>
      <c r="AG96" s="483">
        <f t="shared" si="50"/>
        <v>78.670814786114747</v>
      </c>
      <c r="AH96" s="483">
        <f t="shared" si="50"/>
        <v>78.379997833412347</v>
      </c>
      <c r="AI96" s="483">
        <f t="shared" si="50"/>
        <v>78.088486928309948</v>
      </c>
      <c r="AJ96" s="483">
        <f t="shared" si="50"/>
        <v>77.797858418959336</v>
      </c>
      <c r="AK96" s="483">
        <f t="shared" si="50"/>
        <v>77.506943126641474</v>
      </c>
      <c r="AL96" s="483">
        <f t="shared" si="50"/>
        <v>77.216028313431977</v>
      </c>
      <c r="AM96" s="483">
        <f t="shared" si="50"/>
        <v>76.928115803438857</v>
      </c>
      <c r="AN96" s="483">
        <f t="shared" si="50"/>
        <v>76.640208748777354</v>
      </c>
      <c r="AO96" s="483">
        <f t="shared" si="50"/>
        <v>76.352307156422498</v>
      </c>
      <c r="AP96" s="483">
        <f t="shared" si="50"/>
        <v>76.064411033358184</v>
      </c>
      <c r="AQ96" s="483">
        <f t="shared" si="50"/>
        <v>75.776520386577246</v>
      </c>
      <c r="AR96" s="483">
        <f t="shared" si="50"/>
        <v>75.488635223081488</v>
      </c>
      <c r="AS96" s="483">
        <f t="shared" si="50"/>
        <v>75.200755549881634</v>
      </c>
      <c r="AT96" s="483">
        <f t="shared" si="50"/>
        <v>74.912881373997365</v>
      </c>
      <c r="AU96" s="483">
        <f t="shared" si="50"/>
        <v>74.625012702457397</v>
      </c>
      <c r="AV96" s="484">
        <v>5</v>
      </c>
      <c r="AW96" s="602">
        <v>0</v>
      </c>
      <c r="AX96" s="602">
        <v>0</v>
      </c>
      <c r="AY96" s="602">
        <v>0</v>
      </c>
      <c r="AZ96" s="602">
        <v>4</v>
      </c>
      <c r="BA96" s="602">
        <v>0</v>
      </c>
      <c r="BB96" s="602">
        <v>0</v>
      </c>
      <c r="BC96" s="602">
        <v>0</v>
      </c>
      <c r="BD96" s="602">
        <v>4</v>
      </c>
      <c r="BE96" s="602">
        <v>0</v>
      </c>
      <c r="BF96" s="602">
        <v>0</v>
      </c>
      <c r="BG96" s="602">
        <v>0</v>
      </c>
      <c r="BH96" s="602">
        <v>4</v>
      </c>
      <c r="BI96" s="602">
        <v>0</v>
      </c>
      <c r="BJ96" s="602">
        <v>0</v>
      </c>
      <c r="BK96" s="602">
        <v>0</v>
      </c>
      <c r="BL96" s="602">
        <v>4</v>
      </c>
      <c r="BM96" s="602">
        <v>0</v>
      </c>
      <c r="BN96" s="602">
        <v>0</v>
      </c>
      <c r="BO96" s="602">
        <v>0</v>
      </c>
      <c r="BP96" s="602">
        <v>4</v>
      </c>
    </row>
    <row r="97" spans="2:68" ht="15">
      <c r="B97" s="8" t="str">
        <f>Processes!D111</f>
        <v>EXPSNG1</v>
      </c>
      <c r="C97" s="8" t="str">
        <f>Processes!E111</f>
        <v>Export technology - Bio Synt. Nat. Gas G1</v>
      </c>
      <c r="D97" s="216" t="str">
        <f t="shared" si="41"/>
        <v>SNG1</v>
      </c>
      <c r="F97" s="1119" t="str">
        <f>IFERROR(VLOOKUP(D97,$E$122:$F$174,2,FALSE),"MKr19")</f>
        <v>MKr19</v>
      </c>
      <c r="G97" s="483">
        <f>G$77</f>
        <v>42.18</v>
      </c>
      <c r="H97" s="483">
        <f t="shared" ref="H97:AU99" si="51">H$77</f>
        <v>43.795000000000002</v>
      </c>
      <c r="I97" s="483">
        <f t="shared" si="51"/>
        <v>52.344999999999999</v>
      </c>
      <c r="J97" s="483">
        <f t="shared" si="51"/>
        <v>51.49</v>
      </c>
      <c r="K97" s="483">
        <f t="shared" si="51"/>
        <v>43.414999999999999</v>
      </c>
      <c r="L97" s="483">
        <f t="shared" si="51"/>
        <v>41.8</v>
      </c>
      <c r="M97" s="483">
        <f t="shared" si="51"/>
        <v>34.959999999999994</v>
      </c>
      <c r="N97" s="483">
        <f t="shared" si="51"/>
        <v>35.055</v>
      </c>
      <c r="O97" s="483">
        <f t="shared" si="51"/>
        <v>50.751074212757736</v>
      </c>
      <c r="P97" s="483">
        <f t="shared" si="51"/>
        <v>32.54796067858944</v>
      </c>
      <c r="Q97" s="483">
        <f t="shared" si="51"/>
        <v>31.727957487158143</v>
      </c>
      <c r="R97" s="483">
        <f t="shared" si="51"/>
        <v>29.949025524166288</v>
      </c>
      <c r="S97" s="483">
        <f t="shared" si="51"/>
        <v>31.124421190464801</v>
      </c>
      <c r="T97" s="483">
        <f t="shared" si="51"/>
        <v>31.69930389723169</v>
      </c>
      <c r="U97" s="483">
        <f t="shared" si="51"/>
        <v>31.888767724343968</v>
      </c>
      <c r="V97" s="483">
        <f t="shared" si="51"/>
        <v>31.830779289767982</v>
      </c>
      <c r="W97" s="483">
        <f t="shared" si="51"/>
        <v>31.794257244088858</v>
      </c>
      <c r="X97" s="483">
        <f t="shared" si="51"/>
        <v>31.770799731920086</v>
      </c>
      <c r="Y97" s="483">
        <f t="shared" si="51"/>
        <v>31.750709610930787</v>
      </c>
      <c r="Z97" s="483">
        <f t="shared" si="51"/>
        <v>31.743509235621186</v>
      </c>
      <c r="AA97" s="483">
        <f t="shared" si="51"/>
        <v>31.741544979889387</v>
      </c>
      <c r="AB97" s="483">
        <f t="shared" si="51"/>
        <v>31.785326421240963</v>
      </c>
      <c r="AC97" s="483">
        <f t="shared" si="51"/>
        <v>31.829107862592537</v>
      </c>
      <c r="AD97" s="483">
        <f t="shared" si="51"/>
        <v>31.872889303944106</v>
      </c>
      <c r="AE97" s="483">
        <f t="shared" si="51"/>
        <v>31.916670745295676</v>
      </c>
      <c r="AF97" s="483">
        <f t="shared" si="51"/>
        <v>31.960452186647256</v>
      </c>
      <c r="AG97" s="483">
        <f t="shared" si="51"/>
        <v>32.004233627998829</v>
      </c>
      <c r="AH97" s="483">
        <f t="shared" si="51"/>
        <v>32.048015069350392</v>
      </c>
      <c r="AI97" s="483">
        <f t="shared" si="51"/>
        <v>32.091796510701968</v>
      </c>
      <c r="AJ97" s="483">
        <f t="shared" si="51"/>
        <v>32.135577952053531</v>
      </c>
      <c r="AK97" s="483">
        <f t="shared" si="51"/>
        <v>32.179359393405107</v>
      </c>
      <c r="AL97" s="483">
        <f t="shared" si="51"/>
        <v>32.223140834756684</v>
      </c>
      <c r="AM97" s="483">
        <f t="shared" si="51"/>
        <v>32.266922276108254</v>
      </c>
      <c r="AN97" s="483">
        <f t="shared" si="51"/>
        <v>32.310703717459816</v>
      </c>
      <c r="AO97" s="483">
        <f t="shared" si="51"/>
        <v>32.354485158811393</v>
      </c>
      <c r="AP97" s="483">
        <f t="shared" si="51"/>
        <v>32.39826660016297</v>
      </c>
      <c r="AQ97" s="483">
        <f t="shared" si="51"/>
        <v>32.442048041514546</v>
      </c>
      <c r="AR97" s="483">
        <f t="shared" si="51"/>
        <v>32.485829482866109</v>
      </c>
      <c r="AS97" s="483">
        <f t="shared" si="51"/>
        <v>32.529610924217685</v>
      </c>
      <c r="AT97" s="483">
        <f t="shared" si="51"/>
        <v>32.573392365569248</v>
      </c>
      <c r="AU97" s="483">
        <f t="shared" si="51"/>
        <v>32.617173806920832</v>
      </c>
      <c r="AV97" s="484">
        <v>5</v>
      </c>
      <c r="AW97" s="602">
        <v>0</v>
      </c>
      <c r="AX97" s="602">
        <v>0</v>
      </c>
      <c r="AY97" s="602">
        <v>0</v>
      </c>
      <c r="AZ97" s="602">
        <v>4</v>
      </c>
      <c r="BA97" s="602">
        <v>0</v>
      </c>
      <c r="BB97" s="602">
        <v>0</v>
      </c>
      <c r="BC97" s="602">
        <v>0</v>
      </c>
      <c r="BD97" s="602">
        <v>4</v>
      </c>
      <c r="BE97" s="602">
        <v>0</v>
      </c>
      <c r="BF97" s="602">
        <v>0</v>
      </c>
      <c r="BG97" s="602">
        <v>0</v>
      </c>
      <c r="BH97" s="602">
        <v>4</v>
      </c>
      <c r="BI97" s="602">
        <v>0</v>
      </c>
      <c r="BJ97" s="602">
        <v>0</v>
      </c>
      <c r="BK97" s="602">
        <v>0</v>
      </c>
      <c r="BL97" s="602">
        <v>4</v>
      </c>
      <c r="BM97" s="602">
        <v>0</v>
      </c>
      <c r="BN97" s="602">
        <v>0</v>
      </c>
      <c r="BO97" s="602">
        <v>0</v>
      </c>
      <c r="BP97" s="602">
        <v>4</v>
      </c>
    </row>
    <row r="98" spans="2:68" ht="15">
      <c r="B98" s="8" t="str">
        <f>Processes!D112</f>
        <v>EXPSNG2</v>
      </c>
      <c r="C98" s="8" t="str">
        <f>Processes!E112</f>
        <v>Export technology - Bio Synt. Nat. Gas G2</v>
      </c>
      <c r="D98" s="216" t="str">
        <f t="shared" si="41"/>
        <v>SNG2</v>
      </c>
      <c r="F98" s="1119" t="str">
        <f t="shared" ref="F98:F112" si="52">IFERROR(VLOOKUP(D98,$E$122:$F$174,2,FALSE),"MKr19")</f>
        <v>MKr19</v>
      </c>
      <c r="G98" s="483">
        <f>G$77</f>
        <v>42.18</v>
      </c>
      <c r="H98" s="483">
        <f t="shared" si="51"/>
        <v>43.795000000000002</v>
      </c>
      <c r="I98" s="483">
        <f t="shared" si="51"/>
        <v>52.344999999999999</v>
      </c>
      <c r="J98" s="483">
        <f t="shared" si="51"/>
        <v>51.49</v>
      </c>
      <c r="K98" s="483">
        <f t="shared" si="51"/>
        <v>43.414999999999999</v>
      </c>
      <c r="L98" s="483">
        <f t="shared" si="51"/>
        <v>41.8</v>
      </c>
      <c r="M98" s="483">
        <f t="shared" si="51"/>
        <v>34.959999999999994</v>
      </c>
      <c r="N98" s="483">
        <f t="shared" si="51"/>
        <v>35.055</v>
      </c>
      <c r="O98" s="483">
        <f t="shared" si="51"/>
        <v>50.751074212757736</v>
      </c>
      <c r="P98" s="483">
        <f t="shared" si="51"/>
        <v>32.54796067858944</v>
      </c>
      <c r="Q98" s="483">
        <f t="shared" si="51"/>
        <v>31.727957487158143</v>
      </c>
      <c r="R98" s="483">
        <f t="shared" si="51"/>
        <v>29.949025524166288</v>
      </c>
      <c r="S98" s="483">
        <f t="shared" si="51"/>
        <v>31.124421190464801</v>
      </c>
      <c r="T98" s="483">
        <f t="shared" si="51"/>
        <v>31.69930389723169</v>
      </c>
      <c r="U98" s="483">
        <f t="shared" si="51"/>
        <v>31.888767724343968</v>
      </c>
      <c r="V98" s="483">
        <f t="shared" si="51"/>
        <v>31.830779289767982</v>
      </c>
      <c r="W98" s="483">
        <f t="shared" si="51"/>
        <v>31.794257244088858</v>
      </c>
      <c r="X98" s="483">
        <f t="shared" si="51"/>
        <v>31.770799731920086</v>
      </c>
      <c r="Y98" s="483">
        <f t="shared" si="51"/>
        <v>31.750709610930787</v>
      </c>
      <c r="Z98" s="483">
        <f t="shared" si="51"/>
        <v>31.743509235621186</v>
      </c>
      <c r="AA98" s="483">
        <f t="shared" si="51"/>
        <v>31.741544979889387</v>
      </c>
      <c r="AB98" s="483">
        <f t="shared" si="51"/>
        <v>31.785326421240963</v>
      </c>
      <c r="AC98" s="483">
        <f t="shared" si="51"/>
        <v>31.829107862592537</v>
      </c>
      <c r="AD98" s="483">
        <f t="shared" si="51"/>
        <v>31.872889303944106</v>
      </c>
      <c r="AE98" s="483">
        <f t="shared" si="51"/>
        <v>31.916670745295676</v>
      </c>
      <c r="AF98" s="483">
        <f t="shared" si="51"/>
        <v>31.960452186647256</v>
      </c>
      <c r="AG98" s="483">
        <f t="shared" si="51"/>
        <v>32.004233627998829</v>
      </c>
      <c r="AH98" s="483">
        <f t="shared" si="51"/>
        <v>32.048015069350392</v>
      </c>
      <c r="AI98" s="483">
        <f t="shared" si="51"/>
        <v>32.091796510701968</v>
      </c>
      <c r="AJ98" s="483">
        <f t="shared" si="51"/>
        <v>32.135577952053531</v>
      </c>
      <c r="AK98" s="483">
        <f t="shared" si="51"/>
        <v>32.179359393405107</v>
      </c>
      <c r="AL98" s="483">
        <f t="shared" si="51"/>
        <v>32.223140834756684</v>
      </c>
      <c r="AM98" s="483">
        <f t="shared" si="51"/>
        <v>32.266922276108254</v>
      </c>
      <c r="AN98" s="483">
        <f t="shared" si="51"/>
        <v>32.310703717459816</v>
      </c>
      <c r="AO98" s="483">
        <f t="shared" si="51"/>
        <v>32.354485158811393</v>
      </c>
      <c r="AP98" s="483">
        <f t="shared" si="51"/>
        <v>32.39826660016297</v>
      </c>
      <c r="AQ98" s="483">
        <f t="shared" si="51"/>
        <v>32.442048041514546</v>
      </c>
      <c r="AR98" s="483">
        <f t="shared" si="51"/>
        <v>32.485829482866109</v>
      </c>
      <c r="AS98" s="483">
        <f t="shared" si="51"/>
        <v>32.529610924217685</v>
      </c>
      <c r="AT98" s="483">
        <f t="shared" si="51"/>
        <v>32.573392365569248</v>
      </c>
      <c r="AU98" s="483">
        <f t="shared" si="51"/>
        <v>32.617173806920832</v>
      </c>
      <c r="AV98" s="484">
        <v>5</v>
      </c>
      <c r="AW98" s="602">
        <v>0</v>
      </c>
      <c r="AX98" s="602">
        <v>0</v>
      </c>
      <c r="AY98" s="602">
        <v>0</v>
      </c>
      <c r="AZ98" s="602">
        <v>4</v>
      </c>
      <c r="BA98" s="602">
        <v>0</v>
      </c>
      <c r="BB98" s="602">
        <v>0</v>
      </c>
      <c r="BC98" s="602">
        <v>0</v>
      </c>
      <c r="BD98" s="602">
        <v>4</v>
      </c>
      <c r="BE98" s="602">
        <v>0</v>
      </c>
      <c r="BF98" s="602">
        <v>0</v>
      </c>
      <c r="BG98" s="602">
        <v>0</v>
      </c>
      <c r="BH98" s="602">
        <v>4</v>
      </c>
      <c r="BI98" s="602">
        <v>0</v>
      </c>
      <c r="BJ98" s="602">
        <v>0</v>
      </c>
      <c r="BK98" s="602">
        <v>0</v>
      </c>
      <c r="BL98" s="602">
        <v>4</v>
      </c>
      <c r="BM98" s="602">
        <v>0</v>
      </c>
      <c r="BN98" s="602">
        <v>0</v>
      </c>
      <c r="BO98" s="602">
        <v>0</v>
      </c>
      <c r="BP98" s="602">
        <v>4</v>
      </c>
    </row>
    <row r="99" spans="2:68" ht="15">
      <c r="B99" s="8" t="str">
        <f>Processes!D113</f>
        <v>EXPSNE</v>
      </c>
      <c r="C99" s="8" t="str">
        <f>Processes!E113</f>
        <v>Export technology - Electro Synt. Nat. Gas</v>
      </c>
      <c r="D99" s="216" t="str">
        <f t="shared" si="41"/>
        <v>SNE</v>
      </c>
      <c r="F99" s="1119" t="str">
        <f t="shared" si="52"/>
        <v>MKr19</v>
      </c>
      <c r="G99" s="483">
        <f>G$77</f>
        <v>42.18</v>
      </c>
      <c r="H99" s="483">
        <f t="shared" si="51"/>
        <v>43.795000000000002</v>
      </c>
      <c r="I99" s="483">
        <f t="shared" si="51"/>
        <v>52.344999999999999</v>
      </c>
      <c r="J99" s="483">
        <f t="shared" si="51"/>
        <v>51.49</v>
      </c>
      <c r="K99" s="483">
        <f t="shared" si="51"/>
        <v>43.414999999999999</v>
      </c>
      <c r="L99" s="483">
        <f t="shared" si="51"/>
        <v>41.8</v>
      </c>
      <c r="M99" s="483">
        <f t="shared" si="51"/>
        <v>34.959999999999994</v>
      </c>
      <c r="N99" s="483">
        <f t="shared" si="51"/>
        <v>35.055</v>
      </c>
      <c r="O99" s="483">
        <f t="shared" si="51"/>
        <v>50.751074212757736</v>
      </c>
      <c r="P99" s="483">
        <f t="shared" si="51"/>
        <v>32.54796067858944</v>
      </c>
      <c r="Q99" s="483">
        <f t="shared" si="51"/>
        <v>31.727957487158143</v>
      </c>
      <c r="R99" s="483">
        <f t="shared" si="51"/>
        <v>29.949025524166288</v>
      </c>
      <c r="S99" s="483">
        <f t="shared" si="51"/>
        <v>31.124421190464801</v>
      </c>
      <c r="T99" s="483">
        <f t="shared" si="51"/>
        <v>31.69930389723169</v>
      </c>
      <c r="U99" s="483">
        <f t="shared" si="51"/>
        <v>31.888767724343968</v>
      </c>
      <c r="V99" s="483">
        <f t="shared" si="51"/>
        <v>31.830779289767982</v>
      </c>
      <c r="W99" s="483">
        <f t="shared" si="51"/>
        <v>31.794257244088858</v>
      </c>
      <c r="X99" s="483">
        <f t="shared" si="51"/>
        <v>31.770799731920086</v>
      </c>
      <c r="Y99" s="483">
        <f t="shared" si="51"/>
        <v>31.750709610930787</v>
      </c>
      <c r="Z99" s="483">
        <f t="shared" si="51"/>
        <v>31.743509235621186</v>
      </c>
      <c r="AA99" s="483">
        <f t="shared" si="51"/>
        <v>31.741544979889387</v>
      </c>
      <c r="AB99" s="483">
        <f t="shared" si="51"/>
        <v>31.785326421240963</v>
      </c>
      <c r="AC99" s="483">
        <f t="shared" si="51"/>
        <v>31.829107862592537</v>
      </c>
      <c r="AD99" s="483">
        <f t="shared" si="51"/>
        <v>31.872889303944106</v>
      </c>
      <c r="AE99" s="483">
        <f t="shared" si="51"/>
        <v>31.916670745295676</v>
      </c>
      <c r="AF99" s="483">
        <f t="shared" si="51"/>
        <v>31.960452186647256</v>
      </c>
      <c r="AG99" s="483">
        <f t="shared" si="51"/>
        <v>32.004233627998829</v>
      </c>
      <c r="AH99" s="483">
        <f t="shared" si="51"/>
        <v>32.048015069350392</v>
      </c>
      <c r="AI99" s="483">
        <f t="shared" si="51"/>
        <v>32.091796510701968</v>
      </c>
      <c r="AJ99" s="483">
        <f t="shared" si="51"/>
        <v>32.135577952053531</v>
      </c>
      <c r="AK99" s="483">
        <f t="shared" si="51"/>
        <v>32.179359393405107</v>
      </c>
      <c r="AL99" s="483">
        <f t="shared" si="51"/>
        <v>32.223140834756684</v>
      </c>
      <c r="AM99" s="483">
        <f t="shared" si="51"/>
        <v>32.266922276108254</v>
      </c>
      <c r="AN99" s="483">
        <f t="shared" si="51"/>
        <v>32.310703717459816</v>
      </c>
      <c r="AO99" s="483">
        <f t="shared" si="51"/>
        <v>32.354485158811393</v>
      </c>
      <c r="AP99" s="483">
        <f t="shared" si="51"/>
        <v>32.39826660016297</v>
      </c>
      <c r="AQ99" s="483">
        <f t="shared" si="51"/>
        <v>32.442048041514546</v>
      </c>
      <c r="AR99" s="483">
        <f t="shared" si="51"/>
        <v>32.485829482866109</v>
      </c>
      <c r="AS99" s="483">
        <f t="shared" si="51"/>
        <v>32.529610924217685</v>
      </c>
      <c r="AT99" s="483">
        <f t="shared" si="51"/>
        <v>32.573392365569248</v>
      </c>
      <c r="AU99" s="483">
        <f t="shared" si="51"/>
        <v>32.617173806920832</v>
      </c>
      <c r="AV99" s="484">
        <v>5</v>
      </c>
      <c r="AW99" s="602">
        <v>0</v>
      </c>
      <c r="AX99" s="602">
        <v>0</v>
      </c>
      <c r="AY99" s="602">
        <v>0</v>
      </c>
      <c r="AZ99" s="602">
        <v>4</v>
      </c>
      <c r="BA99" s="602">
        <v>0</v>
      </c>
      <c r="BB99" s="602">
        <v>0</v>
      </c>
      <c r="BC99" s="602">
        <v>0</v>
      </c>
      <c r="BD99" s="602">
        <v>4</v>
      </c>
      <c r="BE99" s="602">
        <v>0</v>
      </c>
      <c r="BF99" s="602">
        <v>0</v>
      </c>
      <c r="BG99" s="602">
        <v>0</v>
      </c>
      <c r="BH99" s="602">
        <v>4</v>
      </c>
      <c r="BI99" s="602">
        <v>0</v>
      </c>
      <c r="BJ99" s="602">
        <v>0</v>
      </c>
      <c r="BK99" s="602">
        <v>0</v>
      </c>
      <c r="BL99" s="602">
        <v>4</v>
      </c>
      <c r="BM99" s="602">
        <v>0</v>
      </c>
      <c r="BN99" s="602">
        <v>0</v>
      </c>
      <c r="BO99" s="602">
        <v>0</v>
      </c>
      <c r="BP99" s="602">
        <v>4</v>
      </c>
    </row>
    <row r="100" spans="2:68" ht="15">
      <c r="B100" s="8" t="str">
        <f>Processes!D114</f>
        <v>EXPDSB1</v>
      </c>
      <c r="C100" s="8" t="str">
        <f>Processes!E114</f>
        <v>Export technology - Biodiesel G1</v>
      </c>
      <c r="D100" s="216" t="str">
        <f t="shared" si="41"/>
        <v>DSB1</v>
      </c>
      <c r="F100" s="1119" t="str">
        <f t="shared" si="52"/>
        <v>MKr19</v>
      </c>
      <c r="G100" s="483">
        <f>G$83</f>
        <v>100.13</v>
      </c>
      <c r="H100" s="483">
        <f t="shared" ref="H100:AU102" si="53">H$83</f>
        <v>111.53</v>
      </c>
      <c r="I100" s="483">
        <f t="shared" si="53"/>
        <v>127.48999999999998</v>
      </c>
      <c r="J100" s="483">
        <f t="shared" si="53"/>
        <v>117.03999999999999</v>
      </c>
      <c r="K100" s="483">
        <f t="shared" si="53"/>
        <v>107.82499999999999</v>
      </c>
      <c r="L100" s="483">
        <f t="shared" si="53"/>
        <v>73.149999999999991</v>
      </c>
      <c r="M100" s="483">
        <f t="shared" si="53"/>
        <v>70.3</v>
      </c>
      <c r="N100" s="483">
        <f t="shared" si="53"/>
        <v>74.290000000000006</v>
      </c>
      <c r="O100" s="483">
        <f t="shared" si="53"/>
        <v>96.426022004987345</v>
      </c>
      <c r="P100" s="483">
        <f t="shared" si="53"/>
        <v>90.807615434698747</v>
      </c>
      <c r="Q100" s="483">
        <f t="shared" si="53"/>
        <v>89.401673832219473</v>
      </c>
      <c r="R100" s="483">
        <f t="shared" si="53"/>
        <v>68.516792691424257</v>
      </c>
      <c r="S100" s="483">
        <f t="shared" si="53"/>
        <v>71.754866618593084</v>
      </c>
      <c r="T100" s="483">
        <f t="shared" si="53"/>
        <v>73.96179631899065</v>
      </c>
      <c r="U100" s="483">
        <f t="shared" si="53"/>
        <v>75.575095006707542</v>
      </c>
      <c r="V100" s="483">
        <f t="shared" si="53"/>
        <v>76.749748941909317</v>
      </c>
      <c r="W100" s="483">
        <f t="shared" si="53"/>
        <v>78.046939113302997</v>
      </c>
      <c r="X100" s="483">
        <f t="shared" si="53"/>
        <v>79.318170941805391</v>
      </c>
      <c r="Y100" s="483">
        <f t="shared" si="53"/>
        <v>80.48773617399354</v>
      </c>
      <c r="Z100" s="483">
        <f t="shared" si="53"/>
        <v>81.715850466579965</v>
      </c>
      <c r="AA100" s="483">
        <f t="shared" si="53"/>
        <v>82.877880872470527</v>
      </c>
      <c r="AB100" s="483">
        <f t="shared" si="53"/>
        <v>82.587044298377819</v>
      </c>
      <c r="AC100" s="483">
        <f t="shared" si="53"/>
        <v>82.295512149203404</v>
      </c>
      <c r="AD100" s="483">
        <f t="shared" si="53"/>
        <v>82.005183686862722</v>
      </c>
      <c r="AE100" s="483">
        <f t="shared" si="53"/>
        <v>81.714126007099949</v>
      </c>
      <c r="AF100" s="483">
        <f t="shared" si="53"/>
        <v>81.423160188978741</v>
      </c>
      <c r="AG100" s="483">
        <f t="shared" si="53"/>
        <v>81.131314786114757</v>
      </c>
      <c r="AH100" s="483">
        <f t="shared" si="53"/>
        <v>80.840497833412343</v>
      </c>
      <c r="AI100" s="483">
        <f t="shared" si="53"/>
        <v>80.548986928309944</v>
      </c>
      <c r="AJ100" s="483">
        <f t="shared" si="53"/>
        <v>80.258358418959332</v>
      </c>
      <c r="AK100" s="483">
        <f t="shared" si="53"/>
        <v>79.967443126641484</v>
      </c>
      <c r="AL100" s="483">
        <f t="shared" si="53"/>
        <v>79.676528313431973</v>
      </c>
      <c r="AM100" s="483">
        <f t="shared" si="53"/>
        <v>79.388615803438867</v>
      </c>
      <c r="AN100" s="483">
        <f t="shared" si="53"/>
        <v>79.10070874877735</v>
      </c>
      <c r="AO100" s="483">
        <f t="shared" si="53"/>
        <v>78.812807156422508</v>
      </c>
      <c r="AP100" s="483">
        <f t="shared" si="53"/>
        <v>78.524911033358194</v>
      </c>
      <c r="AQ100" s="483">
        <f t="shared" si="53"/>
        <v>78.237020386577257</v>
      </c>
      <c r="AR100" s="483">
        <f t="shared" si="53"/>
        <v>77.949135223081484</v>
      </c>
      <c r="AS100" s="483">
        <f t="shared" si="53"/>
        <v>77.661255549881631</v>
      </c>
      <c r="AT100" s="483">
        <f t="shared" si="53"/>
        <v>77.373381373997375</v>
      </c>
      <c r="AU100" s="483">
        <f t="shared" si="53"/>
        <v>77.085512702457393</v>
      </c>
      <c r="AV100" s="484">
        <v>5</v>
      </c>
      <c r="AW100" s="602">
        <v>0</v>
      </c>
      <c r="AX100" s="602">
        <v>0</v>
      </c>
      <c r="AY100" s="602">
        <v>0</v>
      </c>
      <c r="AZ100" s="602">
        <v>4</v>
      </c>
      <c r="BA100" s="602">
        <v>0</v>
      </c>
      <c r="BB100" s="602">
        <v>0</v>
      </c>
      <c r="BC100" s="602">
        <v>0</v>
      </c>
      <c r="BD100" s="602">
        <v>4</v>
      </c>
      <c r="BE100" s="602">
        <v>0</v>
      </c>
      <c r="BF100" s="602">
        <v>0</v>
      </c>
      <c r="BG100" s="602">
        <v>0</v>
      </c>
      <c r="BH100" s="602">
        <v>4</v>
      </c>
      <c r="BI100" s="602">
        <v>0</v>
      </c>
      <c r="BJ100" s="602">
        <v>0</v>
      </c>
      <c r="BK100" s="602">
        <v>0</v>
      </c>
      <c r="BL100" s="602">
        <v>4</v>
      </c>
      <c r="BM100" s="602">
        <v>0</v>
      </c>
      <c r="BN100" s="602">
        <v>0</v>
      </c>
      <c r="BO100" s="602">
        <v>0</v>
      </c>
      <c r="BP100" s="602">
        <v>4</v>
      </c>
    </row>
    <row r="101" spans="2:68" ht="15">
      <c r="B101" s="8" t="str">
        <f>Processes!D115</f>
        <v>EXPDSB2</v>
      </c>
      <c r="C101" s="8" t="str">
        <f>Processes!E115</f>
        <v>Export technology - Biodiesel G2</v>
      </c>
      <c r="D101" s="216" t="str">
        <f t="shared" si="41"/>
        <v>DSB2</v>
      </c>
      <c r="F101" s="1119" t="str">
        <f t="shared" si="52"/>
        <v>MKr19</v>
      </c>
      <c r="G101" s="483">
        <f>G$83</f>
        <v>100.13</v>
      </c>
      <c r="H101" s="483">
        <f t="shared" si="53"/>
        <v>111.53</v>
      </c>
      <c r="I101" s="483">
        <f t="shared" si="53"/>
        <v>127.48999999999998</v>
      </c>
      <c r="J101" s="483">
        <f t="shared" si="53"/>
        <v>117.03999999999999</v>
      </c>
      <c r="K101" s="483">
        <f t="shared" si="53"/>
        <v>107.82499999999999</v>
      </c>
      <c r="L101" s="483">
        <f t="shared" si="53"/>
        <v>73.149999999999991</v>
      </c>
      <c r="M101" s="483">
        <f t="shared" si="53"/>
        <v>70.3</v>
      </c>
      <c r="N101" s="483">
        <f t="shared" si="53"/>
        <v>74.290000000000006</v>
      </c>
      <c r="O101" s="483">
        <f t="shared" si="53"/>
        <v>96.426022004987345</v>
      </c>
      <c r="P101" s="483">
        <f t="shared" si="53"/>
        <v>90.807615434698747</v>
      </c>
      <c r="Q101" s="483">
        <f t="shared" si="53"/>
        <v>89.401673832219473</v>
      </c>
      <c r="R101" s="483">
        <f t="shared" si="53"/>
        <v>68.516792691424257</v>
      </c>
      <c r="S101" s="483">
        <f t="shared" si="53"/>
        <v>71.754866618593084</v>
      </c>
      <c r="T101" s="483">
        <f t="shared" si="53"/>
        <v>73.96179631899065</v>
      </c>
      <c r="U101" s="483">
        <f t="shared" si="53"/>
        <v>75.575095006707542</v>
      </c>
      <c r="V101" s="483">
        <f t="shared" si="53"/>
        <v>76.749748941909317</v>
      </c>
      <c r="W101" s="483">
        <f t="shared" si="53"/>
        <v>78.046939113302997</v>
      </c>
      <c r="X101" s="483">
        <f t="shared" si="53"/>
        <v>79.318170941805391</v>
      </c>
      <c r="Y101" s="483">
        <f t="shared" si="53"/>
        <v>80.48773617399354</v>
      </c>
      <c r="Z101" s="483">
        <f t="shared" si="53"/>
        <v>81.715850466579965</v>
      </c>
      <c r="AA101" s="483">
        <f t="shared" si="53"/>
        <v>82.877880872470527</v>
      </c>
      <c r="AB101" s="483">
        <f t="shared" si="53"/>
        <v>82.587044298377819</v>
      </c>
      <c r="AC101" s="483">
        <f t="shared" si="53"/>
        <v>82.295512149203404</v>
      </c>
      <c r="AD101" s="483">
        <f t="shared" si="53"/>
        <v>82.005183686862722</v>
      </c>
      <c r="AE101" s="483">
        <f t="shared" si="53"/>
        <v>81.714126007099949</v>
      </c>
      <c r="AF101" s="483">
        <f t="shared" si="53"/>
        <v>81.423160188978741</v>
      </c>
      <c r="AG101" s="483">
        <f t="shared" si="53"/>
        <v>81.131314786114757</v>
      </c>
      <c r="AH101" s="483">
        <f t="shared" si="53"/>
        <v>80.840497833412343</v>
      </c>
      <c r="AI101" s="483">
        <f t="shared" si="53"/>
        <v>80.548986928309944</v>
      </c>
      <c r="AJ101" s="483">
        <f t="shared" si="53"/>
        <v>80.258358418959332</v>
      </c>
      <c r="AK101" s="483">
        <f t="shared" si="53"/>
        <v>79.967443126641484</v>
      </c>
      <c r="AL101" s="483">
        <f t="shared" si="53"/>
        <v>79.676528313431973</v>
      </c>
      <c r="AM101" s="483">
        <f t="shared" si="53"/>
        <v>79.388615803438867</v>
      </c>
      <c r="AN101" s="483">
        <f t="shared" si="53"/>
        <v>79.10070874877735</v>
      </c>
      <c r="AO101" s="483">
        <f t="shared" si="53"/>
        <v>78.812807156422508</v>
      </c>
      <c r="AP101" s="483">
        <f t="shared" si="53"/>
        <v>78.524911033358194</v>
      </c>
      <c r="AQ101" s="483">
        <f t="shared" si="53"/>
        <v>78.237020386577257</v>
      </c>
      <c r="AR101" s="483">
        <f t="shared" si="53"/>
        <v>77.949135223081484</v>
      </c>
      <c r="AS101" s="483">
        <f t="shared" si="53"/>
        <v>77.661255549881631</v>
      </c>
      <c r="AT101" s="483">
        <f t="shared" si="53"/>
        <v>77.373381373997375</v>
      </c>
      <c r="AU101" s="483">
        <f t="shared" si="53"/>
        <v>77.085512702457393</v>
      </c>
      <c r="AV101" s="484">
        <v>5</v>
      </c>
      <c r="AW101" s="602">
        <v>0</v>
      </c>
      <c r="AX101" s="602">
        <v>0</v>
      </c>
      <c r="AY101" s="602">
        <v>0</v>
      </c>
      <c r="AZ101" s="602">
        <v>4</v>
      </c>
      <c r="BA101" s="602">
        <v>0</v>
      </c>
      <c r="BB101" s="602">
        <v>0</v>
      </c>
      <c r="BC101" s="602">
        <v>0</v>
      </c>
      <c r="BD101" s="602">
        <v>4</v>
      </c>
      <c r="BE101" s="602">
        <v>0</v>
      </c>
      <c r="BF101" s="602">
        <v>0</v>
      </c>
      <c r="BG101" s="602">
        <v>0</v>
      </c>
      <c r="BH101" s="602">
        <v>4</v>
      </c>
      <c r="BI101" s="602">
        <v>0</v>
      </c>
      <c r="BJ101" s="602">
        <v>0</v>
      </c>
      <c r="BK101" s="602">
        <v>0</v>
      </c>
      <c r="BL101" s="602">
        <v>4</v>
      </c>
      <c r="BM101" s="602">
        <v>0</v>
      </c>
      <c r="BN101" s="602">
        <v>0</v>
      </c>
      <c r="BO101" s="602">
        <v>0</v>
      </c>
      <c r="BP101" s="602">
        <v>4</v>
      </c>
    </row>
    <row r="102" spans="2:68" ht="15">
      <c r="B102" s="8" t="str">
        <f>Processes!D116</f>
        <v>EXPDSE</v>
      </c>
      <c r="C102" s="8" t="str">
        <f>Processes!E116</f>
        <v>Export technology - Electro Diesel</v>
      </c>
      <c r="D102" s="216" t="str">
        <f t="shared" si="41"/>
        <v>DSE</v>
      </c>
      <c r="F102" s="1119" t="str">
        <f t="shared" si="52"/>
        <v>MKr19</v>
      </c>
      <c r="G102" s="483">
        <f>G$83</f>
        <v>100.13</v>
      </c>
      <c r="H102" s="483">
        <f t="shared" si="53"/>
        <v>111.53</v>
      </c>
      <c r="I102" s="483">
        <f t="shared" si="53"/>
        <v>127.48999999999998</v>
      </c>
      <c r="J102" s="483">
        <f t="shared" si="53"/>
        <v>117.03999999999999</v>
      </c>
      <c r="K102" s="483">
        <f t="shared" si="53"/>
        <v>107.82499999999999</v>
      </c>
      <c r="L102" s="483">
        <f t="shared" si="53"/>
        <v>73.149999999999991</v>
      </c>
      <c r="M102" s="483">
        <f t="shared" si="53"/>
        <v>70.3</v>
      </c>
      <c r="N102" s="483">
        <f t="shared" si="53"/>
        <v>74.290000000000006</v>
      </c>
      <c r="O102" s="483">
        <f t="shared" si="53"/>
        <v>96.426022004987345</v>
      </c>
      <c r="P102" s="483">
        <f t="shared" si="53"/>
        <v>90.807615434698747</v>
      </c>
      <c r="Q102" s="483">
        <f t="shared" si="53"/>
        <v>89.401673832219473</v>
      </c>
      <c r="R102" s="483">
        <f t="shared" si="53"/>
        <v>68.516792691424257</v>
      </c>
      <c r="S102" s="483">
        <f t="shared" si="53"/>
        <v>71.754866618593084</v>
      </c>
      <c r="T102" s="483">
        <f t="shared" si="53"/>
        <v>73.96179631899065</v>
      </c>
      <c r="U102" s="483">
        <f t="shared" si="53"/>
        <v>75.575095006707542</v>
      </c>
      <c r="V102" s="483">
        <f t="shared" si="53"/>
        <v>76.749748941909317</v>
      </c>
      <c r="W102" s="483">
        <f t="shared" si="53"/>
        <v>78.046939113302997</v>
      </c>
      <c r="X102" s="483">
        <f t="shared" si="53"/>
        <v>79.318170941805391</v>
      </c>
      <c r="Y102" s="483">
        <f t="shared" si="53"/>
        <v>80.48773617399354</v>
      </c>
      <c r="Z102" s="483">
        <f t="shared" si="53"/>
        <v>81.715850466579965</v>
      </c>
      <c r="AA102" s="483">
        <f t="shared" si="53"/>
        <v>82.877880872470527</v>
      </c>
      <c r="AB102" s="483">
        <f t="shared" si="53"/>
        <v>82.587044298377819</v>
      </c>
      <c r="AC102" s="483">
        <f t="shared" si="53"/>
        <v>82.295512149203404</v>
      </c>
      <c r="AD102" s="483">
        <f t="shared" si="53"/>
        <v>82.005183686862722</v>
      </c>
      <c r="AE102" s="483">
        <f t="shared" si="53"/>
        <v>81.714126007099949</v>
      </c>
      <c r="AF102" s="483">
        <f t="shared" si="53"/>
        <v>81.423160188978741</v>
      </c>
      <c r="AG102" s="483">
        <f t="shared" si="53"/>
        <v>81.131314786114757</v>
      </c>
      <c r="AH102" s="483">
        <f t="shared" si="53"/>
        <v>80.840497833412343</v>
      </c>
      <c r="AI102" s="483">
        <f t="shared" si="53"/>
        <v>80.548986928309944</v>
      </c>
      <c r="AJ102" s="483">
        <f t="shared" si="53"/>
        <v>80.258358418959332</v>
      </c>
      <c r="AK102" s="483">
        <f t="shared" si="53"/>
        <v>79.967443126641484</v>
      </c>
      <c r="AL102" s="483">
        <f t="shared" si="53"/>
        <v>79.676528313431973</v>
      </c>
      <c r="AM102" s="483">
        <f t="shared" si="53"/>
        <v>79.388615803438867</v>
      </c>
      <c r="AN102" s="483">
        <f t="shared" si="53"/>
        <v>79.10070874877735</v>
      </c>
      <c r="AO102" s="483">
        <f t="shared" si="53"/>
        <v>78.812807156422508</v>
      </c>
      <c r="AP102" s="483">
        <f t="shared" si="53"/>
        <v>78.524911033358194</v>
      </c>
      <c r="AQ102" s="483">
        <f t="shared" si="53"/>
        <v>78.237020386577257</v>
      </c>
      <c r="AR102" s="483">
        <f t="shared" si="53"/>
        <v>77.949135223081484</v>
      </c>
      <c r="AS102" s="483">
        <f t="shared" si="53"/>
        <v>77.661255549881631</v>
      </c>
      <c r="AT102" s="483">
        <f t="shared" si="53"/>
        <v>77.373381373997375</v>
      </c>
      <c r="AU102" s="483">
        <f t="shared" si="53"/>
        <v>77.085512702457393</v>
      </c>
      <c r="AV102" s="484">
        <v>5</v>
      </c>
      <c r="AW102" s="602">
        <v>0</v>
      </c>
      <c r="AX102" s="602">
        <v>0</v>
      </c>
      <c r="AY102" s="602">
        <v>0</v>
      </c>
      <c r="AZ102" s="602">
        <v>4</v>
      </c>
      <c r="BA102" s="602">
        <v>0</v>
      </c>
      <c r="BB102" s="602">
        <v>0</v>
      </c>
      <c r="BC102" s="602">
        <v>0</v>
      </c>
      <c r="BD102" s="602">
        <v>4</v>
      </c>
      <c r="BE102" s="602">
        <v>0</v>
      </c>
      <c r="BF102" s="602">
        <v>0</v>
      </c>
      <c r="BG102" s="602">
        <v>0</v>
      </c>
      <c r="BH102" s="602">
        <v>4</v>
      </c>
      <c r="BI102" s="602">
        <v>0</v>
      </c>
      <c r="BJ102" s="602">
        <v>0</v>
      </c>
      <c r="BK102" s="602">
        <v>0</v>
      </c>
      <c r="BL102" s="602">
        <v>4</v>
      </c>
      <c r="BM102" s="602">
        <v>0</v>
      </c>
      <c r="BN102" s="602">
        <v>0</v>
      </c>
      <c r="BO102" s="602">
        <v>0</v>
      </c>
      <c r="BP102" s="602">
        <v>4</v>
      </c>
    </row>
    <row r="103" spans="2:68" ht="15">
      <c r="B103" s="8" t="str">
        <f>Processes!D117</f>
        <v>EXPGSB1</v>
      </c>
      <c r="C103" s="8" t="str">
        <f>Processes!E117</f>
        <v>Export technology - Bioethanol G1</v>
      </c>
      <c r="D103" s="216" t="str">
        <f t="shared" si="41"/>
        <v>GSB1</v>
      </c>
      <c r="F103" s="1119" t="str">
        <f t="shared" si="52"/>
        <v>MKr19</v>
      </c>
      <c r="G103" s="483">
        <f>G$81</f>
        <v>88.16</v>
      </c>
      <c r="H103" s="483">
        <f t="shared" ref="H103:AU105" si="54">H$81</f>
        <v>116.755</v>
      </c>
      <c r="I103" s="483">
        <f t="shared" si="54"/>
        <v>129.86499999999998</v>
      </c>
      <c r="J103" s="483">
        <f t="shared" si="54"/>
        <v>115.89999999999999</v>
      </c>
      <c r="K103" s="483">
        <f t="shared" si="54"/>
        <v>109.05999999999999</v>
      </c>
      <c r="L103" s="483">
        <f t="shared" si="54"/>
        <v>74.290000000000006</v>
      </c>
      <c r="M103" s="483">
        <f t="shared" si="54"/>
        <v>71.534999999999997</v>
      </c>
      <c r="N103" s="483">
        <f t="shared" si="54"/>
        <v>75.430000000000007</v>
      </c>
      <c r="O103" s="483">
        <f t="shared" si="54"/>
        <v>97.281022004987349</v>
      </c>
      <c r="P103" s="483">
        <f t="shared" si="54"/>
        <v>92.859615434698739</v>
      </c>
      <c r="Q103" s="483">
        <f t="shared" si="54"/>
        <v>91.453673832219465</v>
      </c>
      <c r="R103" s="483">
        <f t="shared" si="54"/>
        <v>70.56879269142425</v>
      </c>
      <c r="S103" s="483">
        <f t="shared" si="54"/>
        <v>73.806866618593077</v>
      </c>
      <c r="T103" s="483">
        <f t="shared" si="54"/>
        <v>76.013796318990643</v>
      </c>
      <c r="U103" s="483">
        <f t="shared" si="54"/>
        <v>77.627095006707535</v>
      </c>
      <c r="V103" s="483">
        <f t="shared" si="54"/>
        <v>78.80174894190931</v>
      </c>
      <c r="W103" s="483">
        <f t="shared" si="54"/>
        <v>80.09893911330299</v>
      </c>
      <c r="X103" s="483">
        <f t="shared" si="54"/>
        <v>81.370170941805384</v>
      </c>
      <c r="Y103" s="483">
        <f t="shared" si="54"/>
        <v>82.539736173993532</v>
      </c>
      <c r="Z103" s="483">
        <f t="shared" si="54"/>
        <v>83.767850466579958</v>
      </c>
      <c r="AA103" s="483">
        <f t="shared" si="54"/>
        <v>84.929880872470534</v>
      </c>
      <c r="AB103" s="483">
        <f t="shared" si="54"/>
        <v>84.639044298377826</v>
      </c>
      <c r="AC103" s="483">
        <f t="shared" si="54"/>
        <v>84.347512149203396</v>
      </c>
      <c r="AD103" s="483">
        <f t="shared" si="54"/>
        <v>84.057183686862714</v>
      </c>
      <c r="AE103" s="483">
        <f t="shared" si="54"/>
        <v>83.766126007099942</v>
      </c>
      <c r="AF103" s="483">
        <f t="shared" si="54"/>
        <v>83.475160188978734</v>
      </c>
      <c r="AG103" s="483">
        <f t="shared" si="54"/>
        <v>83.183314786114749</v>
      </c>
      <c r="AH103" s="483">
        <f t="shared" si="54"/>
        <v>82.892497833412349</v>
      </c>
      <c r="AI103" s="483">
        <f t="shared" si="54"/>
        <v>82.600986928309936</v>
      </c>
      <c r="AJ103" s="483">
        <f t="shared" si="54"/>
        <v>82.310358418959339</v>
      </c>
      <c r="AK103" s="483">
        <f t="shared" si="54"/>
        <v>82.019443126641477</v>
      </c>
      <c r="AL103" s="483">
        <f t="shared" si="54"/>
        <v>81.728528313431966</v>
      </c>
      <c r="AM103" s="483">
        <f t="shared" si="54"/>
        <v>81.44061580343886</v>
      </c>
      <c r="AN103" s="483">
        <f t="shared" si="54"/>
        <v>81.152708748777343</v>
      </c>
      <c r="AO103" s="483">
        <f t="shared" si="54"/>
        <v>80.864807156422501</v>
      </c>
      <c r="AP103" s="483">
        <f t="shared" si="54"/>
        <v>80.576911033358186</v>
      </c>
      <c r="AQ103" s="483">
        <f t="shared" si="54"/>
        <v>80.289020386577249</v>
      </c>
      <c r="AR103" s="483">
        <f t="shared" si="54"/>
        <v>80.001135223081477</v>
      </c>
      <c r="AS103" s="483">
        <f t="shared" si="54"/>
        <v>79.713255549881637</v>
      </c>
      <c r="AT103" s="483">
        <f t="shared" si="54"/>
        <v>79.425381373997368</v>
      </c>
      <c r="AU103" s="483">
        <f t="shared" si="54"/>
        <v>79.137512702457386</v>
      </c>
      <c r="AV103" s="484">
        <v>5</v>
      </c>
      <c r="AW103" s="602">
        <v>0</v>
      </c>
      <c r="AX103" s="602">
        <v>0</v>
      </c>
      <c r="AY103" s="602">
        <v>0</v>
      </c>
      <c r="AZ103" s="602">
        <v>4</v>
      </c>
      <c r="BA103" s="602">
        <v>0</v>
      </c>
      <c r="BB103" s="602">
        <v>0</v>
      </c>
      <c r="BC103" s="602">
        <v>0</v>
      </c>
      <c r="BD103" s="602">
        <v>4</v>
      </c>
      <c r="BE103" s="602">
        <v>0</v>
      </c>
      <c r="BF103" s="602">
        <v>0</v>
      </c>
      <c r="BG103" s="602">
        <v>0</v>
      </c>
      <c r="BH103" s="602">
        <v>4</v>
      </c>
      <c r="BI103" s="602">
        <v>0</v>
      </c>
      <c r="BJ103" s="602">
        <v>0</v>
      </c>
      <c r="BK103" s="602">
        <v>0</v>
      </c>
      <c r="BL103" s="602">
        <v>4</v>
      </c>
      <c r="BM103" s="602">
        <v>0</v>
      </c>
      <c r="BN103" s="602">
        <v>0</v>
      </c>
      <c r="BO103" s="602">
        <v>0</v>
      </c>
      <c r="BP103" s="602">
        <v>4</v>
      </c>
    </row>
    <row r="104" spans="2:68" ht="15">
      <c r="B104" s="8" t="str">
        <f>Processes!D118</f>
        <v>EXPGSB2</v>
      </c>
      <c r="C104" s="8" t="str">
        <f>Processes!E118</f>
        <v>Export technology - Bioethanol G2</v>
      </c>
      <c r="D104" s="216" t="str">
        <f t="shared" si="41"/>
        <v>GSB2</v>
      </c>
      <c r="F104" s="1119" t="str">
        <f t="shared" si="52"/>
        <v>MKr19</v>
      </c>
      <c r="G104" s="483">
        <f>G$81</f>
        <v>88.16</v>
      </c>
      <c r="H104" s="483">
        <f t="shared" si="54"/>
        <v>116.755</v>
      </c>
      <c r="I104" s="483">
        <f t="shared" si="54"/>
        <v>129.86499999999998</v>
      </c>
      <c r="J104" s="483">
        <f t="shared" si="54"/>
        <v>115.89999999999999</v>
      </c>
      <c r="K104" s="483">
        <f t="shared" si="54"/>
        <v>109.05999999999999</v>
      </c>
      <c r="L104" s="483">
        <f t="shared" si="54"/>
        <v>74.290000000000006</v>
      </c>
      <c r="M104" s="483">
        <f t="shared" si="54"/>
        <v>71.534999999999997</v>
      </c>
      <c r="N104" s="483">
        <f t="shared" si="54"/>
        <v>75.430000000000007</v>
      </c>
      <c r="O104" s="483">
        <f t="shared" si="54"/>
        <v>97.281022004987349</v>
      </c>
      <c r="P104" s="483">
        <f t="shared" si="54"/>
        <v>92.859615434698739</v>
      </c>
      <c r="Q104" s="483">
        <f t="shared" si="54"/>
        <v>91.453673832219465</v>
      </c>
      <c r="R104" s="483">
        <f t="shared" si="54"/>
        <v>70.56879269142425</v>
      </c>
      <c r="S104" s="483">
        <f t="shared" si="54"/>
        <v>73.806866618593077</v>
      </c>
      <c r="T104" s="483">
        <f t="shared" si="54"/>
        <v>76.013796318990643</v>
      </c>
      <c r="U104" s="483">
        <f t="shared" si="54"/>
        <v>77.627095006707535</v>
      </c>
      <c r="V104" s="483">
        <f t="shared" si="54"/>
        <v>78.80174894190931</v>
      </c>
      <c r="W104" s="483">
        <f t="shared" si="54"/>
        <v>80.09893911330299</v>
      </c>
      <c r="X104" s="483">
        <f t="shared" si="54"/>
        <v>81.370170941805384</v>
      </c>
      <c r="Y104" s="483">
        <f t="shared" si="54"/>
        <v>82.539736173993532</v>
      </c>
      <c r="Z104" s="483">
        <f t="shared" si="54"/>
        <v>83.767850466579958</v>
      </c>
      <c r="AA104" s="483">
        <f t="shared" si="54"/>
        <v>84.929880872470534</v>
      </c>
      <c r="AB104" s="483">
        <f t="shared" si="54"/>
        <v>84.639044298377826</v>
      </c>
      <c r="AC104" s="483">
        <f t="shared" si="54"/>
        <v>84.347512149203396</v>
      </c>
      <c r="AD104" s="483">
        <f t="shared" si="54"/>
        <v>84.057183686862714</v>
      </c>
      <c r="AE104" s="483">
        <f t="shared" si="54"/>
        <v>83.766126007099942</v>
      </c>
      <c r="AF104" s="483">
        <f t="shared" si="54"/>
        <v>83.475160188978734</v>
      </c>
      <c r="AG104" s="483">
        <f t="shared" si="54"/>
        <v>83.183314786114749</v>
      </c>
      <c r="AH104" s="483">
        <f t="shared" si="54"/>
        <v>82.892497833412349</v>
      </c>
      <c r="AI104" s="483">
        <f t="shared" si="54"/>
        <v>82.600986928309936</v>
      </c>
      <c r="AJ104" s="483">
        <f t="shared" si="54"/>
        <v>82.310358418959339</v>
      </c>
      <c r="AK104" s="483">
        <f t="shared" si="54"/>
        <v>82.019443126641477</v>
      </c>
      <c r="AL104" s="483">
        <f t="shared" si="54"/>
        <v>81.728528313431966</v>
      </c>
      <c r="AM104" s="483">
        <f t="shared" si="54"/>
        <v>81.44061580343886</v>
      </c>
      <c r="AN104" s="483">
        <f t="shared" si="54"/>
        <v>81.152708748777343</v>
      </c>
      <c r="AO104" s="483">
        <f t="shared" si="54"/>
        <v>80.864807156422501</v>
      </c>
      <c r="AP104" s="483">
        <f t="shared" si="54"/>
        <v>80.576911033358186</v>
      </c>
      <c r="AQ104" s="483">
        <f t="shared" si="54"/>
        <v>80.289020386577249</v>
      </c>
      <c r="AR104" s="483">
        <f t="shared" si="54"/>
        <v>80.001135223081477</v>
      </c>
      <c r="AS104" s="483">
        <f t="shared" si="54"/>
        <v>79.713255549881637</v>
      </c>
      <c r="AT104" s="483">
        <f t="shared" si="54"/>
        <v>79.425381373997368</v>
      </c>
      <c r="AU104" s="483">
        <f t="shared" si="54"/>
        <v>79.137512702457386</v>
      </c>
      <c r="AV104" s="484">
        <v>5</v>
      </c>
      <c r="AW104" s="602">
        <v>0</v>
      </c>
      <c r="AX104" s="602">
        <v>0</v>
      </c>
      <c r="AY104" s="602">
        <v>0</v>
      </c>
      <c r="AZ104" s="602">
        <v>4</v>
      </c>
      <c r="BA104" s="602">
        <v>0</v>
      </c>
      <c r="BB104" s="602">
        <v>0</v>
      </c>
      <c r="BC104" s="602">
        <v>0</v>
      </c>
      <c r="BD104" s="602">
        <v>4</v>
      </c>
      <c r="BE104" s="602">
        <v>0</v>
      </c>
      <c r="BF104" s="602">
        <v>0</v>
      </c>
      <c r="BG104" s="602">
        <v>0</v>
      </c>
      <c r="BH104" s="602">
        <v>4</v>
      </c>
      <c r="BI104" s="602">
        <v>0</v>
      </c>
      <c r="BJ104" s="602">
        <v>0</v>
      </c>
      <c r="BK104" s="602">
        <v>0</v>
      </c>
      <c r="BL104" s="602">
        <v>4</v>
      </c>
      <c r="BM104" s="602">
        <v>0</v>
      </c>
      <c r="BN104" s="602">
        <v>0</v>
      </c>
      <c r="BO104" s="602">
        <v>0</v>
      </c>
      <c r="BP104" s="602">
        <v>4</v>
      </c>
    </row>
    <row r="105" spans="2:68" ht="15">
      <c r="B105" s="8" t="str">
        <f>Processes!D119</f>
        <v>EXPGSE</v>
      </c>
      <c r="C105" s="8" t="str">
        <f>Processes!E119</f>
        <v>Export technology - Electro Gasoline</v>
      </c>
      <c r="D105" s="216" t="str">
        <f t="shared" si="41"/>
        <v>GSE</v>
      </c>
      <c r="F105" s="1119" t="str">
        <f t="shared" si="52"/>
        <v>MKr19</v>
      </c>
      <c r="G105" s="483">
        <f>G$81</f>
        <v>88.16</v>
      </c>
      <c r="H105" s="483">
        <f t="shared" si="54"/>
        <v>116.755</v>
      </c>
      <c r="I105" s="483">
        <f t="shared" si="54"/>
        <v>129.86499999999998</v>
      </c>
      <c r="J105" s="483">
        <f t="shared" si="54"/>
        <v>115.89999999999999</v>
      </c>
      <c r="K105" s="483">
        <f t="shared" si="54"/>
        <v>109.05999999999999</v>
      </c>
      <c r="L105" s="483">
        <f t="shared" si="54"/>
        <v>74.290000000000006</v>
      </c>
      <c r="M105" s="483">
        <f t="shared" si="54"/>
        <v>71.534999999999997</v>
      </c>
      <c r="N105" s="483">
        <f t="shared" si="54"/>
        <v>75.430000000000007</v>
      </c>
      <c r="O105" s="483">
        <f t="shared" si="54"/>
        <v>97.281022004987349</v>
      </c>
      <c r="P105" s="483">
        <f t="shared" si="54"/>
        <v>92.859615434698739</v>
      </c>
      <c r="Q105" s="483">
        <f t="shared" si="54"/>
        <v>91.453673832219465</v>
      </c>
      <c r="R105" s="483">
        <f t="shared" si="54"/>
        <v>70.56879269142425</v>
      </c>
      <c r="S105" s="483">
        <f t="shared" si="54"/>
        <v>73.806866618593077</v>
      </c>
      <c r="T105" s="483">
        <f t="shared" si="54"/>
        <v>76.013796318990643</v>
      </c>
      <c r="U105" s="483">
        <f t="shared" si="54"/>
        <v>77.627095006707535</v>
      </c>
      <c r="V105" s="483">
        <f t="shared" si="54"/>
        <v>78.80174894190931</v>
      </c>
      <c r="W105" s="483">
        <f t="shared" si="54"/>
        <v>80.09893911330299</v>
      </c>
      <c r="X105" s="483">
        <f t="shared" si="54"/>
        <v>81.370170941805384</v>
      </c>
      <c r="Y105" s="483">
        <f t="shared" si="54"/>
        <v>82.539736173993532</v>
      </c>
      <c r="Z105" s="483">
        <f t="shared" si="54"/>
        <v>83.767850466579958</v>
      </c>
      <c r="AA105" s="483">
        <f t="shared" si="54"/>
        <v>84.929880872470534</v>
      </c>
      <c r="AB105" s="483">
        <f t="shared" si="54"/>
        <v>84.639044298377826</v>
      </c>
      <c r="AC105" s="483">
        <f t="shared" si="54"/>
        <v>84.347512149203396</v>
      </c>
      <c r="AD105" s="483">
        <f t="shared" si="54"/>
        <v>84.057183686862714</v>
      </c>
      <c r="AE105" s="483">
        <f t="shared" si="54"/>
        <v>83.766126007099942</v>
      </c>
      <c r="AF105" s="483">
        <f t="shared" si="54"/>
        <v>83.475160188978734</v>
      </c>
      <c r="AG105" s="483">
        <f t="shared" si="54"/>
        <v>83.183314786114749</v>
      </c>
      <c r="AH105" s="483">
        <f t="shared" si="54"/>
        <v>82.892497833412349</v>
      </c>
      <c r="AI105" s="483">
        <f t="shared" si="54"/>
        <v>82.600986928309936</v>
      </c>
      <c r="AJ105" s="483">
        <f t="shared" si="54"/>
        <v>82.310358418959339</v>
      </c>
      <c r="AK105" s="483">
        <f t="shared" si="54"/>
        <v>82.019443126641477</v>
      </c>
      <c r="AL105" s="483">
        <f t="shared" si="54"/>
        <v>81.728528313431966</v>
      </c>
      <c r="AM105" s="483">
        <f t="shared" si="54"/>
        <v>81.44061580343886</v>
      </c>
      <c r="AN105" s="483">
        <f t="shared" si="54"/>
        <v>81.152708748777343</v>
      </c>
      <c r="AO105" s="483">
        <f t="shared" si="54"/>
        <v>80.864807156422501</v>
      </c>
      <c r="AP105" s="483">
        <f t="shared" si="54"/>
        <v>80.576911033358186</v>
      </c>
      <c r="AQ105" s="483">
        <f t="shared" si="54"/>
        <v>80.289020386577249</v>
      </c>
      <c r="AR105" s="483">
        <f t="shared" si="54"/>
        <v>80.001135223081477</v>
      </c>
      <c r="AS105" s="483">
        <f t="shared" si="54"/>
        <v>79.713255549881637</v>
      </c>
      <c r="AT105" s="483">
        <f t="shared" si="54"/>
        <v>79.425381373997368</v>
      </c>
      <c r="AU105" s="483">
        <f t="shared" si="54"/>
        <v>79.137512702457386</v>
      </c>
      <c r="AV105" s="484">
        <v>5</v>
      </c>
      <c r="AW105" s="602">
        <v>0</v>
      </c>
      <c r="AX105" s="602">
        <v>0</v>
      </c>
      <c r="AY105" s="602">
        <v>0</v>
      </c>
      <c r="AZ105" s="602">
        <v>4</v>
      </c>
      <c r="BA105" s="602">
        <v>0</v>
      </c>
      <c r="BB105" s="602">
        <v>0</v>
      </c>
      <c r="BC105" s="602">
        <v>0</v>
      </c>
      <c r="BD105" s="602">
        <v>4</v>
      </c>
      <c r="BE105" s="602">
        <v>0</v>
      </c>
      <c r="BF105" s="602">
        <v>0</v>
      </c>
      <c r="BG105" s="602">
        <v>0</v>
      </c>
      <c r="BH105" s="602">
        <v>4</v>
      </c>
      <c r="BI105" s="602">
        <v>0</v>
      </c>
      <c r="BJ105" s="602">
        <v>0</v>
      </c>
      <c r="BK105" s="602">
        <v>0</v>
      </c>
      <c r="BL105" s="602">
        <v>4</v>
      </c>
      <c r="BM105" s="602">
        <v>0</v>
      </c>
      <c r="BN105" s="602">
        <v>0</v>
      </c>
      <c r="BO105" s="602">
        <v>0</v>
      </c>
      <c r="BP105" s="602">
        <v>4</v>
      </c>
    </row>
    <row r="106" spans="2:68" ht="15">
      <c r="B106" s="8" t="str">
        <f>Processes!D120</f>
        <v>EXPMOB1</v>
      </c>
      <c r="C106" s="8" t="str">
        <f>Processes!E120</f>
        <v>Export technology - Bio Methanol G1</v>
      </c>
      <c r="D106" s="216" t="str">
        <f t="shared" si="41"/>
        <v>MOB1</v>
      </c>
      <c r="F106" s="1119" t="str">
        <f t="shared" si="52"/>
        <v>MKr14</v>
      </c>
      <c r="G106" s="483">
        <f>G103</f>
        <v>88.16</v>
      </c>
      <c r="H106" s="483">
        <f t="shared" ref="H106:AU106" si="55">H103</f>
        <v>116.755</v>
      </c>
      <c r="I106" s="483">
        <f t="shared" si="55"/>
        <v>129.86499999999998</v>
      </c>
      <c r="J106" s="483">
        <f t="shared" si="55"/>
        <v>115.89999999999999</v>
      </c>
      <c r="K106" s="483">
        <f t="shared" si="55"/>
        <v>109.05999999999999</v>
      </c>
      <c r="L106" s="483">
        <f t="shared" si="55"/>
        <v>74.290000000000006</v>
      </c>
      <c r="M106" s="483">
        <f t="shared" si="55"/>
        <v>71.534999999999997</v>
      </c>
      <c r="N106" s="483">
        <f t="shared" si="55"/>
        <v>75.430000000000007</v>
      </c>
      <c r="O106" s="483">
        <f t="shared" si="55"/>
        <v>97.281022004987349</v>
      </c>
      <c r="P106" s="483">
        <f t="shared" si="55"/>
        <v>92.859615434698739</v>
      </c>
      <c r="Q106" s="483">
        <f t="shared" si="55"/>
        <v>91.453673832219465</v>
      </c>
      <c r="R106" s="483">
        <f t="shared" si="55"/>
        <v>70.56879269142425</v>
      </c>
      <c r="S106" s="483">
        <f t="shared" si="55"/>
        <v>73.806866618593077</v>
      </c>
      <c r="T106" s="483">
        <f t="shared" si="55"/>
        <v>76.013796318990643</v>
      </c>
      <c r="U106" s="483">
        <f t="shared" si="55"/>
        <v>77.627095006707535</v>
      </c>
      <c r="V106" s="483">
        <f t="shared" si="55"/>
        <v>78.80174894190931</v>
      </c>
      <c r="W106" s="483">
        <f t="shared" si="55"/>
        <v>80.09893911330299</v>
      </c>
      <c r="X106" s="483">
        <f t="shared" si="55"/>
        <v>81.370170941805384</v>
      </c>
      <c r="Y106" s="483">
        <f t="shared" si="55"/>
        <v>82.539736173993532</v>
      </c>
      <c r="Z106" s="483">
        <f t="shared" si="55"/>
        <v>83.767850466579958</v>
      </c>
      <c r="AA106" s="483">
        <f t="shared" si="55"/>
        <v>84.929880872470534</v>
      </c>
      <c r="AB106" s="483">
        <f t="shared" si="55"/>
        <v>84.639044298377826</v>
      </c>
      <c r="AC106" s="483">
        <f t="shared" si="55"/>
        <v>84.347512149203396</v>
      </c>
      <c r="AD106" s="483">
        <f t="shared" si="55"/>
        <v>84.057183686862714</v>
      </c>
      <c r="AE106" s="483">
        <f t="shared" si="55"/>
        <v>83.766126007099942</v>
      </c>
      <c r="AF106" s="483">
        <f t="shared" si="55"/>
        <v>83.475160188978734</v>
      </c>
      <c r="AG106" s="483">
        <f t="shared" si="55"/>
        <v>83.183314786114749</v>
      </c>
      <c r="AH106" s="483">
        <f t="shared" si="55"/>
        <v>82.892497833412349</v>
      </c>
      <c r="AI106" s="483">
        <f t="shared" si="55"/>
        <v>82.600986928309936</v>
      </c>
      <c r="AJ106" s="483">
        <f t="shared" si="55"/>
        <v>82.310358418959339</v>
      </c>
      <c r="AK106" s="483">
        <f t="shared" si="55"/>
        <v>82.019443126641477</v>
      </c>
      <c r="AL106" s="483">
        <f t="shared" si="55"/>
        <v>81.728528313431966</v>
      </c>
      <c r="AM106" s="483">
        <f t="shared" si="55"/>
        <v>81.44061580343886</v>
      </c>
      <c r="AN106" s="483">
        <f t="shared" si="55"/>
        <v>81.152708748777343</v>
      </c>
      <c r="AO106" s="483">
        <f t="shared" si="55"/>
        <v>80.864807156422501</v>
      </c>
      <c r="AP106" s="483">
        <f t="shared" si="55"/>
        <v>80.576911033358186</v>
      </c>
      <c r="AQ106" s="483">
        <f t="shared" si="55"/>
        <v>80.289020386577249</v>
      </c>
      <c r="AR106" s="483">
        <f t="shared" si="55"/>
        <v>80.001135223081477</v>
      </c>
      <c r="AS106" s="483">
        <f t="shared" si="55"/>
        <v>79.713255549881637</v>
      </c>
      <c r="AT106" s="483">
        <f t="shared" si="55"/>
        <v>79.425381373997368</v>
      </c>
      <c r="AU106" s="483">
        <f t="shared" si="55"/>
        <v>79.137512702457386</v>
      </c>
      <c r="AV106" s="484">
        <v>5</v>
      </c>
      <c r="AW106" s="602">
        <v>0</v>
      </c>
      <c r="AX106" s="602">
        <v>0</v>
      </c>
      <c r="AY106" s="602">
        <v>0</v>
      </c>
      <c r="AZ106" s="602">
        <v>4</v>
      </c>
      <c r="BA106" s="602">
        <v>0</v>
      </c>
      <c r="BB106" s="602">
        <v>0</v>
      </c>
      <c r="BC106" s="602">
        <v>0</v>
      </c>
      <c r="BD106" s="602">
        <v>4</v>
      </c>
      <c r="BE106" s="602">
        <v>0</v>
      </c>
      <c r="BF106" s="602">
        <v>0</v>
      </c>
      <c r="BG106" s="602">
        <v>0</v>
      </c>
      <c r="BH106" s="602">
        <v>4</v>
      </c>
      <c r="BI106" s="602">
        <v>0</v>
      </c>
      <c r="BJ106" s="602">
        <v>0</v>
      </c>
      <c r="BK106" s="602">
        <v>0</v>
      </c>
      <c r="BL106" s="602">
        <v>4</v>
      </c>
      <c r="BM106" s="602">
        <v>0</v>
      </c>
      <c r="BN106" s="602">
        <v>0</v>
      </c>
      <c r="BO106" s="602">
        <v>0</v>
      </c>
      <c r="BP106" s="602">
        <v>4</v>
      </c>
    </row>
    <row r="107" spans="2:68" ht="15">
      <c r="B107" s="8" t="str">
        <f>Processes!D121</f>
        <v>EXPMOB2</v>
      </c>
      <c r="C107" s="8" t="str">
        <f>Processes!E121</f>
        <v>Export technology - Bio Methanol G2</v>
      </c>
      <c r="D107" s="216" t="str">
        <f t="shared" si="41"/>
        <v>MOB2</v>
      </c>
      <c r="F107" s="1119" t="str">
        <f t="shared" si="52"/>
        <v>MKr14</v>
      </c>
      <c r="G107" s="483">
        <f>G104</f>
        <v>88.16</v>
      </c>
      <c r="H107" s="483">
        <f t="shared" ref="H107:AU107" si="56">H104</f>
        <v>116.755</v>
      </c>
      <c r="I107" s="483">
        <f t="shared" si="56"/>
        <v>129.86499999999998</v>
      </c>
      <c r="J107" s="483">
        <f t="shared" si="56"/>
        <v>115.89999999999999</v>
      </c>
      <c r="K107" s="483">
        <f t="shared" si="56"/>
        <v>109.05999999999999</v>
      </c>
      <c r="L107" s="483">
        <f t="shared" si="56"/>
        <v>74.290000000000006</v>
      </c>
      <c r="M107" s="483">
        <f t="shared" si="56"/>
        <v>71.534999999999997</v>
      </c>
      <c r="N107" s="483">
        <f t="shared" si="56"/>
        <v>75.430000000000007</v>
      </c>
      <c r="O107" s="483">
        <f t="shared" si="56"/>
        <v>97.281022004987349</v>
      </c>
      <c r="P107" s="483">
        <f t="shared" si="56"/>
        <v>92.859615434698739</v>
      </c>
      <c r="Q107" s="483">
        <f t="shared" si="56"/>
        <v>91.453673832219465</v>
      </c>
      <c r="R107" s="483">
        <f t="shared" si="56"/>
        <v>70.56879269142425</v>
      </c>
      <c r="S107" s="483">
        <f t="shared" si="56"/>
        <v>73.806866618593077</v>
      </c>
      <c r="T107" s="483">
        <f t="shared" si="56"/>
        <v>76.013796318990643</v>
      </c>
      <c r="U107" s="483">
        <f t="shared" si="56"/>
        <v>77.627095006707535</v>
      </c>
      <c r="V107" s="483">
        <f t="shared" si="56"/>
        <v>78.80174894190931</v>
      </c>
      <c r="W107" s="483">
        <f t="shared" si="56"/>
        <v>80.09893911330299</v>
      </c>
      <c r="X107" s="483">
        <f t="shared" si="56"/>
        <v>81.370170941805384</v>
      </c>
      <c r="Y107" s="483">
        <f t="shared" si="56"/>
        <v>82.539736173993532</v>
      </c>
      <c r="Z107" s="483">
        <f t="shared" si="56"/>
        <v>83.767850466579958</v>
      </c>
      <c r="AA107" s="483">
        <f t="shared" si="56"/>
        <v>84.929880872470534</v>
      </c>
      <c r="AB107" s="483">
        <f t="shared" si="56"/>
        <v>84.639044298377826</v>
      </c>
      <c r="AC107" s="483">
        <f t="shared" si="56"/>
        <v>84.347512149203396</v>
      </c>
      <c r="AD107" s="483">
        <f t="shared" si="56"/>
        <v>84.057183686862714</v>
      </c>
      <c r="AE107" s="483">
        <f t="shared" si="56"/>
        <v>83.766126007099942</v>
      </c>
      <c r="AF107" s="483">
        <f t="shared" si="56"/>
        <v>83.475160188978734</v>
      </c>
      <c r="AG107" s="483">
        <f t="shared" si="56"/>
        <v>83.183314786114749</v>
      </c>
      <c r="AH107" s="483">
        <f t="shared" si="56"/>
        <v>82.892497833412349</v>
      </c>
      <c r="AI107" s="483">
        <f t="shared" si="56"/>
        <v>82.600986928309936</v>
      </c>
      <c r="AJ107" s="483">
        <f t="shared" si="56"/>
        <v>82.310358418959339</v>
      </c>
      <c r="AK107" s="483">
        <f t="shared" si="56"/>
        <v>82.019443126641477</v>
      </c>
      <c r="AL107" s="483">
        <f t="shared" si="56"/>
        <v>81.728528313431966</v>
      </c>
      <c r="AM107" s="483">
        <f t="shared" si="56"/>
        <v>81.44061580343886</v>
      </c>
      <c r="AN107" s="483">
        <f t="shared" si="56"/>
        <v>81.152708748777343</v>
      </c>
      <c r="AO107" s="483">
        <f t="shared" si="56"/>
        <v>80.864807156422501</v>
      </c>
      <c r="AP107" s="483">
        <f t="shared" si="56"/>
        <v>80.576911033358186</v>
      </c>
      <c r="AQ107" s="483">
        <f t="shared" si="56"/>
        <v>80.289020386577249</v>
      </c>
      <c r="AR107" s="483">
        <f t="shared" si="56"/>
        <v>80.001135223081477</v>
      </c>
      <c r="AS107" s="483">
        <f t="shared" si="56"/>
        <v>79.713255549881637</v>
      </c>
      <c r="AT107" s="483">
        <f t="shared" si="56"/>
        <v>79.425381373997368</v>
      </c>
      <c r="AU107" s="483">
        <f t="shared" si="56"/>
        <v>79.137512702457386</v>
      </c>
      <c r="AV107" s="484">
        <v>5</v>
      </c>
      <c r="AW107" s="602">
        <v>0</v>
      </c>
      <c r="AX107" s="602">
        <v>0</v>
      </c>
      <c r="AY107" s="602">
        <v>0</v>
      </c>
      <c r="AZ107" s="602">
        <v>4</v>
      </c>
      <c r="BA107" s="602">
        <v>0</v>
      </c>
      <c r="BB107" s="602">
        <v>0</v>
      </c>
      <c r="BC107" s="602">
        <v>0</v>
      </c>
      <c r="BD107" s="602">
        <v>4</v>
      </c>
      <c r="BE107" s="602">
        <v>0</v>
      </c>
      <c r="BF107" s="602">
        <v>0</v>
      </c>
      <c r="BG107" s="602">
        <v>0</v>
      </c>
      <c r="BH107" s="602">
        <v>4</v>
      </c>
      <c r="BI107" s="602">
        <v>0</v>
      </c>
      <c r="BJ107" s="602">
        <v>0</v>
      </c>
      <c r="BK107" s="602">
        <v>0</v>
      </c>
      <c r="BL107" s="602">
        <v>4</v>
      </c>
      <c r="BM107" s="602">
        <v>0</v>
      </c>
      <c r="BN107" s="602">
        <v>0</v>
      </c>
      <c r="BO107" s="602">
        <v>0</v>
      </c>
      <c r="BP107" s="602">
        <v>4</v>
      </c>
    </row>
    <row r="108" spans="2:68" ht="15">
      <c r="B108" s="8" t="str">
        <f>Processes!D122</f>
        <v>EXPMOE</v>
      </c>
      <c r="C108" s="8" t="str">
        <f>Processes!E122</f>
        <v>Export technology - Electro Methanol</v>
      </c>
      <c r="D108" s="216" t="str">
        <f t="shared" si="41"/>
        <v>MOE</v>
      </c>
      <c r="F108" s="1119" t="str">
        <f t="shared" si="52"/>
        <v>MKr14</v>
      </c>
      <c r="G108" s="483">
        <f>G105</f>
        <v>88.16</v>
      </c>
      <c r="H108" s="483">
        <f t="shared" ref="H108:AU108" si="57">H105</f>
        <v>116.755</v>
      </c>
      <c r="I108" s="483">
        <f t="shared" si="57"/>
        <v>129.86499999999998</v>
      </c>
      <c r="J108" s="483">
        <f t="shared" si="57"/>
        <v>115.89999999999999</v>
      </c>
      <c r="K108" s="483">
        <f t="shared" si="57"/>
        <v>109.05999999999999</v>
      </c>
      <c r="L108" s="483">
        <f t="shared" si="57"/>
        <v>74.290000000000006</v>
      </c>
      <c r="M108" s="483">
        <f t="shared" si="57"/>
        <v>71.534999999999997</v>
      </c>
      <c r="N108" s="483">
        <f t="shared" si="57"/>
        <v>75.430000000000007</v>
      </c>
      <c r="O108" s="483">
        <f t="shared" si="57"/>
        <v>97.281022004987349</v>
      </c>
      <c r="P108" s="483">
        <f t="shared" si="57"/>
        <v>92.859615434698739</v>
      </c>
      <c r="Q108" s="483">
        <f t="shared" si="57"/>
        <v>91.453673832219465</v>
      </c>
      <c r="R108" s="483">
        <f t="shared" si="57"/>
        <v>70.56879269142425</v>
      </c>
      <c r="S108" s="483">
        <f t="shared" si="57"/>
        <v>73.806866618593077</v>
      </c>
      <c r="T108" s="483">
        <f t="shared" si="57"/>
        <v>76.013796318990643</v>
      </c>
      <c r="U108" s="483">
        <f t="shared" si="57"/>
        <v>77.627095006707535</v>
      </c>
      <c r="V108" s="483">
        <f t="shared" si="57"/>
        <v>78.80174894190931</v>
      </c>
      <c r="W108" s="483">
        <f t="shared" si="57"/>
        <v>80.09893911330299</v>
      </c>
      <c r="X108" s="483">
        <f t="shared" si="57"/>
        <v>81.370170941805384</v>
      </c>
      <c r="Y108" s="483">
        <f t="shared" si="57"/>
        <v>82.539736173993532</v>
      </c>
      <c r="Z108" s="483">
        <f t="shared" si="57"/>
        <v>83.767850466579958</v>
      </c>
      <c r="AA108" s="483">
        <f t="shared" si="57"/>
        <v>84.929880872470534</v>
      </c>
      <c r="AB108" s="483">
        <f t="shared" si="57"/>
        <v>84.639044298377826</v>
      </c>
      <c r="AC108" s="483">
        <f t="shared" si="57"/>
        <v>84.347512149203396</v>
      </c>
      <c r="AD108" s="483">
        <f t="shared" si="57"/>
        <v>84.057183686862714</v>
      </c>
      <c r="AE108" s="483">
        <f t="shared" si="57"/>
        <v>83.766126007099942</v>
      </c>
      <c r="AF108" s="483">
        <f t="shared" si="57"/>
        <v>83.475160188978734</v>
      </c>
      <c r="AG108" s="483">
        <f t="shared" si="57"/>
        <v>83.183314786114749</v>
      </c>
      <c r="AH108" s="483">
        <f t="shared" si="57"/>
        <v>82.892497833412349</v>
      </c>
      <c r="AI108" s="483">
        <f t="shared" si="57"/>
        <v>82.600986928309936</v>
      </c>
      <c r="AJ108" s="483">
        <f t="shared" si="57"/>
        <v>82.310358418959339</v>
      </c>
      <c r="AK108" s="483">
        <f t="shared" si="57"/>
        <v>82.019443126641477</v>
      </c>
      <c r="AL108" s="483">
        <f t="shared" si="57"/>
        <v>81.728528313431966</v>
      </c>
      <c r="AM108" s="483">
        <f t="shared" si="57"/>
        <v>81.44061580343886</v>
      </c>
      <c r="AN108" s="483">
        <f t="shared" si="57"/>
        <v>81.152708748777343</v>
      </c>
      <c r="AO108" s="483">
        <f t="shared" si="57"/>
        <v>80.864807156422501</v>
      </c>
      <c r="AP108" s="483">
        <f t="shared" si="57"/>
        <v>80.576911033358186</v>
      </c>
      <c r="AQ108" s="483">
        <f t="shared" si="57"/>
        <v>80.289020386577249</v>
      </c>
      <c r="AR108" s="483">
        <f t="shared" si="57"/>
        <v>80.001135223081477</v>
      </c>
      <c r="AS108" s="483">
        <f t="shared" si="57"/>
        <v>79.713255549881637</v>
      </c>
      <c r="AT108" s="483">
        <f t="shared" si="57"/>
        <v>79.425381373997368</v>
      </c>
      <c r="AU108" s="483">
        <f t="shared" si="57"/>
        <v>79.137512702457386</v>
      </c>
      <c r="AV108" s="484">
        <v>5</v>
      </c>
      <c r="AW108" s="602">
        <v>0</v>
      </c>
      <c r="AX108" s="602">
        <v>0</v>
      </c>
      <c r="AY108" s="602">
        <v>0</v>
      </c>
      <c r="AZ108" s="602">
        <v>4</v>
      </c>
      <c r="BA108" s="602">
        <v>0</v>
      </c>
      <c r="BB108" s="602">
        <v>0</v>
      </c>
      <c r="BC108" s="602">
        <v>0</v>
      </c>
      <c r="BD108" s="602">
        <v>4</v>
      </c>
      <c r="BE108" s="602">
        <v>0</v>
      </c>
      <c r="BF108" s="602">
        <v>0</v>
      </c>
      <c r="BG108" s="602">
        <v>0</v>
      </c>
      <c r="BH108" s="602">
        <v>4</v>
      </c>
      <c r="BI108" s="602">
        <v>0</v>
      </c>
      <c r="BJ108" s="602">
        <v>0</v>
      </c>
      <c r="BK108" s="602">
        <v>0</v>
      </c>
      <c r="BL108" s="602">
        <v>4</v>
      </c>
      <c r="BM108" s="602">
        <v>0</v>
      </c>
      <c r="BN108" s="602">
        <v>0</v>
      </c>
      <c r="BO108" s="602">
        <v>0</v>
      </c>
      <c r="BP108" s="602">
        <v>4</v>
      </c>
    </row>
    <row r="109" spans="2:68" ht="15">
      <c r="B109" s="8" t="str">
        <f>Processes!D123</f>
        <v>EXPLNB</v>
      </c>
      <c r="C109" s="8" t="str">
        <f>Processes!E123</f>
        <v>Export technology - Bio Naphtha (Petroleoum)</v>
      </c>
      <c r="D109" s="216" t="str">
        <f>IF(LEN(B109)=6,RIGHT(B109,3),RIGHT(B109,4))</f>
        <v>LNB</v>
      </c>
      <c r="F109" s="1119" t="str">
        <f t="shared" si="52"/>
        <v>MKr19</v>
      </c>
      <c r="G109" s="483">
        <f>G$79</f>
        <v>84.36</v>
      </c>
      <c r="H109" s="483">
        <f t="shared" ref="H109:AU109" si="58">H$79</f>
        <v>87.59</v>
      </c>
      <c r="I109" s="483">
        <f t="shared" si="58"/>
        <v>104.69</v>
      </c>
      <c r="J109" s="483">
        <f t="shared" si="58"/>
        <v>102.98</v>
      </c>
      <c r="K109" s="483">
        <f t="shared" si="58"/>
        <v>86.83</v>
      </c>
      <c r="L109" s="483">
        <f t="shared" si="58"/>
        <v>83.6</v>
      </c>
      <c r="M109" s="483">
        <f t="shared" si="58"/>
        <v>69.919999999999987</v>
      </c>
      <c r="N109" s="483">
        <f t="shared" si="58"/>
        <v>70.11</v>
      </c>
      <c r="O109" s="483">
        <f t="shared" si="58"/>
        <v>101.50214842551547</v>
      </c>
      <c r="P109" s="483">
        <f t="shared" si="58"/>
        <v>65.095921357178881</v>
      </c>
      <c r="Q109" s="483">
        <f t="shared" si="58"/>
        <v>63.455914974316286</v>
      </c>
      <c r="R109" s="483">
        <f t="shared" si="58"/>
        <v>59.898051048332576</v>
      </c>
      <c r="S109" s="483">
        <f t="shared" si="58"/>
        <v>62.248842380929602</v>
      </c>
      <c r="T109" s="483">
        <f t="shared" si="58"/>
        <v>63.398607794463381</v>
      </c>
      <c r="U109" s="483">
        <f t="shared" si="58"/>
        <v>63.777535448687935</v>
      </c>
      <c r="V109" s="483">
        <f t="shared" si="58"/>
        <v>63.661558579535964</v>
      </c>
      <c r="W109" s="483">
        <f t="shared" si="58"/>
        <v>63.588514488177715</v>
      </c>
      <c r="X109" s="483">
        <f t="shared" si="58"/>
        <v>63.541599463840171</v>
      </c>
      <c r="Y109" s="483">
        <f t="shared" si="58"/>
        <v>63.501419221861575</v>
      </c>
      <c r="Z109" s="483">
        <f t="shared" si="58"/>
        <v>63.487018471242372</v>
      </c>
      <c r="AA109" s="483">
        <f t="shared" si="58"/>
        <v>63.483089959778773</v>
      </c>
      <c r="AB109" s="483">
        <f t="shared" si="58"/>
        <v>63.570652842481927</v>
      </c>
      <c r="AC109" s="483">
        <f t="shared" si="58"/>
        <v>63.658215725185073</v>
      </c>
      <c r="AD109" s="483">
        <f t="shared" si="58"/>
        <v>63.745778607888212</v>
      </c>
      <c r="AE109" s="483">
        <f t="shared" si="58"/>
        <v>63.833341490591351</v>
      </c>
      <c r="AF109" s="483">
        <f t="shared" si="58"/>
        <v>63.920904373294512</v>
      </c>
      <c r="AG109" s="483">
        <f t="shared" si="58"/>
        <v>64.008467255997658</v>
      </c>
      <c r="AH109" s="483">
        <f t="shared" si="58"/>
        <v>64.096030138700783</v>
      </c>
      <c r="AI109" s="483">
        <f t="shared" si="58"/>
        <v>64.183593021403937</v>
      </c>
      <c r="AJ109" s="483">
        <f t="shared" si="58"/>
        <v>64.271155904107061</v>
      </c>
      <c r="AK109" s="483">
        <f t="shared" si="58"/>
        <v>64.358718786810215</v>
      </c>
      <c r="AL109" s="483">
        <f t="shared" si="58"/>
        <v>64.446281669513368</v>
      </c>
      <c r="AM109" s="483">
        <f t="shared" si="58"/>
        <v>64.533844552216507</v>
      </c>
      <c r="AN109" s="483">
        <f t="shared" si="58"/>
        <v>64.621407434919632</v>
      </c>
      <c r="AO109" s="483">
        <f t="shared" si="58"/>
        <v>64.708970317622786</v>
      </c>
      <c r="AP109" s="483">
        <f t="shared" si="58"/>
        <v>64.796533200325939</v>
      </c>
      <c r="AQ109" s="483">
        <f t="shared" si="58"/>
        <v>64.884096083029092</v>
      </c>
      <c r="AR109" s="483">
        <f t="shared" si="58"/>
        <v>64.971658965732217</v>
      </c>
      <c r="AS109" s="483">
        <f t="shared" si="58"/>
        <v>65.059221848435371</v>
      </c>
      <c r="AT109" s="483">
        <f t="shared" si="58"/>
        <v>65.146784731138496</v>
      </c>
      <c r="AU109" s="483">
        <f t="shared" si="58"/>
        <v>65.234347613841663</v>
      </c>
      <c r="AV109" s="484">
        <v>5</v>
      </c>
      <c r="AW109" s="602">
        <v>0</v>
      </c>
      <c r="AX109" s="602">
        <v>0</v>
      </c>
      <c r="AY109" s="602">
        <v>0</v>
      </c>
      <c r="AZ109" s="602">
        <v>4</v>
      </c>
      <c r="BA109" s="602">
        <v>0</v>
      </c>
      <c r="BB109" s="602">
        <v>0</v>
      </c>
      <c r="BC109" s="602">
        <v>0</v>
      </c>
      <c r="BD109" s="602">
        <v>4</v>
      </c>
      <c r="BE109" s="602">
        <v>0</v>
      </c>
      <c r="BF109" s="602">
        <v>0</v>
      </c>
      <c r="BG109" s="602">
        <v>0</v>
      </c>
      <c r="BH109" s="602">
        <v>4</v>
      </c>
      <c r="BI109" s="602">
        <v>0</v>
      </c>
      <c r="BJ109" s="602">
        <v>0</v>
      </c>
      <c r="BK109" s="602">
        <v>0</v>
      </c>
      <c r="BL109" s="602">
        <v>4</v>
      </c>
      <c r="BM109" s="602">
        <v>0</v>
      </c>
      <c r="BN109" s="602">
        <v>0</v>
      </c>
      <c r="BO109" s="602">
        <v>0</v>
      </c>
      <c r="BP109" s="602">
        <v>4</v>
      </c>
    </row>
    <row r="110" spans="2:68" ht="15">
      <c r="B110" s="8" t="str">
        <f>Processes!D124</f>
        <v>EXPGLY</v>
      </c>
      <c r="C110" s="8" t="str">
        <f>Processes!E124</f>
        <v>Export technology - Glycerol</v>
      </c>
      <c r="D110" s="216" t="str">
        <f t="shared" si="41"/>
        <v>GLY</v>
      </c>
      <c r="F110" s="1119" t="str">
        <f t="shared" si="52"/>
        <v>MKr14</v>
      </c>
      <c r="G110" s="483">
        <f t="shared" ref="G110:P113" si="59">IFERROR(INDEX($G$122:$AU$177,MATCH($D110,$E$122:$E$177,0),MATCH(G$6,$G$121:$AU$121,0)),0)*$E$194</f>
        <v>9.5</v>
      </c>
      <c r="H110" s="483">
        <f t="shared" si="59"/>
        <v>9.5</v>
      </c>
      <c r="I110" s="483">
        <f t="shared" si="59"/>
        <v>9.5</v>
      </c>
      <c r="J110" s="483">
        <f t="shared" si="59"/>
        <v>9.5</v>
      </c>
      <c r="K110" s="483">
        <f t="shared" si="59"/>
        <v>9.5</v>
      </c>
      <c r="L110" s="483">
        <f t="shared" si="59"/>
        <v>9.5</v>
      </c>
      <c r="M110" s="483">
        <f t="shared" si="59"/>
        <v>9.5</v>
      </c>
      <c r="N110" s="483">
        <f t="shared" si="59"/>
        <v>9.5</v>
      </c>
      <c r="O110" s="483">
        <f t="shared" si="59"/>
        <v>9.5</v>
      </c>
      <c r="P110" s="483">
        <f t="shared" si="59"/>
        <v>9.5</v>
      </c>
      <c r="Q110" s="483">
        <f t="shared" ref="Q110:Z113" si="60">IFERROR(INDEX($G$122:$AU$177,MATCH($D110,$E$122:$E$177,0),MATCH(Q$6,$G$121:$AU$121,0)),0)*$E$194</f>
        <v>9.5</v>
      </c>
      <c r="R110" s="483">
        <f t="shared" si="60"/>
        <v>9.5</v>
      </c>
      <c r="S110" s="483">
        <f t="shared" si="60"/>
        <v>9.5</v>
      </c>
      <c r="T110" s="483">
        <f t="shared" si="60"/>
        <v>9.5</v>
      </c>
      <c r="U110" s="483">
        <f t="shared" si="60"/>
        <v>9.5</v>
      </c>
      <c r="V110" s="483">
        <f t="shared" si="60"/>
        <v>9.5</v>
      </c>
      <c r="W110" s="483">
        <f t="shared" si="60"/>
        <v>9.5</v>
      </c>
      <c r="X110" s="483">
        <f t="shared" si="60"/>
        <v>9.5</v>
      </c>
      <c r="Y110" s="483">
        <f t="shared" si="60"/>
        <v>9.5</v>
      </c>
      <c r="Z110" s="483">
        <f t="shared" si="60"/>
        <v>9.5</v>
      </c>
      <c r="AA110" s="483">
        <f t="shared" ref="AA110:AJ113" si="61">IFERROR(INDEX($G$122:$AU$177,MATCH($D110,$E$122:$E$177,0),MATCH(AA$6,$G$121:$AU$121,0)),0)*$E$194</f>
        <v>9.5</v>
      </c>
      <c r="AB110" s="483">
        <f t="shared" si="61"/>
        <v>9.5</v>
      </c>
      <c r="AC110" s="483">
        <f t="shared" si="61"/>
        <v>9.5</v>
      </c>
      <c r="AD110" s="483">
        <f t="shared" si="61"/>
        <v>9.5</v>
      </c>
      <c r="AE110" s="483">
        <f t="shared" si="61"/>
        <v>9.5</v>
      </c>
      <c r="AF110" s="483">
        <f t="shared" si="61"/>
        <v>9.5</v>
      </c>
      <c r="AG110" s="483">
        <f t="shared" si="61"/>
        <v>9.5</v>
      </c>
      <c r="AH110" s="483">
        <f t="shared" si="61"/>
        <v>9.5</v>
      </c>
      <c r="AI110" s="483">
        <f t="shared" si="61"/>
        <v>9.5</v>
      </c>
      <c r="AJ110" s="483">
        <f t="shared" si="61"/>
        <v>9.5</v>
      </c>
      <c r="AK110" s="483">
        <f t="shared" ref="AK110:AU113" si="62">IFERROR(INDEX($G$122:$AU$177,MATCH($D110,$E$122:$E$177,0),MATCH(AK$6,$G$121:$AU$121,0)),0)*$E$194</f>
        <v>9.5</v>
      </c>
      <c r="AL110" s="483">
        <f t="shared" si="62"/>
        <v>9.5</v>
      </c>
      <c r="AM110" s="483">
        <f t="shared" si="62"/>
        <v>9.5</v>
      </c>
      <c r="AN110" s="483">
        <f t="shared" si="62"/>
        <v>9.5</v>
      </c>
      <c r="AO110" s="483">
        <f t="shared" si="62"/>
        <v>9.5</v>
      </c>
      <c r="AP110" s="483">
        <f t="shared" si="62"/>
        <v>9.5</v>
      </c>
      <c r="AQ110" s="483">
        <f t="shared" si="62"/>
        <v>9.5</v>
      </c>
      <c r="AR110" s="483">
        <f t="shared" si="62"/>
        <v>9.5</v>
      </c>
      <c r="AS110" s="483">
        <f t="shared" si="62"/>
        <v>9.5</v>
      </c>
      <c r="AT110" s="483">
        <f t="shared" si="62"/>
        <v>9.5</v>
      </c>
      <c r="AU110" s="483">
        <f t="shared" si="62"/>
        <v>9.5</v>
      </c>
      <c r="AV110" s="484">
        <v>5</v>
      </c>
      <c r="AW110" s="602">
        <v>0</v>
      </c>
      <c r="AX110" s="602">
        <v>0</v>
      </c>
      <c r="AY110" s="602">
        <v>0</v>
      </c>
      <c r="AZ110" s="602">
        <v>4</v>
      </c>
      <c r="BA110" s="602">
        <v>0</v>
      </c>
      <c r="BB110" s="602">
        <v>0</v>
      </c>
      <c r="BC110" s="602">
        <v>0</v>
      </c>
      <c r="BD110" s="602">
        <v>4</v>
      </c>
      <c r="BE110" s="602">
        <v>0</v>
      </c>
      <c r="BF110" s="602">
        <v>0</v>
      </c>
      <c r="BG110" s="602">
        <v>0</v>
      </c>
      <c r="BH110" s="602">
        <v>4</v>
      </c>
      <c r="BI110" s="602">
        <v>0</v>
      </c>
      <c r="BJ110" s="602">
        <v>0</v>
      </c>
      <c r="BK110" s="602">
        <v>0</v>
      </c>
      <c r="BL110" s="602">
        <v>4</v>
      </c>
      <c r="BM110" s="602">
        <v>0</v>
      </c>
      <c r="BN110" s="602">
        <v>0</v>
      </c>
      <c r="BO110" s="602">
        <v>0</v>
      </c>
      <c r="BP110" s="602">
        <v>4</v>
      </c>
    </row>
    <row r="111" spans="2:68" ht="15">
      <c r="B111" s="8" t="str">
        <f>Processes!D125</f>
        <v>EXPRPC</v>
      </c>
      <c r="C111" s="8" t="str">
        <f>Processes!E125</f>
        <v>Export technology - Rape Cake</v>
      </c>
      <c r="D111" s="216" t="str">
        <f t="shared" si="41"/>
        <v>RPC</v>
      </c>
      <c r="F111" s="1119" t="str">
        <f t="shared" si="52"/>
        <v>MKr14</v>
      </c>
      <c r="G111" s="483">
        <f t="shared" si="59"/>
        <v>9.5</v>
      </c>
      <c r="H111" s="483">
        <f t="shared" si="59"/>
        <v>9.5</v>
      </c>
      <c r="I111" s="483">
        <f t="shared" si="59"/>
        <v>9.5</v>
      </c>
      <c r="J111" s="483">
        <f t="shared" si="59"/>
        <v>9.5</v>
      </c>
      <c r="K111" s="483">
        <f t="shared" si="59"/>
        <v>9.5</v>
      </c>
      <c r="L111" s="483">
        <f t="shared" si="59"/>
        <v>9.5</v>
      </c>
      <c r="M111" s="483">
        <f t="shared" si="59"/>
        <v>9.5</v>
      </c>
      <c r="N111" s="483">
        <f t="shared" si="59"/>
        <v>9.5</v>
      </c>
      <c r="O111" s="483">
        <f t="shared" si="59"/>
        <v>9.5</v>
      </c>
      <c r="P111" s="483">
        <f t="shared" si="59"/>
        <v>9.5</v>
      </c>
      <c r="Q111" s="483">
        <f t="shared" si="60"/>
        <v>9.5</v>
      </c>
      <c r="R111" s="483">
        <f t="shared" si="60"/>
        <v>9.5</v>
      </c>
      <c r="S111" s="483">
        <f t="shared" si="60"/>
        <v>9.5</v>
      </c>
      <c r="T111" s="483">
        <f t="shared" si="60"/>
        <v>9.5</v>
      </c>
      <c r="U111" s="483">
        <f t="shared" si="60"/>
        <v>9.5</v>
      </c>
      <c r="V111" s="483">
        <f t="shared" si="60"/>
        <v>9.5</v>
      </c>
      <c r="W111" s="483">
        <f t="shared" si="60"/>
        <v>9.5</v>
      </c>
      <c r="X111" s="483">
        <f t="shared" si="60"/>
        <v>9.5</v>
      </c>
      <c r="Y111" s="483">
        <f t="shared" si="60"/>
        <v>9.5</v>
      </c>
      <c r="Z111" s="483">
        <f t="shared" si="60"/>
        <v>9.5</v>
      </c>
      <c r="AA111" s="483">
        <f t="shared" si="61"/>
        <v>9.5</v>
      </c>
      <c r="AB111" s="483">
        <f t="shared" si="61"/>
        <v>9.5</v>
      </c>
      <c r="AC111" s="483">
        <f t="shared" si="61"/>
        <v>9.5</v>
      </c>
      <c r="AD111" s="483">
        <f t="shared" si="61"/>
        <v>9.5</v>
      </c>
      <c r="AE111" s="483">
        <f t="shared" si="61"/>
        <v>9.5</v>
      </c>
      <c r="AF111" s="483">
        <f t="shared" si="61"/>
        <v>9.5</v>
      </c>
      <c r="AG111" s="483">
        <f t="shared" si="61"/>
        <v>9.5</v>
      </c>
      <c r="AH111" s="483">
        <f t="shared" si="61"/>
        <v>9.5</v>
      </c>
      <c r="AI111" s="483">
        <f t="shared" si="61"/>
        <v>9.5</v>
      </c>
      <c r="AJ111" s="483">
        <f t="shared" si="61"/>
        <v>9.5</v>
      </c>
      <c r="AK111" s="483">
        <f t="shared" si="62"/>
        <v>9.5</v>
      </c>
      <c r="AL111" s="483">
        <f t="shared" si="62"/>
        <v>9.5</v>
      </c>
      <c r="AM111" s="483">
        <f t="shared" si="62"/>
        <v>9.5</v>
      </c>
      <c r="AN111" s="483">
        <f t="shared" si="62"/>
        <v>9.5</v>
      </c>
      <c r="AO111" s="483">
        <f t="shared" si="62"/>
        <v>9.5</v>
      </c>
      <c r="AP111" s="483">
        <f t="shared" si="62"/>
        <v>9.5</v>
      </c>
      <c r="AQ111" s="483">
        <f t="shared" si="62"/>
        <v>9.5</v>
      </c>
      <c r="AR111" s="483">
        <f t="shared" si="62"/>
        <v>9.5</v>
      </c>
      <c r="AS111" s="483">
        <f t="shared" si="62"/>
        <v>9.5</v>
      </c>
      <c r="AT111" s="483">
        <f t="shared" si="62"/>
        <v>9.5</v>
      </c>
      <c r="AU111" s="483">
        <f t="shared" si="62"/>
        <v>9.5</v>
      </c>
      <c r="AV111" s="484">
        <v>5</v>
      </c>
      <c r="AW111" s="602">
        <v>0</v>
      </c>
      <c r="AX111" s="602">
        <v>0</v>
      </c>
      <c r="AY111" s="602">
        <v>0</v>
      </c>
      <c r="AZ111" s="602">
        <v>4</v>
      </c>
      <c r="BA111" s="602">
        <v>0</v>
      </c>
      <c r="BB111" s="602">
        <v>0</v>
      </c>
      <c r="BC111" s="602">
        <v>0</v>
      </c>
      <c r="BD111" s="602">
        <v>4</v>
      </c>
      <c r="BE111" s="602">
        <v>0</v>
      </c>
      <c r="BF111" s="602">
        <v>0</v>
      </c>
      <c r="BG111" s="602">
        <v>0</v>
      </c>
      <c r="BH111" s="602">
        <v>4</v>
      </c>
      <c r="BI111" s="602">
        <v>0</v>
      </c>
      <c r="BJ111" s="602">
        <v>0</v>
      </c>
      <c r="BK111" s="602">
        <v>0</v>
      </c>
      <c r="BL111" s="602">
        <v>4</v>
      </c>
      <c r="BM111" s="602">
        <v>0</v>
      </c>
      <c r="BN111" s="602">
        <v>0</v>
      </c>
      <c r="BO111" s="602">
        <v>0</v>
      </c>
      <c r="BP111" s="602">
        <v>4</v>
      </c>
    </row>
    <row r="112" spans="2:68" ht="15">
      <c r="B112" s="8" t="str">
        <f>Processes!D126</f>
        <v>EXPSGP</v>
      </c>
      <c r="C112" s="8" t="str">
        <f>Processes!E126</f>
        <v>Export technology - Sugar Beet Pulp</v>
      </c>
      <c r="D112" s="216" t="str">
        <f t="shared" si="41"/>
        <v>SGP</v>
      </c>
      <c r="F112" s="1119" t="str">
        <f t="shared" si="52"/>
        <v>MKr14</v>
      </c>
      <c r="G112" s="483">
        <f t="shared" si="59"/>
        <v>9.5</v>
      </c>
      <c r="H112" s="483">
        <f t="shared" si="59"/>
        <v>9.5</v>
      </c>
      <c r="I112" s="483">
        <f t="shared" si="59"/>
        <v>9.5</v>
      </c>
      <c r="J112" s="483">
        <f t="shared" si="59"/>
        <v>9.5</v>
      </c>
      <c r="K112" s="483">
        <f t="shared" si="59"/>
        <v>9.5</v>
      </c>
      <c r="L112" s="483">
        <f t="shared" si="59"/>
        <v>9.5</v>
      </c>
      <c r="M112" s="483">
        <f t="shared" si="59"/>
        <v>9.5</v>
      </c>
      <c r="N112" s="483">
        <f t="shared" si="59"/>
        <v>9.5</v>
      </c>
      <c r="O112" s="483">
        <f t="shared" si="59"/>
        <v>9.5</v>
      </c>
      <c r="P112" s="483">
        <f t="shared" si="59"/>
        <v>9.5</v>
      </c>
      <c r="Q112" s="483">
        <f t="shared" si="60"/>
        <v>9.5</v>
      </c>
      <c r="R112" s="483">
        <f t="shared" si="60"/>
        <v>9.5</v>
      </c>
      <c r="S112" s="483">
        <f t="shared" si="60"/>
        <v>9.5</v>
      </c>
      <c r="T112" s="483">
        <f t="shared" si="60"/>
        <v>9.5</v>
      </c>
      <c r="U112" s="483">
        <f t="shared" si="60"/>
        <v>9.5</v>
      </c>
      <c r="V112" s="483">
        <f t="shared" si="60"/>
        <v>9.5</v>
      </c>
      <c r="W112" s="483">
        <f t="shared" si="60"/>
        <v>9.5</v>
      </c>
      <c r="X112" s="483">
        <f t="shared" si="60"/>
        <v>9.5</v>
      </c>
      <c r="Y112" s="483">
        <f t="shared" si="60"/>
        <v>9.5</v>
      </c>
      <c r="Z112" s="483">
        <f t="shared" si="60"/>
        <v>9.5</v>
      </c>
      <c r="AA112" s="483">
        <f t="shared" si="61"/>
        <v>9.5</v>
      </c>
      <c r="AB112" s="483">
        <f t="shared" si="61"/>
        <v>9.5</v>
      </c>
      <c r="AC112" s="483">
        <f t="shared" si="61"/>
        <v>9.5</v>
      </c>
      <c r="AD112" s="483">
        <f t="shared" si="61"/>
        <v>9.5</v>
      </c>
      <c r="AE112" s="483">
        <f t="shared" si="61"/>
        <v>9.5</v>
      </c>
      <c r="AF112" s="483">
        <f t="shared" si="61"/>
        <v>9.5</v>
      </c>
      <c r="AG112" s="483">
        <f t="shared" si="61"/>
        <v>9.5</v>
      </c>
      <c r="AH112" s="483">
        <f t="shared" si="61"/>
        <v>9.5</v>
      </c>
      <c r="AI112" s="483">
        <f t="shared" si="61"/>
        <v>9.5</v>
      </c>
      <c r="AJ112" s="483">
        <f t="shared" si="61"/>
        <v>9.5</v>
      </c>
      <c r="AK112" s="483">
        <f t="shared" si="62"/>
        <v>9.5</v>
      </c>
      <c r="AL112" s="483">
        <f t="shared" si="62"/>
        <v>9.5</v>
      </c>
      <c r="AM112" s="483">
        <f t="shared" si="62"/>
        <v>9.5</v>
      </c>
      <c r="AN112" s="483">
        <f t="shared" si="62"/>
        <v>9.5</v>
      </c>
      <c r="AO112" s="483">
        <f t="shared" si="62"/>
        <v>9.5</v>
      </c>
      <c r="AP112" s="483">
        <f t="shared" si="62"/>
        <v>9.5</v>
      </c>
      <c r="AQ112" s="483">
        <f t="shared" si="62"/>
        <v>9.5</v>
      </c>
      <c r="AR112" s="483">
        <f t="shared" si="62"/>
        <v>9.5</v>
      </c>
      <c r="AS112" s="483">
        <f t="shared" si="62"/>
        <v>9.5</v>
      </c>
      <c r="AT112" s="483">
        <f t="shared" si="62"/>
        <v>9.5</v>
      </c>
      <c r="AU112" s="483">
        <f t="shared" si="62"/>
        <v>9.5</v>
      </c>
      <c r="AV112" s="484">
        <v>5</v>
      </c>
      <c r="AW112" s="602">
        <v>0</v>
      </c>
      <c r="AX112" s="602">
        <v>0</v>
      </c>
      <c r="AY112" s="602">
        <v>0</v>
      </c>
      <c r="AZ112" s="602">
        <v>4</v>
      </c>
      <c r="BA112" s="602">
        <v>0</v>
      </c>
      <c r="BB112" s="602">
        <v>0</v>
      </c>
      <c r="BC112" s="602">
        <v>0</v>
      </c>
      <c r="BD112" s="602">
        <v>4</v>
      </c>
      <c r="BE112" s="602">
        <v>0</v>
      </c>
      <c r="BF112" s="602">
        <v>0</v>
      </c>
      <c r="BG112" s="602">
        <v>0</v>
      </c>
      <c r="BH112" s="602">
        <v>4</v>
      </c>
      <c r="BI112" s="602">
        <v>0</v>
      </c>
      <c r="BJ112" s="602">
        <v>0</v>
      </c>
      <c r="BK112" s="602">
        <v>0</v>
      </c>
      <c r="BL112" s="602">
        <v>4</v>
      </c>
      <c r="BM112" s="602">
        <v>0</v>
      </c>
      <c r="BN112" s="602">
        <v>0</v>
      </c>
      <c r="BO112" s="602">
        <v>0</v>
      </c>
      <c r="BP112" s="602">
        <v>4</v>
      </c>
    </row>
    <row r="113" spans="2:68" s="602" customFormat="1" ht="15">
      <c r="B113" s="8" t="str">
        <f>Processes!D127</f>
        <v>EXPOTH</v>
      </c>
      <c r="C113" s="8" t="str">
        <f>Processes!E127</f>
        <v>Export technology - Other non energy related commodities</v>
      </c>
      <c r="D113" s="216" t="str">
        <f t="shared" ref="D113" si="63">IF(LEN(B113)=6,RIGHT(B113,3),RIGHT(B113,4))</f>
        <v>OTH</v>
      </c>
      <c r="E113" s="482"/>
      <c r="F113" s="1119" t="str">
        <f>IFERROR(VLOOKUP(D113,$E$122:$F$175,2,FALSE),"MKr19")</f>
        <v>MKr14</v>
      </c>
      <c r="G113" s="483">
        <f t="shared" si="59"/>
        <v>9.5</v>
      </c>
      <c r="H113" s="483">
        <f t="shared" si="59"/>
        <v>9.5</v>
      </c>
      <c r="I113" s="483">
        <f t="shared" si="59"/>
        <v>9.5</v>
      </c>
      <c r="J113" s="483">
        <f t="shared" si="59"/>
        <v>9.5</v>
      </c>
      <c r="K113" s="483">
        <f t="shared" si="59"/>
        <v>9.5</v>
      </c>
      <c r="L113" s="483">
        <f t="shared" si="59"/>
        <v>9.5</v>
      </c>
      <c r="M113" s="483">
        <f t="shared" si="59"/>
        <v>9.5</v>
      </c>
      <c r="N113" s="483">
        <f t="shared" si="59"/>
        <v>9.5</v>
      </c>
      <c r="O113" s="483">
        <f t="shared" si="59"/>
        <v>9.5</v>
      </c>
      <c r="P113" s="483">
        <f t="shared" si="59"/>
        <v>9.5</v>
      </c>
      <c r="Q113" s="483">
        <f t="shared" si="60"/>
        <v>9.5</v>
      </c>
      <c r="R113" s="483">
        <f t="shared" si="60"/>
        <v>9.5</v>
      </c>
      <c r="S113" s="483">
        <f t="shared" si="60"/>
        <v>9.5</v>
      </c>
      <c r="T113" s="483">
        <f t="shared" si="60"/>
        <v>9.5</v>
      </c>
      <c r="U113" s="483">
        <f t="shared" si="60"/>
        <v>9.5</v>
      </c>
      <c r="V113" s="483">
        <f t="shared" si="60"/>
        <v>9.5</v>
      </c>
      <c r="W113" s="483">
        <f t="shared" si="60"/>
        <v>9.5</v>
      </c>
      <c r="X113" s="483">
        <f t="shared" si="60"/>
        <v>9.5</v>
      </c>
      <c r="Y113" s="483">
        <f t="shared" si="60"/>
        <v>9.5</v>
      </c>
      <c r="Z113" s="483">
        <f t="shared" si="60"/>
        <v>9.5</v>
      </c>
      <c r="AA113" s="483">
        <f t="shared" si="61"/>
        <v>9.5</v>
      </c>
      <c r="AB113" s="483">
        <f t="shared" si="61"/>
        <v>9.5</v>
      </c>
      <c r="AC113" s="483">
        <f t="shared" si="61"/>
        <v>9.5</v>
      </c>
      <c r="AD113" s="483">
        <f t="shared" si="61"/>
        <v>9.5</v>
      </c>
      <c r="AE113" s="483">
        <f t="shared" si="61"/>
        <v>9.5</v>
      </c>
      <c r="AF113" s="483">
        <f t="shared" si="61"/>
        <v>9.5</v>
      </c>
      <c r="AG113" s="483">
        <f t="shared" si="61"/>
        <v>9.5</v>
      </c>
      <c r="AH113" s="483">
        <f t="shared" si="61"/>
        <v>9.5</v>
      </c>
      <c r="AI113" s="483">
        <f t="shared" si="61"/>
        <v>9.5</v>
      </c>
      <c r="AJ113" s="483">
        <f t="shared" si="61"/>
        <v>9.5</v>
      </c>
      <c r="AK113" s="483">
        <f t="shared" si="62"/>
        <v>9.5</v>
      </c>
      <c r="AL113" s="483">
        <f t="shared" si="62"/>
        <v>9.5</v>
      </c>
      <c r="AM113" s="483">
        <f t="shared" si="62"/>
        <v>9.5</v>
      </c>
      <c r="AN113" s="483">
        <f t="shared" si="62"/>
        <v>9.5</v>
      </c>
      <c r="AO113" s="483">
        <f t="shared" si="62"/>
        <v>9.5</v>
      </c>
      <c r="AP113" s="483">
        <f t="shared" si="62"/>
        <v>9.5</v>
      </c>
      <c r="AQ113" s="483">
        <f t="shared" si="62"/>
        <v>9.5</v>
      </c>
      <c r="AR113" s="483">
        <f t="shared" si="62"/>
        <v>9.5</v>
      </c>
      <c r="AS113" s="483">
        <f t="shared" si="62"/>
        <v>9.5</v>
      </c>
      <c r="AT113" s="483">
        <f t="shared" si="62"/>
        <v>9.5</v>
      </c>
      <c r="AU113" s="483">
        <f t="shared" si="62"/>
        <v>9.5</v>
      </c>
      <c r="AV113" s="602">
        <v>5</v>
      </c>
      <c r="AW113" s="602">
        <v>0</v>
      </c>
      <c r="AX113" s="602">
        <v>0</v>
      </c>
      <c r="AY113" s="602">
        <v>0</v>
      </c>
      <c r="AZ113" s="602">
        <v>4</v>
      </c>
      <c r="BA113" s="602">
        <v>0</v>
      </c>
      <c r="BB113" s="602">
        <v>0</v>
      </c>
      <c r="BC113" s="602">
        <v>0</v>
      </c>
      <c r="BD113" s="602">
        <v>4</v>
      </c>
      <c r="BE113" s="602">
        <v>0</v>
      </c>
      <c r="BF113" s="602">
        <v>0</v>
      </c>
      <c r="BG113" s="602">
        <v>0</v>
      </c>
      <c r="BH113" s="602">
        <v>4</v>
      </c>
      <c r="BI113" s="602">
        <v>0</v>
      </c>
      <c r="BJ113" s="602">
        <v>0</v>
      </c>
      <c r="BK113" s="602">
        <v>0</v>
      </c>
      <c r="BL113" s="602">
        <v>4</v>
      </c>
      <c r="BM113" s="602">
        <v>0</v>
      </c>
      <c r="BN113" s="602">
        <v>0</v>
      </c>
      <c r="BO113" s="602">
        <v>0</v>
      </c>
      <c r="BP113" s="602">
        <v>4</v>
      </c>
    </row>
    <row r="114" spans="2:68" ht="15">
      <c r="B114" s="8"/>
      <c r="C114" s="8"/>
      <c r="D114" s="216"/>
      <c r="F114" s="100"/>
      <c r="G114" s="483"/>
      <c r="H114" s="483"/>
      <c r="I114" s="483"/>
      <c r="J114" s="483"/>
      <c r="K114" s="483"/>
      <c r="L114" s="483"/>
      <c r="M114" s="483"/>
      <c r="N114" s="483"/>
      <c r="O114" s="483"/>
      <c r="P114" s="483"/>
      <c r="Q114" s="483"/>
      <c r="R114" s="483"/>
      <c r="S114" s="483"/>
      <c r="T114" s="483"/>
      <c r="U114" s="483"/>
    </row>
    <row r="115" spans="2:68" ht="15">
      <c r="B115" s="8"/>
      <c r="C115" s="8"/>
      <c r="D115" s="216"/>
      <c r="F115" s="100"/>
      <c r="G115" s="483"/>
      <c r="H115" s="483"/>
      <c r="I115" s="483"/>
      <c r="J115" s="483"/>
      <c r="K115" s="483"/>
      <c r="L115" s="483"/>
      <c r="M115" s="483"/>
      <c r="N115" s="483"/>
      <c r="O115" s="483"/>
      <c r="P115" s="483"/>
      <c r="Q115" s="483"/>
      <c r="R115" s="483"/>
      <c r="S115" s="483"/>
      <c r="T115" s="483"/>
      <c r="U115" s="483"/>
    </row>
    <row r="116" spans="2:68" ht="15">
      <c r="B116" s="8"/>
      <c r="C116" s="8"/>
      <c r="D116" s="216"/>
      <c r="F116" s="100"/>
      <c r="G116" s="483"/>
      <c r="H116" s="483"/>
      <c r="I116" s="483"/>
      <c r="J116" s="483"/>
      <c r="K116" s="483"/>
      <c r="L116" s="483"/>
      <c r="M116" s="483"/>
      <c r="N116" s="483"/>
      <c r="O116" s="483"/>
      <c r="P116" s="483"/>
      <c r="Q116" s="483"/>
      <c r="R116" s="483"/>
      <c r="S116" s="483"/>
      <c r="T116" s="483"/>
      <c r="U116" s="483"/>
    </row>
    <row r="117" spans="2:68">
      <c r="B117" s="8"/>
      <c r="C117" s="1329" t="s">
        <v>838</v>
      </c>
      <c r="D117" s="1329"/>
      <c r="E117" s="1329"/>
      <c r="F117" s="1329"/>
      <c r="G117" s="1329"/>
      <c r="H117" s="1329"/>
      <c r="I117" s="1329"/>
      <c r="J117" s="1329"/>
      <c r="K117" s="1329"/>
      <c r="L117" s="1329"/>
    </row>
    <row r="118" spans="2:68">
      <c r="B118" s="8"/>
      <c r="C118" s="1329"/>
      <c r="D118" s="1329"/>
      <c r="E118" s="1329"/>
      <c r="F118" s="1329"/>
      <c r="G118" s="1329"/>
      <c r="H118" s="1329"/>
      <c r="I118" s="1329"/>
      <c r="J118" s="1329"/>
      <c r="K118" s="1329"/>
      <c r="L118" s="1329"/>
    </row>
    <row r="119" spans="2:68" s="602" customFormat="1" ht="20">
      <c r="B119" s="8"/>
      <c r="C119" s="1076"/>
      <c r="D119" s="1076"/>
      <c r="E119" s="1076"/>
      <c r="F119" s="1076"/>
      <c r="G119" s="1076"/>
      <c r="H119" s="1076"/>
      <c r="I119" s="1076"/>
      <c r="J119" s="1076"/>
      <c r="K119" s="1076"/>
      <c r="L119" s="1076"/>
    </row>
    <row r="120" spans="2:68">
      <c r="B120" s="8"/>
      <c r="C120" s="8"/>
      <c r="D120" s="216"/>
      <c r="E120" s="397"/>
      <c r="F120" s="100"/>
    </row>
    <row r="121" spans="2:68" ht="14">
      <c r="B121" s="602"/>
      <c r="C121" s="602"/>
      <c r="D121" s="1077"/>
      <c r="E121" s="1077" t="s">
        <v>792</v>
      </c>
      <c r="F121" s="1046" t="s">
        <v>793</v>
      </c>
      <c r="G121" s="1078">
        <v>2010</v>
      </c>
      <c r="H121" s="1078">
        <v>2011</v>
      </c>
      <c r="I121" s="1078">
        <v>2012</v>
      </c>
      <c r="J121" s="1078">
        <v>2013</v>
      </c>
      <c r="K121" s="1078">
        <v>2014</v>
      </c>
      <c r="L121" s="1078">
        <v>2015</v>
      </c>
      <c r="M121" s="1078">
        <v>2016</v>
      </c>
      <c r="N121" s="1078">
        <v>2017</v>
      </c>
      <c r="O121" s="1078">
        <v>2018</v>
      </c>
      <c r="P121" s="1078">
        <v>2019</v>
      </c>
      <c r="Q121" s="1078">
        <v>2020</v>
      </c>
      <c r="R121" s="1078">
        <v>2021</v>
      </c>
      <c r="S121" s="1078">
        <v>2022</v>
      </c>
      <c r="T121" s="1078">
        <v>2023</v>
      </c>
      <c r="U121" s="1078">
        <v>2024</v>
      </c>
      <c r="V121" s="1078">
        <v>2025</v>
      </c>
      <c r="W121" s="1078">
        <v>2026</v>
      </c>
      <c r="X121" s="1078">
        <v>2027</v>
      </c>
      <c r="Y121" s="1078">
        <v>2028</v>
      </c>
      <c r="Z121" s="1078">
        <v>2029</v>
      </c>
      <c r="AA121" s="1078">
        <v>2030</v>
      </c>
      <c r="AB121" s="1078">
        <v>2031</v>
      </c>
      <c r="AC121" s="1078">
        <v>2032</v>
      </c>
      <c r="AD121" s="1078">
        <v>2033</v>
      </c>
      <c r="AE121" s="1078">
        <v>2034</v>
      </c>
      <c r="AF121" s="1078">
        <v>2035</v>
      </c>
      <c r="AG121" s="1078">
        <v>2036</v>
      </c>
      <c r="AH121" s="1078">
        <v>2037</v>
      </c>
      <c r="AI121" s="1078">
        <v>2038</v>
      </c>
      <c r="AJ121" s="1078">
        <v>2039</v>
      </c>
      <c r="AK121" s="1078">
        <v>2040</v>
      </c>
      <c r="AL121" s="1078">
        <v>2041</v>
      </c>
      <c r="AM121" s="1078">
        <v>2042</v>
      </c>
      <c r="AN121" s="1078">
        <v>2043</v>
      </c>
      <c r="AO121" s="1078">
        <v>2044</v>
      </c>
      <c r="AP121" s="1078">
        <v>2045</v>
      </c>
      <c r="AQ121" s="1078">
        <v>2046</v>
      </c>
      <c r="AR121" s="1078">
        <v>2047</v>
      </c>
      <c r="AS121" s="1078">
        <v>2048</v>
      </c>
      <c r="AT121" s="1078">
        <v>2049</v>
      </c>
      <c r="AU121" s="1078">
        <v>2050</v>
      </c>
      <c r="AV121" s="602"/>
      <c r="AW121" s="602"/>
      <c r="AX121" s="602"/>
      <c r="AY121" s="602"/>
      <c r="AZ121" s="602"/>
      <c r="BA121" s="602"/>
    </row>
    <row r="122" spans="2:68">
      <c r="B122" s="602"/>
      <c r="C122" s="602"/>
      <c r="D122" s="1077"/>
      <c r="E122" s="1077" t="s">
        <v>40</v>
      </c>
      <c r="F122" s="1079" t="s">
        <v>1619</v>
      </c>
      <c r="G122" s="1080">
        <f>G217</f>
        <v>23.1</v>
      </c>
      <c r="H122" s="1080">
        <f t="shared" ref="H122:N123" si="64">H217</f>
        <v>27.7</v>
      </c>
      <c r="I122" s="1080">
        <f t="shared" si="64"/>
        <v>23.9</v>
      </c>
      <c r="J122" s="1080">
        <f t="shared" si="64"/>
        <v>20.3</v>
      </c>
      <c r="K122" s="1080">
        <f t="shared" si="64"/>
        <v>17.2</v>
      </c>
      <c r="L122" s="1080">
        <f t="shared" si="64"/>
        <v>15.7</v>
      </c>
      <c r="M122" s="1080">
        <f t="shared" si="64"/>
        <v>12.2</v>
      </c>
      <c r="N122" s="1080">
        <f t="shared" si="64"/>
        <v>11.7</v>
      </c>
      <c r="O122" s="1081">
        <f>VLOOKUP(O$121,$C$286:$O$318,4)</f>
        <v>22.935796128023767</v>
      </c>
      <c r="P122" s="1081">
        <f t="shared" ref="P122:AU122" si="65">VLOOKUP(P$121,$C$286:$O$318,4)</f>
        <v>15.532766006190153</v>
      </c>
      <c r="Q122" s="1081">
        <f t="shared" si="65"/>
        <v>12.929551889587877</v>
      </c>
      <c r="R122" s="1081">
        <f t="shared" si="65"/>
        <v>13.166058954324894</v>
      </c>
      <c r="S122" s="1081">
        <f t="shared" si="65"/>
        <v>13.673473481430243</v>
      </c>
      <c r="T122" s="1081">
        <f t="shared" si="65"/>
        <v>14.173926683886389</v>
      </c>
      <c r="U122" s="1081">
        <f t="shared" si="65"/>
        <v>14.64740072098045</v>
      </c>
      <c r="V122" s="1081">
        <f t="shared" si="65"/>
        <v>14.580898828103843</v>
      </c>
      <c r="W122" s="1081">
        <f t="shared" si="65"/>
        <v>14.5316584938834</v>
      </c>
      <c r="X122" s="1081">
        <f t="shared" si="65"/>
        <v>14.477230593088336</v>
      </c>
      <c r="Y122" s="1081">
        <f t="shared" si="65"/>
        <v>14.413190648189367</v>
      </c>
      <c r="Z122" s="1081">
        <f t="shared" si="65"/>
        <v>14.343963605486476</v>
      </c>
      <c r="AA122" s="1081">
        <f t="shared" si="65"/>
        <v>14.266503152082981</v>
      </c>
      <c r="AB122" s="1081">
        <f t="shared" si="65"/>
        <v>14.23069306413351</v>
      </c>
      <c r="AC122" s="1081">
        <f t="shared" si="65"/>
        <v>14.195037264254136</v>
      </c>
      <c r="AD122" s="1081">
        <f t="shared" si="65"/>
        <v>14.159114470166005</v>
      </c>
      <c r="AE122" s="1081">
        <f t="shared" si="65"/>
        <v>14.123353426479357</v>
      </c>
      <c r="AF122" s="1081">
        <f t="shared" si="65"/>
        <v>14.087572006623748</v>
      </c>
      <c r="AG122" s="1081">
        <f t="shared" si="65"/>
        <v>14.051985690698709</v>
      </c>
      <c r="AH122" s="1081">
        <f t="shared" si="65"/>
        <v>14.016171250456402</v>
      </c>
      <c r="AI122" s="1081">
        <f t="shared" si="65"/>
        <v>13.980510738351196</v>
      </c>
      <c r="AJ122" s="1081">
        <f t="shared" si="65"/>
        <v>13.944654498795146</v>
      </c>
      <c r="AK122" s="1081">
        <f t="shared" si="65"/>
        <v>13.908861871625055</v>
      </c>
      <c r="AL122" s="1081">
        <f t="shared" si="65"/>
        <v>13.873069138182171</v>
      </c>
      <c r="AM122" s="1081">
        <f t="shared" si="65"/>
        <v>13.836610452807903</v>
      </c>
      <c r="AN122" s="1081">
        <f t="shared" si="65"/>
        <v>13.800150557366436</v>
      </c>
      <c r="AO122" s="1081">
        <f t="shared" si="65"/>
        <v>13.763689450310618</v>
      </c>
      <c r="AP122" s="1081">
        <f t="shared" si="65"/>
        <v>13.727227130091334</v>
      </c>
      <c r="AQ122" s="1081">
        <f t="shared" si="65"/>
        <v>13.690763595157463</v>
      </c>
      <c r="AR122" s="1081">
        <f t="shared" si="65"/>
        <v>13.654298843955917</v>
      </c>
      <c r="AS122" s="1081">
        <f t="shared" si="65"/>
        <v>13.617832874931624</v>
      </c>
      <c r="AT122" s="1081">
        <f t="shared" si="65"/>
        <v>13.581365686527514</v>
      </c>
      <c r="AU122" s="1081">
        <f t="shared" si="65"/>
        <v>13.544897277184536</v>
      </c>
      <c r="AV122" s="1080"/>
      <c r="AW122" s="602"/>
      <c r="AX122" s="602"/>
      <c r="AY122" s="602"/>
      <c r="AZ122" s="602"/>
      <c r="BA122" s="602"/>
    </row>
    <row r="123" spans="2:68">
      <c r="B123" s="602"/>
      <c r="C123" s="602"/>
      <c r="D123" s="1077"/>
      <c r="E123" s="1077" t="s">
        <v>93</v>
      </c>
      <c r="F123" s="1079" t="s">
        <v>1619</v>
      </c>
      <c r="G123" s="1080">
        <f>G218</f>
        <v>76.2</v>
      </c>
      <c r="H123" s="1080">
        <f t="shared" si="64"/>
        <v>106.1</v>
      </c>
      <c r="I123" s="1080">
        <f t="shared" si="64"/>
        <v>112.9</v>
      </c>
      <c r="J123" s="1080">
        <f t="shared" si="64"/>
        <v>100.3</v>
      </c>
      <c r="K123" s="1080">
        <f t="shared" si="64"/>
        <v>97.3</v>
      </c>
      <c r="L123" s="1080">
        <f t="shared" si="64"/>
        <v>62.7</v>
      </c>
      <c r="M123" s="1080">
        <f t="shared" si="64"/>
        <v>59.9</v>
      </c>
      <c r="N123" s="1080">
        <f t="shared" si="64"/>
        <v>63.9</v>
      </c>
      <c r="O123" s="1081">
        <f>VLOOKUP(O$121,$C$286:$O$318,2)</f>
        <v>78.592912119302227</v>
      </c>
      <c r="P123" s="1081">
        <f t="shared" ref="P123:AU123" si="66">VLOOKUP(P$121,$C$286:$O$318,2)</f>
        <v>72.66780821917807</v>
      </c>
      <c r="Q123" s="1081">
        <f t="shared" si="66"/>
        <v>71.191547947610658</v>
      </c>
      <c r="R123" s="1081">
        <f t="shared" si="66"/>
        <v>49.181117057429148</v>
      </c>
      <c r="S123" s="1081">
        <f t="shared" si="66"/>
        <v>52.581323432074825</v>
      </c>
      <c r="T123" s="1081">
        <f t="shared" si="66"/>
        <v>54.889966476332738</v>
      </c>
      <c r="U123" s="1081">
        <f t="shared" si="66"/>
        <v>56.568388062461416</v>
      </c>
      <c r="V123" s="1081">
        <f t="shared" si="66"/>
        <v>57.786429057350325</v>
      </c>
      <c r="W123" s="1081">
        <f t="shared" si="66"/>
        <v>59.146270171698553</v>
      </c>
      <c r="X123" s="1081">
        <f t="shared" si="66"/>
        <v>60.478046986869018</v>
      </c>
      <c r="Y123" s="1081">
        <f t="shared" si="66"/>
        <v>61.703174257304624</v>
      </c>
      <c r="Z123" s="1081">
        <f t="shared" si="66"/>
        <v>62.989602327697277</v>
      </c>
      <c r="AA123" s="1081">
        <f t="shared" si="66"/>
        <v>64.209121548162642</v>
      </c>
      <c r="AB123" s="1081">
        <f t="shared" si="66"/>
        <v>63.901532941943884</v>
      </c>
      <c r="AC123" s="1081">
        <f t="shared" si="66"/>
        <v>63.593944335725141</v>
      </c>
      <c r="AD123" s="1081">
        <f t="shared" si="66"/>
        <v>63.286355729506404</v>
      </c>
      <c r="AE123" s="1081">
        <f t="shared" si="66"/>
        <v>62.978767123287653</v>
      </c>
      <c r="AF123" s="1081">
        <f t="shared" si="66"/>
        <v>62.671178517068917</v>
      </c>
      <c r="AG123" s="1081">
        <f t="shared" si="66"/>
        <v>62.363589910850173</v>
      </c>
      <c r="AH123" s="1081">
        <f t="shared" si="66"/>
        <v>62.056001304631437</v>
      </c>
      <c r="AI123" s="1081">
        <f t="shared" si="66"/>
        <v>61.7484126984127</v>
      </c>
      <c r="AJ123" s="1081">
        <f t="shared" si="66"/>
        <v>61.440824092193949</v>
      </c>
      <c r="AK123" s="1081">
        <f t="shared" si="66"/>
        <v>61.133235485975206</v>
      </c>
      <c r="AL123" s="1081">
        <f t="shared" si="66"/>
        <v>60.825646879756469</v>
      </c>
      <c r="AM123" s="1081">
        <f t="shared" si="66"/>
        <v>60.518058273537719</v>
      </c>
      <c r="AN123" s="1081">
        <f t="shared" si="66"/>
        <v>60.210469667318975</v>
      </c>
      <c r="AO123" s="1081">
        <f t="shared" si="66"/>
        <v>59.902881061100238</v>
      </c>
      <c r="AP123" s="1081">
        <f t="shared" si="66"/>
        <v>59.595292454881495</v>
      </c>
      <c r="AQ123" s="1081">
        <f t="shared" si="66"/>
        <v>59.287703848662751</v>
      </c>
      <c r="AR123" s="1081">
        <f t="shared" si="66"/>
        <v>58.980115242444008</v>
      </c>
      <c r="AS123" s="1081">
        <f t="shared" si="66"/>
        <v>58.672526636225271</v>
      </c>
      <c r="AT123" s="1081">
        <f t="shared" si="66"/>
        <v>58.364938030006527</v>
      </c>
      <c r="AU123" s="1081">
        <f t="shared" si="66"/>
        <v>58.057349423787784</v>
      </c>
      <c r="AV123" s="602"/>
      <c r="AW123" s="602"/>
      <c r="AX123" s="602"/>
      <c r="AY123" s="602"/>
      <c r="AZ123" s="602"/>
      <c r="BA123" s="602"/>
    </row>
    <row r="124" spans="2:68">
      <c r="B124" s="602"/>
      <c r="C124" s="602"/>
      <c r="D124" s="1077"/>
      <c r="E124" s="1077" t="s">
        <v>735</v>
      </c>
      <c r="F124" s="1079" t="s">
        <v>1619</v>
      </c>
      <c r="G124" s="1080">
        <f>G123</f>
        <v>76.2</v>
      </c>
      <c r="H124" s="1080">
        <f t="shared" ref="H124:AU124" si="67">H123</f>
        <v>106.1</v>
      </c>
      <c r="I124" s="1080">
        <f t="shared" si="67"/>
        <v>112.9</v>
      </c>
      <c r="J124" s="1080">
        <f t="shared" si="67"/>
        <v>100.3</v>
      </c>
      <c r="K124" s="1080">
        <f t="shared" si="67"/>
        <v>97.3</v>
      </c>
      <c r="L124" s="1080">
        <f t="shared" si="67"/>
        <v>62.7</v>
      </c>
      <c r="M124" s="1080">
        <f t="shared" si="67"/>
        <v>59.9</v>
      </c>
      <c r="N124" s="1080">
        <f t="shared" si="67"/>
        <v>63.9</v>
      </c>
      <c r="O124" s="1081">
        <f t="shared" si="67"/>
        <v>78.592912119302227</v>
      </c>
      <c r="P124" s="1081">
        <f t="shared" si="67"/>
        <v>72.66780821917807</v>
      </c>
      <c r="Q124" s="1081">
        <f t="shared" si="67"/>
        <v>71.191547947610658</v>
      </c>
      <c r="R124" s="1081">
        <f t="shared" si="67"/>
        <v>49.181117057429148</v>
      </c>
      <c r="S124" s="1081">
        <f t="shared" si="67"/>
        <v>52.581323432074825</v>
      </c>
      <c r="T124" s="1081">
        <f t="shared" si="67"/>
        <v>54.889966476332738</v>
      </c>
      <c r="U124" s="1081">
        <f t="shared" si="67"/>
        <v>56.568388062461416</v>
      </c>
      <c r="V124" s="1081">
        <f t="shared" si="67"/>
        <v>57.786429057350325</v>
      </c>
      <c r="W124" s="1081">
        <f t="shared" si="67"/>
        <v>59.146270171698553</v>
      </c>
      <c r="X124" s="1081">
        <f t="shared" si="67"/>
        <v>60.478046986869018</v>
      </c>
      <c r="Y124" s="1081">
        <f t="shared" si="67"/>
        <v>61.703174257304624</v>
      </c>
      <c r="Z124" s="1081">
        <f t="shared" si="67"/>
        <v>62.989602327697277</v>
      </c>
      <c r="AA124" s="1081">
        <f t="shared" si="67"/>
        <v>64.209121548162642</v>
      </c>
      <c r="AB124" s="1081">
        <f t="shared" si="67"/>
        <v>63.901532941943884</v>
      </c>
      <c r="AC124" s="1081">
        <f t="shared" si="67"/>
        <v>63.593944335725141</v>
      </c>
      <c r="AD124" s="1081">
        <f t="shared" si="67"/>
        <v>63.286355729506404</v>
      </c>
      <c r="AE124" s="1081">
        <f t="shared" si="67"/>
        <v>62.978767123287653</v>
      </c>
      <c r="AF124" s="1081">
        <f t="shared" si="67"/>
        <v>62.671178517068917</v>
      </c>
      <c r="AG124" s="1081">
        <f t="shared" si="67"/>
        <v>62.363589910850173</v>
      </c>
      <c r="AH124" s="1081">
        <f t="shared" si="67"/>
        <v>62.056001304631437</v>
      </c>
      <c r="AI124" s="1081">
        <f t="shared" si="67"/>
        <v>61.7484126984127</v>
      </c>
      <c r="AJ124" s="1081">
        <f t="shared" si="67"/>
        <v>61.440824092193949</v>
      </c>
      <c r="AK124" s="1081">
        <f t="shared" si="67"/>
        <v>61.133235485975206</v>
      </c>
      <c r="AL124" s="1081">
        <f t="shared" si="67"/>
        <v>60.825646879756469</v>
      </c>
      <c r="AM124" s="1081">
        <f t="shared" si="67"/>
        <v>60.518058273537719</v>
      </c>
      <c r="AN124" s="1081">
        <f t="shared" si="67"/>
        <v>60.210469667318975</v>
      </c>
      <c r="AO124" s="1081">
        <f t="shared" si="67"/>
        <v>59.902881061100238</v>
      </c>
      <c r="AP124" s="1081">
        <f t="shared" si="67"/>
        <v>59.595292454881495</v>
      </c>
      <c r="AQ124" s="1081">
        <f t="shared" si="67"/>
        <v>59.287703848662751</v>
      </c>
      <c r="AR124" s="1081">
        <f t="shared" si="67"/>
        <v>58.980115242444008</v>
      </c>
      <c r="AS124" s="1081">
        <f t="shared" si="67"/>
        <v>58.672526636225271</v>
      </c>
      <c r="AT124" s="1081">
        <f t="shared" si="67"/>
        <v>58.364938030006527</v>
      </c>
      <c r="AU124" s="1081">
        <f t="shared" si="67"/>
        <v>58.057349423787784</v>
      </c>
      <c r="AV124" s="602"/>
      <c r="AW124" s="602"/>
      <c r="AX124" s="602"/>
      <c r="AY124" s="602"/>
      <c r="AZ124" s="602"/>
      <c r="BA124" s="602"/>
    </row>
    <row r="125" spans="2:68">
      <c r="B125" s="602"/>
      <c r="C125" s="602"/>
      <c r="D125" s="1077"/>
      <c r="E125" s="1077" t="s">
        <v>76</v>
      </c>
      <c r="F125" s="1079" t="s">
        <v>1619</v>
      </c>
      <c r="G125" s="1080">
        <f>G219</f>
        <v>92.8</v>
      </c>
      <c r="H125" s="1080">
        <f t="shared" ref="H125:N125" si="68">H219</f>
        <v>122.9</v>
      </c>
      <c r="I125" s="1080">
        <f t="shared" si="68"/>
        <v>136.69999999999999</v>
      </c>
      <c r="J125" s="1080">
        <f t="shared" si="68"/>
        <v>122</v>
      </c>
      <c r="K125" s="1080">
        <f t="shared" si="68"/>
        <v>114.8</v>
      </c>
      <c r="L125" s="1080">
        <f t="shared" si="68"/>
        <v>78.2</v>
      </c>
      <c r="M125" s="1080">
        <f t="shared" si="68"/>
        <v>75.3</v>
      </c>
      <c r="N125" s="1080">
        <f t="shared" si="68"/>
        <v>79.400000000000006</v>
      </c>
      <c r="O125" s="1081">
        <f>VLOOKUP(O$121,$C$286:$O$318,8)</f>
        <v>102.40107579472352</v>
      </c>
      <c r="P125" s="1081">
        <f t="shared" ref="P125:AU125" si="69">VLOOKUP(P$121,$C$286:$O$318,8)</f>
        <v>97.746963615472367</v>
      </c>
      <c r="Q125" s="1081">
        <f t="shared" si="69"/>
        <v>96.267025086546809</v>
      </c>
      <c r="R125" s="1081">
        <f t="shared" si="69"/>
        <v>74.282939675183428</v>
      </c>
      <c r="S125" s="1081">
        <f t="shared" si="69"/>
        <v>77.691438545887451</v>
      </c>
      <c r="T125" s="1081">
        <f t="shared" si="69"/>
        <v>80.014522441042786</v>
      </c>
      <c r="U125" s="1081">
        <f t="shared" si="69"/>
        <v>81.712731586007934</v>
      </c>
      <c r="V125" s="1081">
        <f t="shared" si="69"/>
        <v>82.949209412536121</v>
      </c>
      <c r="W125" s="1081">
        <f t="shared" si="69"/>
        <v>84.314672750845261</v>
      </c>
      <c r="X125" s="1081">
        <f t="shared" si="69"/>
        <v>85.652811517689884</v>
      </c>
      <c r="Y125" s="1081">
        <f t="shared" si="69"/>
        <v>86.883932814730045</v>
      </c>
      <c r="Z125" s="1081">
        <f t="shared" si="69"/>
        <v>88.17668470166312</v>
      </c>
      <c r="AA125" s="1081">
        <f t="shared" si="69"/>
        <v>89.399874602600562</v>
      </c>
      <c r="AB125" s="1081">
        <f t="shared" si="69"/>
        <v>89.093730840397711</v>
      </c>
      <c r="AC125" s="1081">
        <f t="shared" si="69"/>
        <v>88.786854893898322</v>
      </c>
      <c r="AD125" s="1081">
        <f t="shared" si="69"/>
        <v>88.481245986171288</v>
      </c>
      <c r="AE125" s="1081">
        <f t="shared" si="69"/>
        <v>88.174869481157842</v>
      </c>
      <c r="AF125" s="1081">
        <f t="shared" si="69"/>
        <v>87.868589672609204</v>
      </c>
      <c r="AG125" s="1081">
        <f t="shared" si="69"/>
        <v>87.561383985383955</v>
      </c>
      <c r="AH125" s="1081">
        <f t="shared" si="69"/>
        <v>87.255260877276157</v>
      </c>
      <c r="AI125" s="1081">
        <f t="shared" si="69"/>
        <v>86.948407292957839</v>
      </c>
      <c r="AJ125" s="1081">
        <f t="shared" si="69"/>
        <v>86.642482546272987</v>
      </c>
      <c r="AK125" s="1081">
        <f t="shared" si="69"/>
        <v>86.336255922780509</v>
      </c>
      <c r="AL125" s="1081">
        <f t="shared" si="69"/>
        <v>86.030029803612607</v>
      </c>
      <c r="AM125" s="1081">
        <f t="shared" si="69"/>
        <v>85.726964003619855</v>
      </c>
      <c r="AN125" s="1081">
        <f t="shared" si="69"/>
        <v>85.423903946081424</v>
      </c>
      <c r="AO125" s="1081">
        <f t="shared" si="69"/>
        <v>85.120849638339479</v>
      </c>
      <c r="AP125" s="1081">
        <f t="shared" si="69"/>
        <v>84.817801087745465</v>
      </c>
      <c r="AQ125" s="1081">
        <f t="shared" si="69"/>
        <v>84.514758301660265</v>
      </c>
      <c r="AR125" s="1081">
        <f t="shared" si="69"/>
        <v>84.211721287454196</v>
      </c>
      <c r="AS125" s="1081">
        <f t="shared" si="69"/>
        <v>83.908690052506984</v>
      </c>
      <c r="AT125" s="1081">
        <f t="shared" si="69"/>
        <v>83.60566460420776</v>
      </c>
      <c r="AU125" s="1081">
        <f t="shared" si="69"/>
        <v>83.302644949955152</v>
      </c>
      <c r="AV125" s="602"/>
      <c r="AW125" s="602"/>
      <c r="AX125" s="602"/>
      <c r="AY125" s="602"/>
      <c r="AZ125" s="602"/>
      <c r="BA125" s="602"/>
    </row>
    <row r="126" spans="2:68">
      <c r="B126" s="602"/>
      <c r="C126" s="602"/>
      <c r="D126" s="1077"/>
      <c r="E126" s="1077" t="s">
        <v>590</v>
      </c>
      <c r="F126" s="1079" t="s">
        <v>1619</v>
      </c>
      <c r="G126" s="1080">
        <f t="shared" ref="G126:AU127" si="70">G125+$E$185</f>
        <v>191.9869989234187</v>
      </c>
      <c r="H126" s="1080">
        <f t="shared" si="70"/>
        <v>222.08699892341872</v>
      </c>
      <c r="I126" s="1080">
        <f t="shared" si="70"/>
        <v>235.88699892341867</v>
      </c>
      <c r="J126" s="1080">
        <f t="shared" si="70"/>
        <v>221.18699892341868</v>
      </c>
      <c r="K126" s="1080">
        <f t="shared" si="70"/>
        <v>213.9869989234187</v>
      </c>
      <c r="L126" s="1080">
        <f>L125+$E$185</f>
        <v>177.3869989234187</v>
      </c>
      <c r="M126" s="1080">
        <f t="shared" si="70"/>
        <v>174.4869989234187</v>
      </c>
      <c r="N126" s="1080">
        <f t="shared" si="70"/>
        <v>178.58699892341872</v>
      </c>
      <c r="O126" s="1081">
        <f t="shared" si="70"/>
        <v>201.58807471814222</v>
      </c>
      <c r="P126" s="1081">
        <f t="shared" si="70"/>
        <v>196.93396253889108</v>
      </c>
      <c r="Q126" s="1081">
        <f t="shared" si="70"/>
        <v>195.45402400996551</v>
      </c>
      <c r="R126" s="1081">
        <f t="shared" si="70"/>
        <v>173.46993859860214</v>
      </c>
      <c r="S126" s="1081">
        <f t="shared" si="70"/>
        <v>176.87843746930616</v>
      </c>
      <c r="T126" s="1081">
        <f t="shared" si="70"/>
        <v>179.20152136446148</v>
      </c>
      <c r="U126" s="1081">
        <f t="shared" si="70"/>
        <v>180.89973050942663</v>
      </c>
      <c r="V126" s="1081">
        <f t="shared" si="70"/>
        <v>182.13620833595482</v>
      </c>
      <c r="W126" s="1081">
        <f t="shared" si="70"/>
        <v>183.50167167426395</v>
      </c>
      <c r="X126" s="1081">
        <f t="shared" si="70"/>
        <v>184.83981044110857</v>
      </c>
      <c r="Y126" s="1081">
        <f t="shared" si="70"/>
        <v>186.07093173814874</v>
      </c>
      <c r="Z126" s="1081">
        <f t="shared" si="70"/>
        <v>187.36368362508182</v>
      </c>
      <c r="AA126" s="1081">
        <f t="shared" si="70"/>
        <v>188.58687352601925</v>
      </c>
      <c r="AB126" s="1081">
        <f t="shared" si="70"/>
        <v>188.2807297638164</v>
      </c>
      <c r="AC126" s="1081">
        <f t="shared" si="70"/>
        <v>187.97385381731704</v>
      </c>
      <c r="AD126" s="1081">
        <f t="shared" si="70"/>
        <v>187.66824490958999</v>
      </c>
      <c r="AE126" s="1081">
        <f t="shared" si="70"/>
        <v>187.36186840457654</v>
      </c>
      <c r="AF126" s="1081">
        <f t="shared" si="70"/>
        <v>187.05558859602792</v>
      </c>
      <c r="AG126" s="1081">
        <f t="shared" si="70"/>
        <v>186.74838290880265</v>
      </c>
      <c r="AH126" s="1081">
        <f t="shared" si="70"/>
        <v>186.44225980069484</v>
      </c>
      <c r="AI126" s="1081">
        <f t="shared" si="70"/>
        <v>186.13540621637654</v>
      </c>
      <c r="AJ126" s="1081">
        <f t="shared" si="70"/>
        <v>185.8294814696917</v>
      </c>
      <c r="AK126" s="1081">
        <f t="shared" si="70"/>
        <v>185.52325484619922</v>
      </c>
      <c r="AL126" s="1081">
        <f t="shared" si="70"/>
        <v>185.21702872703131</v>
      </c>
      <c r="AM126" s="1081">
        <f t="shared" si="70"/>
        <v>184.91396292703854</v>
      </c>
      <c r="AN126" s="1081">
        <f t="shared" si="70"/>
        <v>184.61090286950014</v>
      </c>
      <c r="AO126" s="1081">
        <f t="shared" si="70"/>
        <v>184.30784856175819</v>
      </c>
      <c r="AP126" s="1081">
        <f t="shared" si="70"/>
        <v>184.00480001116415</v>
      </c>
      <c r="AQ126" s="1081">
        <f t="shared" si="70"/>
        <v>183.70175722507895</v>
      </c>
      <c r="AR126" s="1081">
        <f t="shared" si="70"/>
        <v>183.39872021087291</v>
      </c>
      <c r="AS126" s="1081">
        <f t="shared" si="70"/>
        <v>183.09568897592567</v>
      </c>
      <c r="AT126" s="1081">
        <f t="shared" si="70"/>
        <v>182.79266352762647</v>
      </c>
      <c r="AU126" s="1081">
        <f t="shared" si="70"/>
        <v>182.48964387337384</v>
      </c>
      <c r="AV126" s="602"/>
      <c r="AW126" s="602"/>
      <c r="AX126" s="602"/>
      <c r="AY126" s="602"/>
      <c r="AZ126" s="602"/>
      <c r="BA126" s="602"/>
    </row>
    <row r="127" spans="2:68">
      <c r="B127" s="602"/>
      <c r="C127" s="602"/>
      <c r="D127" s="1077"/>
      <c r="E127" s="1077" t="s">
        <v>592</v>
      </c>
      <c r="F127" s="1079" t="s">
        <v>1619</v>
      </c>
      <c r="G127" s="1080">
        <f>G126*1.1</f>
        <v>211.18569881576059</v>
      </c>
      <c r="H127" s="1080">
        <f t="shared" si="70"/>
        <v>321.2739978468374</v>
      </c>
      <c r="I127" s="1080">
        <f t="shared" si="70"/>
        <v>335.07399784683736</v>
      </c>
      <c r="J127" s="1080">
        <f t="shared" si="70"/>
        <v>320.37399784683737</v>
      </c>
      <c r="K127" s="1080">
        <f t="shared" si="70"/>
        <v>313.17399784683738</v>
      </c>
      <c r="L127" s="1080">
        <f>L126+$E$185</f>
        <v>276.57399784683741</v>
      </c>
      <c r="M127" s="1080">
        <f t="shared" si="70"/>
        <v>273.67399784683738</v>
      </c>
      <c r="N127" s="1080">
        <f t="shared" si="70"/>
        <v>277.7739978468374</v>
      </c>
      <c r="O127" s="1081">
        <f t="shared" si="70"/>
        <v>300.77507364156094</v>
      </c>
      <c r="P127" s="1081">
        <f t="shared" si="70"/>
        <v>296.12096146230977</v>
      </c>
      <c r="Q127" s="1081">
        <f t="shared" si="70"/>
        <v>294.64102293338419</v>
      </c>
      <c r="R127" s="1081">
        <f t="shared" si="70"/>
        <v>272.65693752202083</v>
      </c>
      <c r="S127" s="1081">
        <f t="shared" si="70"/>
        <v>276.06543639272485</v>
      </c>
      <c r="T127" s="1081">
        <f t="shared" si="70"/>
        <v>278.38852028788017</v>
      </c>
      <c r="U127" s="1081">
        <f t="shared" si="70"/>
        <v>280.08672943284535</v>
      </c>
      <c r="V127" s="1081">
        <f t="shared" si="70"/>
        <v>281.32320725937353</v>
      </c>
      <c r="W127" s="1081">
        <f t="shared" si="70"/>
        <v>282.68867059768263</v>
      </c>
      <c r="X127" s="1081">
        <f t="shared" si="70"/>
        <v>284.02680936452725</v>
      </c>
      <c r="Y127" s="1081">
        <f t="shared" si="70"/>
        <v>285.25793066156746</v>
      </c>
      <c r="Z127" s="1081">
        <f t="shared" si="70"/>
        <v>286.5506825485005</v>
      </c>
      <c r="AA127" s="1081">
        <f t="shared" si="70"/>
        <v>287.77387244943793</v>
      </c>
      <c r="AB127" s="1081">
        <f t="shared" si="70"/>
        <v>287.46772868723508</v>
      </c>
      <c r="AC127" s="1081">
        <f t="shared" si="70"/>
        <v>287.16085274073572</v>
      </c>
      <c r="AD127" s="1081">
        <f t="shared" si="70"/>
        <v>286.85524383300867</v>
      </c>
      <c r="AE127" s="1081">
        <f t="shared" si="70"/>
        <v>286.54886732799525</v>
      </c>
      <c r="AF127" s="1081">
        <f t="shared" si="70"/>
        <v>286.2425875194466</v>
      </c>
      <c r="AG127" s="1081">
        <f t="shared" si="70"/>
        <v>285.93538183222137</v>
      </c>
      <c r="AH127" s="1081">
        <f t="shared" si="70"/>
        <v>285.62925872411353</v>
      </c>
      <c r="AI127" s="1081">
        <f t="shared" si="70"/>
        <v>285.32240513979525</v>
      </c>
      <c r="AJ127" s="1081">
        <f t="shared" si="70"/>
        <v>285.01648039311038</v>
      </c>
      <c r="AK127" s="1081">
        <f t="shared" si="70"/>
        <v>284.71025376961791</v>
      </c>
      <c r="AL127" s="1081">
        <f t="shared" si="70"/>
        <v>284.40402765045002</v>
      </c>
      <c r="AM127" s="1081">
        <f t="shared" si="70"/>
        <v>284.10096185045722</v>
      </c>
      <c r="AN127" s="1081">
        <f t="shared" si="70"/>
        <v>283.79790179291882</v>
      </c>
      <c r="AO127" s="1081">
        <f t="shared" si="70"/>
        <v>283.49484748517688</v>
      </c>
      <c r="AP127" s="1081">
        <f t="shared" si="70"/>
        <v>283.19179893458283</v>
      </c>
      <c r="AQ127" s="1081">
        <f t="shared" si="70"/>
        <v>282.88875614849763</v>
      </c>
      <c r="AR127" s="1081">
        <f t="shared" si="70"/>
        <v>282.58571913429159</v>
      </c>
      <c r="AS127" s="1081">
        <f t="shared" si="70"/>
        <v>282.28268789934435</v>
      </c>
      <c r="AT127" s="1081">
        <f t="shared" si="70"/>
        <v>281.97966245104516</v>
      </c>
      <c r="AU127" s="1081">
        <f t="shared" si="70"/>
        <v>281.67664279679252</v>
      </c>
      <c r="AV127" s="602"/>
      <c r="AW127" s="602"/>
      <c r="AX127" s="602"/>
      <c r="AY127" s="602"/>
      <c r="AZ127" s="602"/>
      <c r="BA127" s="602"/>
    </row>
    <row r="128" spans="2:68">
      <c r="B128" s="602"/>
      <c r="C128" s="602"/>
      <c r="D128" s="1077"/>
      <c r="E128" s="1077" t="s">
        <v>769</v>
      </c>
      <c r="F128" s="1079" t="s">
        <v>1619</v>
      </c>
      <c r="G128" s="1080">
        <f>G127*2</f>
        <v>422.37139763152118</v>
      </c>
      <c r="H128" s="1080">
        <f t="shared" ref="H128:AU128" si="71">H127*2</f>
        <v>642.54799569367481</v>
      </c>
      <c r="I128" s="1080">
        <f t="shared" si="71"/>
        <v>670.14799569367472</v>
      </c>
      <c r="J128" s="1080">
        <f t="shared" si="71"/>
        <v>640.74799569367474</v>
      </c>
      <c r="K128" s="1080">
        <f t="shared" si="71"/>
        <v>626.34799569367476</v>
      </c>
      <c r="L128" s="1080">
        <f>L127*2</f>
        <v>553.14799569367483</v>
      </c>
      <c r="M128" s="1080">
        <f t="shared" si="71"/>
        <v>547.34799569367476</v>
      </c>
      <c r="N128" s="1080">
        <f t="shared" si="71"/>
        <v>555.54799569367481</v>
      </c>
      <c r="O128" s="1081">
        <f>O127*2</f>
        <v>601.55014728312187</v>
      </c>
      <c r="P128" s="1081">
        <f t="shared" si="71"/>
        <v>592.24192292461953</v>
      </c>
      <c r="Q128" s="1081">
        <f t="shared" si="71"/>
        <v>589.28204586676839</v>
      </c>
      <c r="R128" s="1081">
        <f t="shared" si="71"/>
        <v>545.31387504404165</v>
      </c>
      <c r="S128" s="1081">
        <f t="shared" si="71"/>
        <v>552.1308727854497</v>
      </c>
      <c r="T128" s="1081">
        <f t="shared" si="71"/>
        <v>556.77704057576034</v>
      </c>
      <c r="U128" s="1081">
        <f t="shared" si="71"/>
        <v>560.17345886569069</v>
      </c>
      <c r="V128" s="1081">
        <f t="shared" si="71"/>
        <v>562.64641451874706</v>
      </c>
      <c r="W128" s="1081">
        <f t="shared" si="71"/>
        <v>565.37734119536526</v>
      </c>
      <c r="X128" s="1081">
        <f t="shared" si="71"/>
        <v>568.05361872905451</v>
      </c>
      <c r="Y128" s="1081">
        <f t="shared" si="71"/>
        <v>570.51586132313491</v>
      </c>
      <c r="Z128" s="1081">
        <f t="shared" si="71"/>
        <v>573.10136509700101</v>
      </c>
      <c r="AA128" s="1081">
        <f t="shared" si="71"/>
        <v>575.54774489887586</v>
      </c>
      <c r="AB128" s="1081">
        <f t="shared" si="71"/>
        <v>574.93545737447016</v>
      </c>
      <c r="AC128" s="1081">
        <f t="shared" si="71"/>
        <v>574.32170548147144</v>
      </c>
      <c r="AD128" s="1081">
        <f t="shared" si="71"/>
        <v>573.71048766601734</v>
      </c>
      <c r="AE128" s="1081">
        <f t="shared" si="71"/>
        <v>573.09773465599051</v>
      </c>
      <c r="AF128" s="1081">
        <f t="shared" si="71"/>
        <v>572.4851750388932</v>
      </c>
      <c r="AG128" s="1081">
        <f t="shared" si="71"/>
        <v>571.87076366444273</v>
      </c>
      <c r="AH128" s="1081">
        <f t="shared" si="71"/>
        <v>571.25851744822705</v>
      </c>
      <c r="AI128" s="1081">
        <f t="shared" si="71"/>
        <v>570.6448102795905</v>
      </c>
      <c r="AJ128" s="1081">
        <f t="shared" si="71"/>
        <v>570.03296078622077</v>
      </c>
      <c r="AK128" s="1081">
        <f t="shared" si="71"/>
        <v>569.42050753923581</v>
      </c>
      <c r="AL128" s="1081">
        <f t="shared" si="71"/>
        <v>568.80805530090004</v>
      </c>
      <c r="AM128" s="1081">
        <f t="shared" si="71"/>
        <v>568.20192370091445</v>
      </c>
      <c r="AN128" s="1081">
        <f t="shared" si="71"/>
        <v>567.59580358583764</v>
      </c>
      <c r="AO128" s="1081">
        <f t="shared" si="71"/>
        <v>566.98969497035375</v>
      </c>
      <c r="AP128" s="1081">
        <f t="shared" si="71"/>
        <v>566.38359786916567</v>
      </c>
      <c r="AQ128" s="1081">
        <f t="shared" si="71"/>
        <v>565.77751229699527</v>
      </c>
      <c r="AR128" s="1081">
        <f t="shared" si="71"/>
        <v>565.17143826858319</v>
      </c>
      <c r="AS128" s="1081">
        <f t="shared" si="71"/>
        <v>564.56537579868871</v>
      </c>
      <c r="AT128" s="1081">
        <f t="shared" si="71"/>
        <v>563.95932490209032</v>
      </c>
      <c r="AU128" s="1081">
        <f t="shared" si="71"/>
        <v>563.35328559358504</v>
      </c>
      <c r="AV128" s="602"/>
      <c r="AW128" s="602"/>
      <c r="AX128" s="602"/>
      <c r="AY128" s="602"/>
      <c r="AZ128" s="602"/>
      <c r="BA128" s="602"/>
    </row>
    <row r="129" spans="2:53">
      <c r="B129" s="602"/>
      <c r="C129" s="602"/>
      <c r="D129" s="1077"/>
      <c r="E129" s="1077" t="s">
        <v>45</v>
      </c>
      <c r="F129" s="1079" t="s">
        <v>1619</v>
      </c>
      <c r="G129" s="1080">
        <f>G220</f>
        <v>105.4</v>
      </c>
      <c r="H129" s="1080">
        <f t="shared" ref="H129:N129" si="72">H220</f>
        <v>117.4</v>
      </c>
      <c r="I129" s="1080">
        <f t="shared" si="72"/>
        <v>134.19999999999999</v>
      </c>
      <c r="J129" s="1080">
        <f t="shared" si="72"/>
        <v>123.2</v>
      </c>
      <c r="K129" s="1080">
        <f t="shared" si="72"/>
        <v>113.5</v>
      </c>
      <c r="L129" s="1080">
        <f>L220</f>
        <v>77</v>
      </c>
      <c r="M129" s="1080">
        <f t="shared" si="72"/>
        <v>74</v>
      </c>
      <c r="N129" s="1080">
        <f t="shared" si="72"/>
        <v>78.2</v>
      </c>
      <c r="O129" s="1081">
        <f>VLOOKUP(O$121,$C$286:$O$318,7)</f>
        <v>101.50107579472352</v>
      </c>
      <c r="P129" s="1081">
        <f t="shared" ref="P129:AU129" si="73">VLOOKUP(P$121,$C$286:$O$318,7)</f>
        <v>95.586963615472371</v>
      </c>
      <c r="Q129" s="1081">
        <f t="shared" si="73"/>
        <v>94.107025086546813</v>
      </c>
      <c r="R129" s="1081">
        <f t="shared" si="73"/>
        <v>72.122939675183432</v>
      </c>
      <c r="S129" s="1081">
        <f t="shared" si="73"/>
        <v>75.531438545887454</v>
      </c>
      <c r="T129" s="1081">
        <f t="shared" si="73"/>
        <v>77.854522441042789</v>
      </c>
      <c r="U129" s="1081">
        <f t="shared" si="73"/>
        <v>79.552731586007937</v>
      </c>
      <c r="V129" s="1081">
        <f t="shared" si="73"/>
        <v>80.789209412536124</v>
      </c>
      <c r="W129" s="1081">
        <f t="shared" si="73"/>
        <v>82.154672750845265</v>
      </c>
      <c r="X129" s="1081">
        <f t="shared" si="73"/>
        <v>83.492811517689887</v>
      </c>
      <c r="Y129" s="1081">
        <f t="shared" si="73"/>
        <v>84.723932814730048</v>
      </c>
      <c r="Z129" s="1081">
        <f t="shared" si="73"/>
        <v>86.016684701663124</v>
      </c>
      <c r="AA129" s="1081">
        <f t="shared" si="73"/>
        <v>87.239874602600565</v>
      </c>
      <c r="AB129" s="1081">
        <f t="shared" si="73"/>
        <v>86.933730840397715</v>
      </c>
      <c r="AC129" s="1081">
        <f t="shared" si="73"/>
        <v>86.626854893898326</v>
      </c>
      <c r="AD129" s="1081">
        <f t="shared" si="73"/>
        <v>86.321245986171292</v>
      </c>
      <c r="AE129" s="1081">
        <f t="shared" si="73"/>
        <v>86.014869481157845</v>
      </c>
      <c r="AF129" s="1081">
        <f t="shared" si="73"/>
        <v>85.708589672609207</v>
      </c>
      <c r="AG129" s="1081">
        <f t="shared" si="73"/>
        <v>85.401383985383958</v>
      </c>
      <c r="AH129" s="1081">
        <f t="shared" si="73"/>
        <v>85.095260877276161</v>
      </c>
      <c r="AI129" s="1081">
        <f t="shared" si="73"/>
        <v>84.788407292957842</v>
      </c>
      <c r="AJ129" s="1081">
        <f t="shared" si="73"/>
        <v>84.48248254627299</v>
      </c>
      <c r="AK129" s="1081">
        <f t="shared" si="73"/>
        <v>84.176255922780513</v>
      </c>
      <c r="AL129" s="1081">
        <f t="shared" si="73"/>
        <v>83.87002980361261</v>
      </c>
      <c r="AM129" s="1081">
        <f t="shared" si="73"/>
        <v>83.566964003619859</v>
      </c>
      <c r="AN129" s="1081">
        <f t="shared" si="73"/>
        <v>83.263903946081427</v>
      </c>
      <c r="AO129" s="1081">
        <f t="shared" si="73"/>
        <v>82.960849638339482</v>
      </c>
      <c r="AP129" s="1081">
        <f t="shared" si="73"/>
        <v>82.657801087745469</v>
      </c>
      <c r="AQ129" s="1081">
        <f t="shared" si="73"/>
        <v>82.354758301660269</v>
      </c>
      <c r="AR129" s="1081">
        <f t="shared" si="73"/>
        <v>82.0517212874542</v>
      </c>
      <c r="AS129" s="1081">
        <f t="shared" si="73"/>
        <v>81.748690052506987</v>
      </c>
      <c r="AT129" s="1081">
        <f t="shared" si="73"/>
        <v>81.445664604207764</v>
      </c>
      <c r="AU129" s="1081">
        <f t="shared" si="73"/>
        <v>81.142644949955155</v>
      </c>
      <c r="AV129" s="602"/>
      <c r="AW129" s="602"/>
      <c r="AX129" s="602"/>
      <c r="AY129" s="602"/>
      <c r="AZ129" s="602"/>
      <c r="BA129" s="602"/>
    </row>
    <row r="130" spans="2:53">
      <c r="B130" s="602"/>
      <c r="C130" s="602"/>
      <c r="D130" s="1077"/>
      <c r="E130" s="1077" t="s">
        <v>586</v>
      </c>
      <c r="F130" s="1079" t="s">
        <v>1619</v>
      </c>
      <c r="G130" s="1080">
        <f t="shared" ref="G130:AU131" si="74">G129+$E$184</f>
        <v>169.073753033598</v>
      </c>
      <c r="H130" s="1080">
        <f t="shared" si="74"/>
        <v>181.073753033598</v>
      </c>
      <c r="I130" s="1080">
        <f t="shared" si="74"/>
        <v>197.87375303359798</v>
      </c>
      <c r="J130" s="1080">
        <f t="shared" si="74"/>
        <v>186.87375303359801</v>
      </c>
      <c r="K130" s="1080">
        <f t="shared" si="74"/>
        <v>177.17375303359799</v>
      </c>
      <c r="L130" s="1080">
        <f t="shared" si="74"/>
        <v>140.67375303359799</v>
      </c>
      <c r="M130" s="1080">
        <f t="shared" si="74"/>
        <v>137.67375303359799</v>
      </c>
      <c r="N130" s="1080">
        <f t="shared" si="74"/>
        <v>141.87375303359801</v>
      </c>
      <c r="O130" s="1081">
        <f t="shared" si="74"/>
        <v>165.17482882832152</v>
      </c>
      <c r="P130" s="1081">
        <f t="shared" si="74"/>
        <v>159.26071664907036</v>
      </c>
      <c r="Q130" s="1081">
        <f t="shared" si="74"/>
        <v>157.78077812014482</v>
      </c>
      <c r="R130" s="1081">
        <f t="shared" si="74"/>
        <v>135.79669270878142</v>
      </c>
      <c r="S130" s="1081">
        <f t="shared" si="74"/>
        <v>139.20519157948544</v>
      </c>
      <c r="T130" s="1081">
        <f t="shared" si="74"/>
        <v>141.52827547464079</v>
      </c>
      <c r="U130" s="1081">
        <f t="shared" si="74"/>
        <v>143.22648461960594</v>
      </c>
      <c r="V130" s="1081">
        <f t="shared" si="74"/>
        <v>144.46296244613413</v>
      </c>
      <c r="W130" s="1081">
        <f t="shared" si="74"/>
        <v>145.82842578444325</v>
      </c>
      <c r="X130" s="1081">
        <f t="shared" si="74"/>
        <v>147.16656455128788</v>
      </c>
      <c r="Y130" s="1081">
        <f t="shared" si="74"/>
        <v>148.39768584832805</v>
      </c>
      <c r="Z130" s="1081">
        <f t="shared" si="74"/>
        <v>149.69043773526113</v>
      </c>
      <c r="AA130" s="1081">
        <f t="shared" si="74"/>
        <v>150.91362763619856</v>
      </c>
      <c r="AB130" s="1081">
        <f t="shared" si="74"/>
        <v>150.6074838739957</v>
      </c>
      <c r="AC130" s="1081">
        <f t="shared" si="74"/>
        <v>150.30060792749632</v>
      </c>
      <c r="AD130" s="1081">
        <f t="shared" si="74"/>
        <v>149.9949990197693</v>
      </c>
      <c r="AE130" s="1081">
        <f t="shared" si="74"/>
        <v>149.68862251475585</v>
      </c>
      <c r="AF130" s="1081">
        <f t="shared" si="74"/>
        <v>149.3823427062072</v>
      </c>
      <c r="AG130" s="1081">
        <f t="shared" si="74"/>
        <v>149.07513701898196</v>
      </c>
      <c r="AH130" s="1081">
        <f t="shared" si="74"/>
        <v>148.76901391087415</v>
      </c>
      <c r="AI130" s="1081">
        <f t="shared" si="74"/>
        <v>148.46216032655585</v>
      </c>
      <c r="AJ130" s="1081">
        <f t="shared" si="74"/>
        <v>148.15623557987098</v>
      </c>
      <c r="AK130" s="1081">
        <f t="shared" si="74"/>
        <v>147.8500089563785</v>
      </c>
      <c r="AL130" s="1081">
        <f t="shared" si="74"/>
        <v>147.54378283721061</v>
      </c>
      <c r="AM130" s="1081">
        <f t="shared" si="74"/>
        <v>147.24071703721785</v>
      </c>
      <c r="AN130" s="1081">
        <f t="shared" si="74"/>
        <v>146.93765697967942</v>
      </c>
      <c r="AO130" s="1081">
        <f t="shared" si="74"/>
        <v>146.63460267193747</v>
      </c>
      <c r="AP130" s="1081">
        <f t="shared" si="74"/>
        <v>146.33155412134346</v>
      </c>
      <c r="AQ130" s="1081">
        <f t="shared" si="74"/>
        <v>146.02851133525826</v>
      </c>
      <c r="AR130" s="1081">
        <f t="shared" si="74"/>
        <v>145.72547432105219</v>
      </c>
      <c r="AS130" s="1081">
        <f t="shared" si="74"/>
        <v>145.42244308610498</v>
      </c>
      <c r="AT130" s="1081">
        <f t="shared" si="74"/>
        <v>145.11941763780575</v>
      </c>
      <c r="AU130" s="1081">
        <f t="shared" si="74"/>
        <v>144.81639798355314</v>
      </c>
      <c r="AV130" s="602"/>
      <c r="AW130" s="602"/>
      <c r="AX130" s="602"/>
      <c r="AY130" s="602"/>
      <c r="AZ130" s="602"/>
      <c r="BA130" s="602"/>
    </row>
    <row r="131" spans="2:53">
      <c r="B131" s="602"/>
      <c r="C131" s="602"/>
      <c r="D131" s="1077"/>
      <c r="E131" s="1077" t="s">
        <v>588</v>
      </c>
      <c r="F131" s="1079" t="s">
        <v>1619</v>
      </c>
      <c r="G131" s="1080">
        <f>G130*1.1</f>
        <v>185.98112833695782</v>
      </c>
      <c r="H131" s="1080">
        <f t="shared" si="74"/>
        <v>244.74750606719599</v>
      </c>
      <c r="I131" s="1080">
        <f t="shared" si="74"/>
        <v>261.54750606719597</v>
      </c>
      <c r="J131" s="1080">
        <f t="shared" si="74"/>
        <v>250.547506067196</v>
      </c>
      <c r="K131" s="1080">
        <f t="shared" si="74"/>
        <v>240.84750606719598</v>
      </c>
      <c r="L131" s="1080">
        <f t="shared" si="74"/>
        <v>204.34750606719598</v>
      </c>
      <c r="M131" s="1080">
        <f t="shared" si="74"/>
        <v>201.34750606719598</v>
      </c>
      <c r="N131" s="1080">
        <f t="shared" si="74"/>
        <v>205.547506067196</v>
      </c>
      <c r="O131" s="1081">
        <f t="shared" si="74"/>
        <v>228.84858186191951</v>
      </c>
      <c r="P131" s="1081">
        <f t="shared" si="74"/>
        <v>222.93446968266835</v>
      </c>
      <c r="Q131" s="1081">
        <f t="shared" si="74"/>
        <v>221.45453115374281</v>
      </c>
      <c r="R131" s="1081">
        <f t="shared" si="74"/>
        <v>199.47044574237941</v>
      </c>
      <c r="S131" s="1081">
        <f t="shared" si="74"/>
        <v>202.87894461308343</v>
      </c>
      <c r="T131" s="1081">
        <f t="shared" si="74"/>
        <v>205.20202850823878</v>
      </c>
      <c r="U131" s="1081">
        <f t="shared" si="74"/>
        <v>206.90023765320393</v>
      </c>
      <c r="V131" s="1081">
        <f t="shared" si="74"/>
        <v>208.13671547973212</v>
      </c>
      <c r="W131" s="1081">
        <f t="shared" si="74"/>
        <v>209.50217881804124</v>
      </c>
      <c r="X131" s="1081">
        <f t="shared" si="74"/>
        <v>210.84031758488587</v>
      </c>
      <c r="Y131" s="1081">
        <f t="shared" si="74"/>
        <v>212.07143888192604</v>
      </c>
      <c r="Z131" s="1081">
        <f t="shared" si="74"/>
        <v>213.36419076885912</v>
      </c>
      <c r="AA131" s="1081">
        <f t="shared" si="74"/>
        <v>214.58738066979654</v>
      </c>
      <c r="AB131" s="1081">
        <f t="shared" si="74"/>
        <v>214.28123690759369</v>
      </c>
      <c r="AC131" s="1081">
        <f t="shared" si="74"/>
        <v>213.97436096109431</v>
      </c>
      <c r="AD131" s="1081">
        <f t="shared" si="74"/>
        <v>213.66875205336729</v>
      </c>
      <c r="AE131" s="1081">
        <f t="shared" si="74"/>
        <v>213.36237554835384</v>
      </c>
      <c r="AF131" s="1081">
        <f t="shared" si="74"/>
        <v>213.05609573980519</v>
      </c>
      <c r="AG131" s="1081">
        <f t="shared" si="74"/>
        <v>212.74889005257995</v>
      </c>
      <c r="AH131" s="1081">
        <f t="shared" si="74"/>
        <v>212.44276694447214</v>
      </c>
      <c r="AI131" s="1081">
        <f t="shared" si="74"/>
        <v>212.13591336015384</v>
      </c>
      <c r="AJ131" s="1081">
        <f t="shared" si="74"/>
        <v>211.82998861346897</v>
      </c>
      <c r="AK131" s="1081">
        <f t="shared" si="74"/>
        <v>211.52376198997649</v>
      </c>
      <c r="AL131" s="1081">
        <f t="shared" si="74"/>
        <v>211.2175358708086</v>
      </c>
      <c r="AM131" s="1081">
        <f t="shared" si="74"/>
        <v>210.91447007081584</v>
      </c>
      <c r="AN131" s="1081">
        <f t="shared" si="74"/>
        <v>210.61141001327741</v>
      </c>
      <c r="AO131" s="1081">
        <f t="shared" si="74"/>
        <v>210.30835570553546</v>
      </c>
      <c r="AP131" s="1081">
        <f t="shared" si="74"/>
        <v>210.00530715494145</v>
      </c>
      <c r="AQ131" s="1081">
        <f t="shared" si="74"/>
        <v>209.70226436885625</v>
      </c>
      <c r="AR131" s="1081">
        <f t="shared" si="74"/>
        <v>209.39922735465018</v>
      </c>
      <c r="AS131" s="1081">
        <f t="shared" si="74"/>
        <v>209.09619611970297</v>
      </c>
      <c r="AT131" s="1081">
        <f t="shared" si="74"/>
        <v>208.79317067140374</v>
      </c>
      <c r="AU131" s="1081">
        <f t="shared" si="74"/>
        <v>208.49015101715113</v>
      </c>
      <c r="AV131" s="602"/>
      <c r="AW131" s="602"/>
      <c r="AX131" s="602"/>
      <c r="AY131" s="602"/>
      <c r="AZ131" s="602"/>
      <c r="BA131" s="602"/>
    </row>
    <row r="132" spans="2:53">
      <c r="B132" s="602"/>
      <c r="C132" s="602"/>
      <c r="D132" s="1077"/>
      <c r="E132" s="1077" t="s">
        <v>692</v>
      </c>
      <c r="F132" s="1079" t="s">
        <v>1619</v>
      </c>
      <c r="G132" s="1080">
        <f>G131</f>
        <v>185.98112833695782</v>
      </c>
      <c r="H132" s="1080">
        <f t="shared" ref="H132:AU132" si="75">H131</f>
        <v>244.74750606719599</v>
      </c>
      <c r="I132" s="1080">
        <f t="shared" si="75"/>
        <v>261.54750606719597</v>
      </c>
      <c r="J132" s="1080">
        <f t="shared" si="75"/>
        <v>250.547506067196</v>
      </c>
      <c r="K132" s="1080">
        <f t="shared" si="75"/>
        <v>240.84750606719598</v>
      </c>
      <c r="L132" s="1080">
        <f t="shared" si="75"/>
        <v>204.34750606719598</v>
      </c>
      <c r="M132" s="1080">
        <f t="shared" si="75"/>
        <v>201.34750606719598</v>
      </c>
      <c r="N132" s="1080">
        <f t="shared" si="75"/>
        <v>205.547506067196</v>
      </c>
      <c r="O132" s="1081">
        <f t="shared" si="75"/>
        <v>228.84858186191951</v>
      </c>
      <c r="P132" s="1081">
        <f t="shared" si="75"/>
        <v>222.93446968266835</v>
      </c>
      <c r="Q132" s="1081">
        <f t="shared" si="75"/>
        <v>221.45453115374281</v>
      </c>
      <c r="R132" s="1081">
        <f t="shared" si="75"/>
        <v>199.47044574237941</v>
      </c>
      <c r="S132" s="1081">
        <f t="shared" si="75"/>
        <v>202.87894461308343</v>
      </c>
      <c r="T132" s="1081">
        <f t="shared" si="75"/>
        <v>205.20202850823878</v>
      </c>
      <c r="U132" s="1081">
        <f t="shared" si="75"/>
        <v>206.90023765320393</v>
      </c>
      <c r="V132" s="1081">
        <f t="shared" si="75"/>
        <v>208.13671547973212</v>
      </c>
      <c r="W132" s="1081">
        <f t="shared" si="75"/>
        <v>209.50217881804124</v>
      </c>
      <c r="X132" s="1081">
        <f t="shared" si="75"/>
        <v>210.84031758488587</v>
      </c>
      <c r="Y132" s="1081">
        <f t="shared" si="75"/>
        <v>212.07143888192604</v>
      </c>
      <c r="Z132" s="1081">
        <f t="shared" si="75"/>
        <v>213.36419076885912</v>
      </c>
      <c r="AA132" s="1081">
        <f t="shared" si="75"/>
        <v>214.58738066979654</v>
      </c>
      <c r="AB132" s="1081">
        <f t="shared" si="75"/>
        <v>214.28123690759369</v>
      </c>
      <c r="AC132" s="1081">
        <f t="shared" si="75"/>
        <v>213.97436096109431</v>
      </c>
      <c r="AD132" s="1081">
        <f t="shared" si="75"/>
        <v>213.66875205336729</v>
      </c>
      <c r="AE132" s="1081">
        <f t="shared" si="75"/>
        <v>213.36237554835384</v>
      </c>
      <c r="AF132" s="1081">
        <f t="shared" si="75"/>
        <v>213.05609573980519</v>
      </c>
      <c r="AG132" s="1081">
        <f t="shared" si="75"/>
        <v>212.74889005257995</v>
      </c>
      <c r="AH132" s="1081">
        <f t="shared" si="75"/>
        <v>212.44276694447214</v>
      </c>
      <c r="AI132" s="1081">
        <f t="shared" si="75"/>
        <v>212.13591336015384</v>
      </c>
      <c r="AJ132" s="1081">
        <f t="shared" si="75"/>
        <v>211.82998861346897</v>
      </c>
      <c r="AK132" s="1081">
        <f t="shared" si="75"/>
        <v>211.52376198997649</v>
      </c>
      <c r="AL132" s="1081">
        <f t="shared" si="75"/>
        <v>211.2175358708086</v>
      </c>
      <c r="AM132" s="1081">
        <f t="shared" si="75"/>
        <v>210.91447007081584</v>
      </c>
      <c r="AN132" s="1081">
        <f t="shared" si="75"/>
        <v>210.61141001327741</v>
      </c>
      <c r="AO132" s="1081">
        <f t="shared" si="75"/>
        <v>210.30835570553546</v>
      </c>
      <c r="AP132" s="1081">
        <f t="shared" si="75"/>
        <v>210.00530715494145</v>
      </c>
      <c r="AQ132" s="1081">
        <f t="shared" si="75"/>
        <v>209.70226436885625</v>
      </c>
      <c r="AR132" s="1081">
        <f t="shared" si="75"/>
        <v>209.39922735465018</v>
      </c>
      <c r="AS132" s="1081">
        <f t="shared" si="75"/>
        <v>209.09619611970297</v>
      </c>
      <c r="AT132" s="1081">
        <f t="shared" si="75"/>
        <v>208.79317067140374</v>
      </c>
      <c r="AU132" s="1081">
        <f t="shared" si="75"/>
        <v>208.49015101715113</v>
      </c>
      <c r="AV132" s="602"/>
      <c r="AW132" s="602"/>
      <c r="AX132" s="602"/>
      <c r="AY132" s="602"/>
      <c r="AZ132" s="602"/>
      <c r="BA132" s="602"/>
    </row>
    <row r="133" spans="2:53">
      <c r="B133" s="602"/>
      <c r="C133" s="602"/>
      <c r="D133" s="1077"/>
      <c r="E133" s="1077" t="s">
        <v>767</v>
      </c>
      <c r="F133" s="1079" t="s">
        <v>1619</v>
      </c>
      <c r="G133" s="1080">
        <f>G131*2</f>
        <v>371.96225667391565</v>
      </c>
      <c r="H133" s="1080">
        <f t="shared" ref="H133:AU133" si="76">H131*2</f>
        <v>489.49501213439197</v>
      </c>
      <c r="I133" s="1080">
        <f t="shared" si="76"/>
        <v>523.09501213439194</v>
      </c>
      <c r="J133" s="1080">
        <f t="shared" si="76"/>
        <v>501.09501213439199</v>
      </c>
      <c r="K133" s="1080">
        <f t="shared" si="76"/>
        <v>481.69501213439196</v>
      </c>
      <c r="L133" s="1080">
        <f t="shared" si="76"/>
        <v>408.69501213439196</v>
      </c>
      <c r="M133" s="1080">
        <f t="shared" si="76"/>
        <v>402.69501213439196</v>
      </c>
      <c r="N133" s="1080">
        <f t="shared" si="76"/>
        <v>411.09501213439199</v>
      </c>
      <c r="O133" s="1081">
        <f t="shared" si="76"/>
        <v>457.69716372383903</v>
      </c>
      <c r="P133" s="1081">
        <f t="shared" si="76"/>
        <v>445.8689393653367</v>
      </c>
      <c r="Q133" s="1081">
        <f t="shared" si="76"/>
        <v>442.90906230748561</v>
      </c>
      <c r="R133" s="1081">
        <f t="shared" si="76"/>
        <v>398.94089148475882</v>
      </c>
      <c r="S133" s="1081">
        <f t="shared" si="76"/>
        <v>405.75788922616687</v>
      </c>
      <c r="T133" s="1081">
        <f t="shared" si="76"/>
        <v>410.40405701647757</v>
      </c>
      <c r="U133" s="1081">
        <f t="shared" si="76"/>
        <v>413.80047530640786</v>
      </c>
      <c r="V133" s="1081">
        <f t="shared" si="76"/>
        <v>416.27343095946424</v>
      </c>
      <c r="W133" s="1081">
        <f t="shared" si="76"/>
        <v>419.00435763608249</v>
      </c>
      <c r="X133" s="1081">
        <f t="shared" si="76"/>
        <v>421.68063516977173</v>
      </c>
      <c r="Y133" s="1081">
        <f t="shared" si="76"/>
        <v>424.14287776385208</v>
      </c>
      <c r="Z133" s="1081">
        <f t="shared" si="76"/>
        <v>426.72838153771823</v>
      </c>
      <c r="AA133" s="1081">
        <f t="shared" si="76"/>
        <v>429.17476133959309</v>
      </c>
      <c r="AB133" s="1081">
        <f t="shared" si="76"/>
        <v>428.56247381518739</v>
      </c>
      <c r="AC133" s="1081">
        <f t="shared" si="76"/>
        <v>427.94872192218861</v>
      </c>
      <c r="AD133" s="1081">
        <f t="shared" si="76"/>
        <v>427.33750410673457</v>
      </c>
      <c r="AE133" s="1081">
        <f t="shared" si="76"/>
        <v>426.72475109670768</v>
      </c>
      <c r="AF133" s="1081">
        <f t="shared" si="76"/>
        <v>426.11219147961037</v>
      </c>
      <c r="AG133" s="1081">
        <f t="shared" si="76"/>
        <v>425.4977801051599</v>
      </c>
      <c r="AH133" s="1081">
        <f t="shared" si="76"/>
        <v>424.88553388894428</v>
      </c>
      <c r="AI133" s="1081">
        <f t="shared" si="76"/>
        <v>424.27182672030767</v>
      </c>
      <c r="AJ133" s="1081">
        <f t="shared" si="76"/>
        <v>423.65997722693794</v>
      </c>
      <c r="AK133" s="1081">
        <f t="shared" si="76"/>
        <v>423.04752397995298</v>
      </c>
      <c r="AL133" s="1081">
        <f t="shared" si="76"/>
        <v>422.43507174161721</v>
      </c>
      <c r="AM133" s="1081">
        <f t="shared" si="76"/>
        <v>421.82894014163168</v>
      </c>
      <c r="AN133" s="1081">
        <f t="shared" si="76"/>
        <v>421.22282002655481</v>
      </c>
      <c r="AO133" s="1081">
        <f t="shared" si="76"/>
        <v>420.61671141107092</v>
      </c>
      <c r="AP133" s="1081">
        <f t="shared" si="76"/>
        <v>420.0106143098829</v>
      </c>
      <c r="AQ133" s="1081">
        <f t="shared" si="76"/>
        <v>419.4045287377125</v>
      </c>
      <c r="AR133" s="1081">
        <f t="shared" si="76"/>
        <v>418.79845470930036</v>
      </c>
      <c r="AS133" s="1081">
        <f t="shared" si="76"/>
        <v>418.19239223940593</v>
      </c>
      <c r="AT133" s="1081">
        <f t="shared" si="76"/>
        <v>417.58634134280749</v>
      </c>
      <c r="AU133" s="1081">
        <f t="shared" si="76"/>
        <v>416.98030203430227</v>
      </c>
      <c r="AV133" s="602"/>
      <c r="AW133" s="602"/>
      <c r="AX133" s="602"/>
      <c r="AY133" s="602"/>
      <c r="AZ133" s="602"/>
      <c r="BA133" s="602"/>
    </row>
    <row r="134" spans="2:53">
      <c r="B134" s="602"/>
      <c r="C134" s="602"/>
      <c r="D134" s="1077"/>
      <c r="E134" s="1077" t="s">
        <v>79</v>
      </c>
      <c r="F134" s="1079" t="s">
        <v>1619</v>
      </c>
      <c r="G134" s="1080">
        <f>G221</f>
        <v>76.5</v>
      </c>
      <c r="H134" s="1080">
        <f t="shared" ref="H134:N134" si="77">H221</f>
        <v>112.4</v>
      </c>
      <c r="I134" s="1080">
        <f t="shared" si="77"/>
        <v>116.3</v>
      </c>
      <c r="J134" s="1080">
        <f t="shared" si="77"/>
        <v>118.6</v>
      </c>
      <c r="K134" s="1080">
        <f t="shared" si="77"/>
        <v>110.1</v>
      </c>
      <c r="L134" s="1080">
        <f t="shared" si="77"/>
        <v>73.5</v>
      </c>
      <c r="M134" s="1080">
        <f t="shared" si="77"/>
        <v>70.599999999999994</v>
      </c>
      <c r="N134" s="1080">
        <f t="shared" si="77"/>
        <v>74.7</v>
      </c>
      <c r="O134" s="1081">
        <f>VLOOKUP(O$121,$C$286:$O$318,9)</f>
        <v>99.501075794723519</v>
      </c>
      <c r="P134" s="1081">
        <f t="shared" ref="P134:AU134" si="78">VLOOKUP(P$121,$C$286:$O$318,9)</f>
        <v>92.996963615472367</v>
      </c>
      <c r="Q134" s="1081">
        <f t="shared" si="78"/>
        <v>91.517025086546809</v>
      </c>
      <c r="R134" s="1081">
        <f t="shared" si="78"/>
        <v>69.532939675183428</v>
      </c>
      <c r="S134" s="1081">
        <f t="shared" si="78"/>
        <v>72.941438545887451</v>
      </c>
      <c r="T134" s="1081">
        <f t="shared" si="78"/>
        <v>75.264522441042786</v>
      </c>
      <c r="U134" s="1081">
        <f t="shared" si="78"/>
        <v>76.962731586007934</v>
      </c>
      <c r="V134" s="1081">
        <f t="shared" si="78"/>
        <v>78.199209412536121</v>
      </c>
      <c r="W134" s="1081">
        <f t="shared" si="78"/>
        <v>79.564672750845261</v>
      </c>
      <c r="X134" s="1081">
        <f t="shared" si="78"/>
        <v>80.902811517689884</v>
      </c>
      <c r="Y134" s="1081">
        <f t="shared" si="78"/>
        <v>82.133932814730045</v>
      </c>
      <c r="Z134" s="1081">
        <f t="shared" si="78"/>
        <v>83.42668470166312</v>
      </c>
      <c r="AA134" s="1081">
        <f t="shared" si="78"/>
        <v>84.649874602600562</v>
      </c>
      <c r="AB134" s="1081">
        <f t="shared" si="78"/>
        <v>84.343730840397711</v>
      </c>
      <c r="AC134" s="1081">
        <f t="shared" si="78"/>
        <v>84.036854893898322</v>
      </c>
      <c r="AD134" s="1081">
        <f t="shared" si="78"/>
        <v>83.731245986171288</v>
      </c>
      <c r="AE134" s="1081">
        <f t="shared" si="78"/>
        <v>83.424869481157842</v>
      </c>
      <c r="AF134" s="1081">
        <f t="shared" si="78"/>
        <v>83.118589672609204</v>
      </c>
      <c r="AG134" s="1081">
        <f t="shared" si="78"/>
        <v>82.811383985383955</v>
      </c>
      <c r="AH134" s="1081">
        <f t="shared" si="78"/>
        <v>82.505260877276157</v>
      </c>
      <c r="AI134" s="1081">
        <f t="shared" si="78"/>
        <v>82.198407292957839</v>
      </c>
      <c r="AJ134" s="1081">
        <f t="shared" si="78"/>
        <v>81.892482546272987</v>
      </c>
      <c r="AK134" s="1081">
        <f t="shared" si="78"/>
        <v>81.586255922780509</v>
      </c>
      <c r="AL134" s="1081">
        <f t="shared" si="78"/>
        <v>81.280029803612607</v>
      </c>
      <c r="AM134" s="1081">
        <f t="shared" si="78"/>
        <v>80.976964003619855</v>
      </c>
      <c r="AN134" s="1081">
        <f t="shared" si="78"/>
        <v>80.673903946081424</v>
      </c>
      <c r="AO134" s="1081">
        <f t="shared" si="78"/>
        <v>80.370849638339479</v>
      </c>
      <c r="AP134" s="1081">
        <f t="shared" si="78"/>
        <v>80.067801087745465</v>
      </c>
      <c r="AQ134" s="1081">
        <f t="shared" si="78"/>
        <v>79.764758301660265</v>
      </c>
      <c r="AR134" s="1081">
        <f t="shared" si="78"/>
        <v>79.461721287454196</v>
      </c>
      <c r="AS134" s="1081">
        <f t="shared" si="78"/>
        <v>79.158690052506984</v>
      </c>
      <c r="AT134" s="1081">
        <f t="shared" si="78"/>
        <v>78.85566460420776</v>
      </c>
      <c r="AU134" s="1081">
        <f t="shared" si="78"/>
        <v>78.552644949955152</v>
      </c>
      <c r="AV134" s="602"/>
      <c r="AW134" s="602"/>
      <c r="AX134" s="602"/>
      <c r="AY134" s="602"/>
      <c r="AZ134" s="602"/>
      <c r="BA134" s="602"/>
    </row>
    <row r="135" spans="2:53">
      <c r="B135" s="602"/>
      <c r="C135" s="602"/>
      <c r="D135" s="1077"/>
      <c r="E135" s="1077" t="s">
        <v>578</v>
      </c>
      <c r="F135" s="1079" t="s">
        <v>1619</v>
      </c>
      <c r="G135" s="1080">
        <f t="shared" ref="G135:AU135" si="79">G134*$E$180</f>
        <v>229.5</v>
      </c>
      <c r="H135" s="1080">
        <f t="shared" si="79"/>
        <v>337.20000000000005</v>
      </c>
      <c r="I135" s="1080">
        <f t="shared" si="79"/>
        <v>348.9</v>
      </c>
      <c r="J135" s="1080">
        <f t="shared" si="79"/>
        <v>355.79999999999995</v>
      </c>
      <c r="K135" s="1080">
        <f t="shared" si="79"/>
        <v>330.29999999999995</v>
      </c>
      <c r="L135" s="1080">
        <f t="shared" si="79"/>
        <v>220.5</v>
      </c>
      <c r="M135" s="1080">
        <f t="shared" si="79"/>
        <v>211.79999999999998</v>
      </c>
      <c r="N135" s="1080">
        <f t="shared" si="79"/>
        <v>224.10000000000002</v>
      </c>
      <c r="O135" s="1081">
        <f t="shared" si="79"/>
        <v>298.50322738417054</v>
      </c>
      <c r="P135" s="1081">
        <f t="shared" si="79"/>
        <v>278.99089084641707</v>
      </c>
      <c r="Q135" s="1081">
        <f t="shared" si="79"/>
        <v>274.55107525964041</v>
      </c>
      <c r="R135" s="1081">
        <f t="shared" si="79"/>
        <v>208.59881902555028</v>
      </c>
      <c r="S135" s="1081">
        <f t="shared" si="79"/>
        <v>218.82431563766235</v>
      </c>
      <c r="T135" s="1081">
        <f t="shared" si="79"/>
        <v>225.79356732312834</v>
      </c>
      <c r="U135" s="1081">
        <f t="shared" si="79"/>
        <v>230.88819475802381</v>
      </c>
      <c r="V135" s="1081">
        <f t="shared" si="79"/>
        <v>234.59762823760838</v>
      </c>
      <c r="W135" s="1081">
        <f t="shared" si="79"/>
        <v>238.69401825253578</v>
      </c>
      <c r="X135" s="1081">
        <f t="shared" si="79"/>
        <v>242.70843455306965</v>
      </c>
      <c r="Y135" s="1081">
        <f t="shared" si="79"/>
        <v>246.40179844419015</v>
      </c>
      <c r="Z135" s="1081">
        <f t="shared" si="79"/>
        <v>250.28005410498935</v>
      </c>
      <c r="AA135" s="1081">
        <f t="shared" si="79"/>
        <v>253.94962380780169</v>
      </c>
      <c r="AB135" s="1081">
        <f t="shared" si="79"/>
        <v>253.03119252119313</v>
      </c>
      <c r="AC135" s="1081">
        <f t="shared" si="79"/>
        <v>252.11056468169497</v>
      </c>
      <c r="AD135" s="1081">
        <f t="shared" si="79"/>
        <v>251.19373795851385</v>
      </c>
      <c r="AE135" s="1081">
        <f t="shared" si="79"/>
        <v>250.27460844347354</v>
      </c>
      <c r="AF135" s="1081">
        <f t="shared" si="79"/>
        <v>249.35576901782761</v>
      </c>
      <c r="AG135" s="1081">
        <f t="shared" si="79"/>
        <v>248.43415195615188</v>
      </c>
      <c r="AH135" s="1081">
        <f t="shared" si="79"/>
        <v>247.51578263182847</v>
      </c>
      <c r="AI135" s="1081">
        <f t="shared" si="79"/>
        <v>246.59522187887353</v>
      </c>
      <c r="AJ135" s="1081">
        <f t="shared" si="79"/>
        <v>245.67744763881896</v>
      </c>
      <c r="AK135" s="1081">
        <f t="shared" si="79"/>
        <v>244.75876776834153</v>
      </c>
      <c r="AL135" s="1081">
        <f t="shared" si="79"/>
        <v>243.84008941083783</v>
      </c>
      <c r="AM135" s="1081">
        <f t="shared" si="79"/>
        <v>242.93089201085957</v>
      </c>
      <c r="AN135" s="1081">
        <f t="shared" si="79"/>
        <v>242.02171183824427</v>
      </c>
      <c r="AO135" s="1081">
        <f t="shared" si="79"/>
        <v>241.11254891501844</v>
      </c>
      <c r="AP135" s="1081">
        <f t="shared" si="79"/>
        <v>240.2034032632364</v>
      </c>
      <c r="AQ135" s="1081">
        <f t="shared" si="79"/>
        <v>239.2942749049808</v>
      </c>
      <c r="AR135" s="1081">
        <f t="shared" si="79"/>
        <v>238.38516386236259</v>
      </c>
      <c r="AS135" s="1081">
        <f t="shared" si="79"/>
        <v>237.47607015752095</v>
      </c>
      <c r="AT135" s="1081">
        <f t="shared" si="79"/>
        <v>236.56699381262328</v>
      </c>
      <c r="AU135" s="1081">
        <f t="shared" si="79"/>
        <v>235.65793484986546</v>
      </c>
      <c r="AV135" s="602"/>
      <c r="AW135" s="602"/>
      <c r="AX135" s="602"/>
      <c r="AY135" s="602"/>
      <c r="AZ135" s="602"/>
      <c r="BA135" s="602"/>
    </row>
    <row r="136" spans="2:53">
      <c r="B136" s="602"/>
      <c r="C136" s="602"/>
      <c r="D136" s="1077"/>
      <c r="E136" s="1077" t="s">
        <v>580</v>
      </c>
      <c r="F136" s="1079" t="s">
        <v>1619</v>
      </c>
      <c r="G136" s="1080">
        <f>G135*1.1</f>
        <v>252.45000000000002</v>
      </c>
      <c r="H136" s="1080">
        <f t="shared" ref="H136:AU136" si="80">H135+$E$184</f>
        <v>400.87375303359806</v>
      </c>
      <c r="I136" s="1080">
        <f t="shared" si="80"/>
        <v>412.573753033598</v>
      </c>
      <c r="J136" s="1080">
        <f t="shared" si="80"/>
        <v>419.47375303359797</v>
      </c>
      <c r="K136" s="1080">
        <f t="shared" si="80"/>
        <v>393.97375303359797</v>
      </c>
      <c r="L136" s="1080">
        <f t="shared" si="80"/>
        <v>284.17375303359802</v>
      </c>
      <c r="M136" s="1080">
        <f t="shared" si="80"/>
        <v>275.47375303359797</v>
      </c>
      <c r="N136" s="1080">
        <f t="shared" si="80"/>
        <v>287.77375303359804</v>
      </c>
      <c r="O136" s="1081">
        <f t="shared" si="80"/>
        <v>362.17698041776856</v>
      </c>
      <c r="P136" s="1081">
        <f t="shared" si="80"/>
        <v>342.66464388001509</v>
      </c>
      <c r="Q136" s="1081">
        <f t="shared" si="80"/>
        <v>338.22482829323843</v>
      </c>
      <c r="R136" s="1081">
        <f t="shared" si="80"/>
        <v>272.27257205914827</v>
      </c>
      <c r="S136" s="1081">
        <f t="shared" si="80"/>
        <v>282.49806867126034</v>
      </c>
      <c r="T136" s="1081">
        <f t="shared" si="80"/>
        <v>289.46732035672636</v>
      </c>
      <c r="U136" s="1081">
        <f t="shared" si="80"/>
        <v>294.56194779162183</v>
      </c>
      <c r="V136" s="1081">
        <f t="shared" si="80"/>
        <v>298.27138127120639</v>
      </c>
      <c r="W136" s="1081">
        <f t="shared" si="80"/>
        <v>302.3677712861338</v>
      </c>
      <c r="X136" s="1081">
        <f t="shared" si="80"/>
        <v>306.38218758666767</v>
      </c>
      <c r="Y136" s="1081">
        <f t="shared" si="80"/>
        <v>310.07555147778817</v>
      </c>
      <c r="Z136" s="1081">
        <f t="shared" si="80"/>
        <v>313.95380713858736</v>
      </c>
      <c r="AA136" s="1081">
        <f t="shared" si="80"/>
        <v>317.6233768413997</v>
      </c>
      <c r="AB136" s="1081">
        <f t="shared" si="80"/>
        <v>316.70494555479115</v>
      </c>
      <c r="AC136" s="1081">
        <f t="shared" si="80"/>
        <v>315.78431771529296</v>
      </c>
      <c r="AD136" s="1081">
        <f t="shared" si="80"/>
        <v>314.86749099211187</v>
      </c>
      <c r="AE136" s="1081">
        <f t="shared" si="80"/>
        <v>313.94836147707156</v>
      </c>
      <c r="AF136" s="1081">
        <f t="shared" si="80"/>
        <v>313.0295220514256</v>
      </c>
      <c r="AG136" s="1081">
        <f t="shared" si="80"/>
        <v>312.1079049897499</v>
      </c>
      <c r="AH136" s="1081">
        <f t="shared" si="80"/>
        <v>311.18953566542649</v>
      </c>
      <c r="AI136" s="1081">
        <f t="shared" si="80"/>
        <v>310.26897491247155</v>
      </c>
      <c r="AJ136" s="1081">
        <f t="shared" si="80"/>
        <v>309.35120067241695</v>
      </c>
      <c r="AK136" s="1081">
        <f t="shared" si="80"/>
        <v>308.43252080193952</v>
      </c>
      <c r="AL136" s="1081">
        <f t="shared" si="80"/>
        <v>307.51384244443585</v>
      </c>
      <c r="AM136" s="1081">
        <f t="shared" si="80"/>
        <v>306.60464504445758</v>
      </c>
      <c r="AN136" s="1081">
        <f t="shared" si="80"/>
        <v>305.69546487184226</v>
      </c>
      <c r="AO136" s="1081">
        <f t="shared" si="80"/>
        <v>304.78630194861643</v>
      </c>
      <c r="AP136" s="1081">
        <f t="shared" si="80"/>
        <v>303.87715629683441</v>
      </c>
      <c r="AQ136" s="1081">
        <f t="shared" si="80"/>
        <v>302.96802793857881</v>
      </c>
      <c r="AR136" s="1081">
        <f t="shared" si="80"/>
        <v>302.05891689596058</v>
      </c>
      <c r="AS136" s="1081">
        <f t="shared" si="80"/>
        <v>301.14982319111897</v>
      </c>
      <c r="AT136" s="1081">
        <f t="shared" si="80"/>
        <v>300.24074684622127</v>
      </c>
      <c r="AU136" s="1081">
        <f t="shared" si="80"/>
        <v>299.33168788346347</v>
      </c>
      <c r="AV136" s="602"/>
      <c r="AW136" s="602"/>
      <c r="AX136" s="602"/>
      <c r="AY136" s="602"/>
      <c r="AZ136" s="602"/>
      <c r="BA136" s="602"/>
    </row>
    <row r="137" spans="2:53">
      <c r="B137" s="602"/>
      <c r="C137" s="602"/>
      <c r="D137" s="1077"/>
      <c r="E137" s="1077" t="s">
        <v>764</v>
      </c>
      <c r="F137" s="1079" t="s">
        <v>1619</v>
      </c>
      <c r="G137" s="1080">
        <f>G136*2</f>
        <v>504.90000000000003</v>
      </c>
      <c r="H137" s="1080">
        <f t="shared" ref="H137:AU137" si="81">H136*2</f>
        <v>801.74750606719613</v>
      </c>
      <c r="I137" s="1080">
        <f t="shared" si="81"/>
        <v>825.14750606719599</v>
      </c>
      <c r="J137" s="1080">
        <f t="shared" si="81"/>
        <v>838.94750606719595</v>
      </c>
      <c r="K137" s="1080">
        <f t="shared" si="81"/>
        <v>787.94750606719595</v>
      </c>
      <c r="L137" s="1080">
        <f t="shared" si="81"/>
        <v>568.34750606719604</v>
      </c>
      <c r="M137" s="1080">
        <f t="shared" si="81"/>
        <v>550.94750606719595</v>
      </c>
      <c r="N137" s="1080">
        <f t="shared" si="81"/>
        <v>575.54750606719608</v>
      </c>
      <c r="O137" s="1081">
        <f t="shared" si="81"/>
        <v>724.35396083553712</v>
      </c>
      <c r="P137" s="1081">
        <f t="shared" si="81"/>
        <v>685.32928776003018</v>
      </c>
      <c r="Q137" s="1081">
        <f t="shared" si="81"/>
        <v>676.44965658647686</v>
      </c>
      <c r="R137" s="1081">
        <f t="shared" si="81"/>
        <v>544.54514411829655</v>
      </c>
      <c r="S137" s="1081">
        <f t="shared" si="81"/>
        <v>564.99613734252068</v>
      </c>
      <c r="T137" s="1081">
        <f t="shared" si="81"/>
        <v>578.93464071345272</v>
      </c>
      <c r="U137" s="1081">
        <f t="shared" si="81"/>
        <v>589.12389558324367</v>
      </c>
      <c r="V137" s="1081">
        <f t="shared" si="81"/>
        <v>596.54276254241279</v>
      </c>
      <c r="W137" s="1081">
        <f t="shared" si="81"/>
        <v>604.7355425722676</v>
      </c>
      <c r="X137" s="1081">
        <f t="shared" si="81"/>
        <v>612.76437517333534</v>
      </c>
      <c r="Y137" s="1081">
        <f t="shared" si="81"/>
        <v>620.15110295557633</v>
      </c>
      <c r="Z137" s="1081">
        <f t="shared" si="81"/>
        <v>627.90761427717473</v>
      </c>
      <c r="AA137" s="1081">
        <f t="shared" si="81"/>
        <v>635.24675368279941</v>
      </c>
      <c r="AB137" s="1081">
        <f t="shared" si="81"/>
        <v>633.4098911095823</v>
      </c>
      <c r="AC137" s="1081">
        <f t="shared" si="81"/>
        <v>631.56863543058591</v>
      </c>
      <c r="AD137" s="1081">
        <f t="shared" si="81"/>
        <v>629.73498198422374</v>
      </c>
      <c r="AE137" s="1081">
        <f t="shared" si="81"/>
        <v>627.89672295414312</v>
      </c>
      <c r="AF137" s="1081">
        <f t="shared" si="81"/>
        <v>626.0590441028512</v>
      </c>
      <c r="AG137" s="1081">
        <f t="shared" si="81"/>
        <v>624.2158099794998</v>
      </c>
      <c r="AH137" s="1081">
        <f t="shared" si="81"/>
        <v>622.37907133085298</v>
      </c>
      <c r="AI137" s="1081">
        <f t="shared" si="81"/>
        <v>620.5379498249431</v>
      </c>
      <c r="AJ137" s="1081">
        <f t="shared" si="81"/>
        <v>618.7024013448339</v>
      </c>
      <c r="AK137" s="1081">
        <f t="shared" si="81"/>
        <v>616.86504160387904</v>
      </c>
      <c r="AL137" s="1081">
        <f t="shared" si="81"/>
        <v>615.0276848888717</v>
      </c>
      <c r="AM137" s="1081">
        <f t="shared" si="81"/>
        <v>613.20929008891517</v>
      </c>
      <c r="AN137" s="1081">
        <f t="shared" si="81"/>
        <v>611.39092974368452</v>
      </c>
      <c r="AO137" s="1081">
        <f t="shared" si="81"/>
        <v>609.57260389723285</v>
      </c>
      <c r="AP137" s="1081">
        <f t="shared" si="81"/>
        <v>607.75431259366883</v>
      </c>
      <c r="AQ137" s="1081">
        <f t="shared" si="81"/>
        <v>605.93605587715763</v>
      </c>
      <c r="AR137" s="1081">
        <f t="shared" si="81"/>
        <v>604.11783379192116</v>
      </c>
      <c r="AS137" s="1081">
        <f t="shared" si="81"/>
        <v>602.29964638223794</v>
      </c>
      <c r="AT137" s="1081">
        <f t="shared" si="81"/>
        <v>600.48149369244254</v>
      </c>
      <c r="AU137" s="1081">
        <f t="shared" si="81"/>
        <v>598.66337576692695</v>
      </c>
      <c r="AV137" s="602"/>
      <c r="AW137" s="602"/>
      <c r="AX137" s="602"/>
      <c r="AY137" s="602"/>
      <c r="AZ137" s="602"/>
      <c r="BA137" s="602"/>
    </row>
    <row r="138" spans="2:53">
      <c r="B138" s="602"/>
      <c r="C138" s="602"/>
      <c r="D138" s="1077" t="s">
        <v>841</v>
      </c>
      <c r="E138" s="1077" t="s">
        <v>702</v>
      </c>
      <c r="F138" s="1046" t="str">
        <f>F134</f>
        <v>MKr19</v>
      </c>
      <c r="G138" s="1080">
        <f>G134</f>
        <v>76.5</v>
      </c>
      <c r="H138" s="1080">
        <f t="shared" ref="H138:AU138" si="82">H134</f>
        <v>112.4</v>
      </c>
      <c r="I138" s="1080">
        <f t="shared" si="82"/>
        <v>116.3</v>
      </c>
      <c r="J138" s="1080">
        <f t="shared" si="82"/>
        <v>118.6</v>
      </c>
      <c r="K138" s="1080">
        <f t="shared" si="82"/>
        <v>110.1</v>
      </c>
      <c r="L138" s="1080">
        <f t="shared" si="82"/>
        <v>73.5</v>
      </c>
      <c r="M138" s="1080">
        <f t="shared" si="82"/>
        <v>70.599999999999994</v>
      </c>
      <c r="N138" s="1080">
        <f t="shared" si="82"/>
        <v>74.7</v>
      </c>
      <c r="O138" s="1080">
        <f t="shared" si="82"/>
        <v>99.501075794723519</v>
      </c>
      <c r="P138" s="1080">
        <f t="shared" si="82"/>
        <v>92.996963615472367</v>
      </c>
      <c r="Q138" s="1080">
        <f t="shared" si="82"/>
        <v>91.517025086546809</v>
      </c>
      <c r="R138" s="1080">
        <f t="shared" si="82"/>
        <v>69.532939675183428</v>
      </c>
      <c r="S138" s="1080">
        <f t="shared" si="82"/>
        <v>72.941438545887451</v>
      </c>
      <c r="T138" s="1080">
        <f t="shared" si="82"/>
        <v>75.264522441042786</v>
      </c>
      <c r="U138" s="1080">
        <f t="shared" si="82"/>
        <v>76.962731586007934</v>
      </c>
      <c r="V138" s="1080">
        <f t="shared" si="82"/>
        <v>78.199209412536121</v>
      </c>
      <c r="W138" s="1080">
        <f t="shared" si="82"/>
        <v>79.564672750845261</v>
      </c>
      <c r="X138" s="1080">
        <f t="shared" si="82"/>
        <v>80.902811517689884</v>
      </c>
      <c r="Y138" s="1080">
        <f t="shared" si="82"/>
        <v>82.133932814730045</v>
      </c>
      <c r="Z138" s="1080">
        <f t="shared" si="82"/>
        <v>83.42668470166312</v>
      </c>
      <c r="AA138" s="1080">
        <f t="shared" si="82"/>
        <v>84.649874602600562</v>
      </c>
      <c r="AB138" s="1080">
        <f t="shared" si="82"/>
        <v>84.343730840397711</v>
      </c>
      <c r="AC138" s="1080">
        <f t="shared" si="82"/>
        <v>84.036854893898322</v>
      </c>
      <c r="AD138" s="1080">
        <f t="shared" si="82"/>
        <v>83.731245986171288</v>
      </c>
      <c r="AE138" s="1080">
        <f t="shared" si="82"/>
        <v>83.424869481157842</v>
      </c>
      <c r="AF138" s="1080">
        <f t="shared" si="82"/>
        <v>83.118589672609204</v>
      </c>
      <c r="AG138" s="1080">
        <f t="shared" si="82"/>
        <v>82.811383985383955</v>
      </c>
      <c r="AH138" s="1080">
        <f t="shared" si="82"/>
        <v>82.505260877276157</v>
      </c>
      <c r="AI138" s="1080">
        <f t="shared" si="82"/>
        <v>82.198407292957839</v>
      </c>
      <c r="AJ138" s="1080">
        <f t="shared" si="82"/>
        <v>81.892482546272987</v>
      </c>
      <c r="AK138" s="1080">
        <f t="shared" si="82"/>
        <v>81.586255922780509</v>
      </c>
      <c r="AL138" s="1080">
        <f t="shared" si="82"/>
        <v>81.280029803612607</v>
      </c>
      <c r="AM138" s="1080">
        <f t="shared" si="82"/>
        <v>80.976964003619855</v>
      </c>
      <c r="AN138" s="1080">
        <f t="shared" si="82"/>
        <v>80.673903946081424</v>
      </c>
      <c r="AO138" s="1080">
        <f t="shared" si="82"/>
        <v>80.370849638339479</v>
      </c>
      <c r="AP138" s="1080">
        <f t="shared" si="82"/>
        <v>80.067801087745465</v>
      </c>
      <c r="AQ138" s="1080">
        <f t="shared" si="82"/>
        <v>79.764758301660265</v>
      </c>
      <c r="AR138" s="1080">
        <f t="shared" si="82"/>
        <v>79.461721287454196</v>
      </c>
      <c r="AS138" s="1080">
        <f t="shared" si="82"/>
        <v>79.158690052506984</v>
      </c>
      <c r="AT138" s="1080">
        <f t="shared" si="82"/>
        <v>78.85566460420776</v>
      </c>
      <c r="AU138" s="1080">
        <f t="shared" si="82"/>
        <v>78.552644949955152</v>
      </c>
      <c r="AV138" s="602"/>
      <c r="AW138" s="602"/>
      <c r="AX138" s="602"/>
      <c r="AY138" s="602"/>
      <c r="AZ138" s="602"/>
      <c r="BA138" s="602"/>
    </row>
    <row r="139" spans="2:53">
      <c r="B139" s="602"/>
      <c r="C139" s="602"/>
      <c r="D139" s="1077"/>
      <c r="E139" s="1077" t="s">
        <v>44</v>
      </c>
      <c r="F139" s="1079" t="s">
        <v>1619</v>
      </c>
      <c r="G139" s="1080">
        <f t="shared" ref="G139:N139" si="83">G224</f>
        <v>68.2</v>
      </c>
      <c r="H139" s="1080">
        <f t="shared" si="83"/>
        <v>102</v>
      </c>
      <c r="I139" s="1080">
        <f t="shared" si="83"/>
        <v>96.2</v>
      </c>
      <c r="J139" s="1080">
        <f t="shared" si="83"/>
        <v>91.7</v>
      </c>
      <c r="K139" s="1080">
        <f t="shared" si="83"/>
        <v>84</v>
      </c>
      <c r="L139" s="1080">
        <f t="shared" si="83"/>
        <v>47.5</v>
      </c>
      <c r="M139" s="1080">
        <f t="shared" si="83"/>
        <v>44.5</v>
      </c>
      <c r="N139" s="1080">
        <f t="shared" si="83"/>
        <v>48.7</v>
      </c>
      <c r="O139" s="1081">
        <f>VLOOKUP(O$121,$C$286:$O$318,5)</f>
        <v>67.735141438725293</v>
      </c>
      <c r="P139" s="1081">
        <f t="shared" ref="P139:AU139" si="84">VLOOKUP(P$121,$C$286:$O$318,5)</f>
        <v>61.821029259474152</v>
      </c>
      <c r="Q139" s="1081">
        <f t="shared" si="84"/>
        <v>60.341090730548601</v>
      </c>
      <c r="R139" s="1081">
        <f t="shared" si="84"/>
        <v>38.35700531918522</v>
      </c>
      <c r="S139" s="1081">
        <f t="shared" si="84"/>
        <v>41.765504189889249</v>
      </c>
      <c r="T139" s="1081">
        <f t="shared" si="84"/>
        <v>44.088588085044584</v>
      </c>
      <c r="U139" s="1081">
        <f t="shared" si="84"/>
        <v>45.786797230009718</v>
      </c>
      <c r="V139" s="1081">
        <f t="shared" si="84"/>
        <v>47.023275056537912</v>
      </c>
      <c r="W139" s="1081">
        <f t="shared" si="84"/>
        <v>48.388738394847046</v>
      </c>
      <c r="X139" s="1081">
        <f t="shared" si="84"/>
        <v>49.726877161691675</v>
      </c>
      <c r="Y139" s="1081">
        <f t="shared" si="84"/>
        <v>50.957998458731836</v>
      </c>
      <c r="Z139" s="1081">
        <f t="shared" si="84"/>
        <v>52.250750345664912</v>
      </c>
      <c r="AA139" s="1081">
        <f t="shared" si="84"/>
        <v>53.473940246602353</v>
      </c>
      <c r="AB139" s="1081">
        <f t="shared" si="84"/>
        <v>53.16779648439951</v>
      </c>
      <c r="AC139" s="1081">
        <f t="shared" si="84"/>
        <v>52.860920537900107</v>
      </c>
      <c r="AD139" s="1081">
        <f t="shared" si="84"/>
        <v>52.55531163017308</v>
      </c>
      <c r="AE139" s="1081">
        <f t="shared" si="84"/>
        <v>52.248935125159633</v>
      </c>
      <c r="AF139" s="1081">
        <f t="shared" si="84"/>
        <v>51.942655316610988</v>
      </c>
      <c r="AG139" s="1081">
        <f t="shared" si="84"/>
        <v>51.635449629385747</v>
      </c>
      <c r="AH139" s="1081">
        <f t="shared" si="84"/>
        <v>51.329326521277956</v>
      </c>
      <c r="AI139" s="1081">
        <f t="shared" si="84"/>
        <v>51.022472936959623</v>
      </c>
      <c r="AJ139" s="1081">
        <f t="shared" si="84"/>
        <v>50.716548190274779</v>
      </c>
      <c r="AK139" s="1081">
        <f t="shared" si="84"/>
        <v>50.410321566782294</v>
      </c>
      <c r="AL139" s="1081">
        <f t="shared" si="84"/>
        <v>50.104095447614391</v>
      </c>
      <c r="AM139" s="1081">
        <f t="shared" si="84"/>
        <v>49.801029647621633</v>
      </c>
      <c r="AN139" s="1081">
        <f t="shared" si="84"/>
        <v>49.497969590083216</v>
      </c>
      <c r="AO139" s="1081">
        <f t="shared" si="84"/>
        <v>49.19491528234127</v>
      </c>
      <c r="AP139" s="1081">
        <f t="shared" si="84"/>
        <v>48.89186673174725</v>
      </c>
      <c r="AQ139" s="1081">
        <f t="shared" si="84"/>
        <v>48.588823945662064</v>
      </c>
      <c r="AR139" s="1081">
        <f t="shared" si="84"/>
        <v>48.285786931455988</v>
      </c>
      <c r="AS139" s="1081">
        <f t="shared" si="84"/>
        <v>47.982755696508768</v>
      </c>
      <c r="AT139" s="1081">
        <f t="shared" si="84"/>
        <v>47.679730248209545</v>
      </c>
      <c r="AU139" s="1081">
        <f t="shared" si="84"/>
        <v>47.376710593956936</v>
      </c>
      <c r="AV139" s="602"/>
      <c r="AW139" s="602"/>
      <c r="AX139" s="602"/>
      <c r="AY139" s="602"/>
      <c r="AZ139" s="602"/>
      <c r="BA139" s="602"/>
    </row>
    <row r="140" spans="2:53">
      <c r="B140" s="602"/>
      <c r="C140" s="602"/>
      <c r="D140" s="1077" t="s">
        <v>850</v>
      </c>
      <c r="E140" s="1077" t="s">
        <v>747</v>
      </c>
      <c r="F140" s="1046" t="str">
        <f>F139</f>
        <v>MKr19</v>
      </c>
      <c r="G140" s="1080">
        <f>G139+$E$184</f>
        <v>131.87375303359801</v>
      </c>
      <c r="H140" s="1080">
        <f t="shared" ref="H140:AU140" si="85">H139+$E$184</f>
        <v>165.67375303359799</v>
      </c>
      <c r="I140" s="1080">
        <f t="shared" si="85"/>
        <v>159.87375303359801</v>
      </c>
      <c r="J140" s="1080">
        <f t="shared" si="85"/>
        <v>155.37375303359801</v>
      </c>
      <c r="K140" s="1080">
        <f t="shared" si="85"/>
        <v>147.67375303359799</v>
      </c>
      <c r="L140" s="1080">
        <f t="shared" si="85"/>
        <v>111.17375303359799</v>
      </c>
      <c r="M140" s="1080">
        <f t="shared" si="85"/>
        <v>108.17375303359799</v>
      </c>
      <c r="N140" s="1080">
        <f t="shared" si="85"/>
        <v>112.37375303359801</v>
      </c>
      <c r="O140" s="1080">
        <f t="shared" si="85"/>
        <v>131.40889447232328</v>
      </c>
      <c r="P140" s="1080">
        <f t="shared" si="85"/>
        <v>125.49478229307215</v>
      </c>
      <c r="Q140" s="1080">
        <f t="shared" si="85"/>
        <v>124.0148437641466</v>
      </c>
      <c r="R140" s="1080">
        <f t="shared" si="85"/>
        <v>102.03075835278321</v>
      </c>
      <c r="S140" s="1080">
        <f t="shared" si="85"/>
        <v>105.43925722348725</v>
      </c>
      <c r="T140" s="1080">
        <f t="shared" si="85"/>
        <v>107.76234111864258</v>
      </c>
      <c r="U140" s="1080">
        <f t="shared" si="85"/>
        <v>109.46055026360771</v>
      </c>
      <c r="V140" s="1080">
        <f t="shared" si="85"/>
        <v>110.69702809013592</v>
      </c>
      <c r="W140" s="1080">
        <f t="shared" si="85"/>
        <v>112.06249142844504</v>
      </c>
      <c r="X140" s="1080">
        <f t="shared" si="85"/>
        <v>113.40063019528966</v>
      </c>
      <c r="Y140" s="1080">
        <f t="shared" si="85"/>
        <v>114.63175149232984</v>
      </c>
      <c r="Z140" s="1080">
        <f t="shared" si="85"/>
        <v>115.92450337926292</v>
      </c>
      <c r="AA140" s="1080">
        <f t="shared" si="85"/>
        <v>117.14769328020034</v>
      </c>
      <c r="AB140" s="1080">
        <f t="shared" si="85"/>
        <v>116.84154951799751</v>
      </c>
      <c r="AC140" s="1080">
        <f t="shared" si="85"/>
        <v>116.5346735714981</v>
      </c>
      <c r="AD140" s="1080">
        <f t="shared" si="85"/>
        <v>116.22906466377108</v>
      </c>
      <c r="AE140" s="1080">
        <f t="shared" si="85"/>
        <v>115.92268815875764</v>
      </c>
      <c r="AF140" s="1080">
        <f t="shared" si="85"/>
        <v>115.61640835020899</v>
      </c>
      <c r="AG140" s="1080">
        <f t="shared" si="85"/>
        <v>115.30920266298375</v>
      </c>
      <c r="AH140" s="1080">
        <f t="shared" si="85"/>
        <v>115.00307955487595</v>
      </c>
      <c r="AI140" s="1080">
        <f t="shared" si="85"/>
        <v>114.69622597055762</v>
      </c>
      <c r="AJ140" s="1080">
        <f t="shared" si="85"/>
        <v>114.39030122387277</v>
      </c>
      <c r="AK140" s="1080">
        <f t="shared" si="85"/>
        <v>114.08407460038029</v>
      </c>
      <c r="AL140" s="1080">
        <f t="shared" si="85"/>
        <v>113.77784848121239</v>
      </c>
      <c r="AM140" s="1080">
        <f t="shared" si="85"/>
        <v>113.47478268121964</v>
      </c>
      <c r="AN140" s="1080">
        <f t="shared" si="85"/>
        <v>113.17172262368121</v>
      </c>
      <c r="AO140" s="1080">
        <f t="shared" si="85"/>
        <v>112.86866831593926</v>
      </c>
      <c r="AP140" s="1080">
        <f t="shared" si="85"/>
        <v>112.56561976534525</v>
      </c>
      <c r="AQ140" s="1080">
        <f t="shared" si="85"/>
        <v>112.26257697926006</v>
      </c>
      <c r="AR140" s="1080">
        <f t="shared" si="85"/>
        <v>111.95953996505398</v>
      </c>
      <c r="AS140" s="1080">
        <f t="shared" si="85"/>
        <v>111.65650873010676</v>
      </c>
      <c r="AT140" s="1080">
        <f t="shared" si="85"/>
        <v>111.35348328180754</v>
      </c>
      <c r="AU140" s="1080">
        <f t="shared" si="85"/>
        <v>111.05046362755493</v>
      </c>
      <c r="AV140" s="602"/>
      <c r="AW140" s="602"/>
      <c r="AX140" s="602"/>
      <c r="AY140" s="602"/>
      <c r="AZ140" s="602"/>
      <c r="BA140" s="602"/>
    </row>
    <row r="141" spans="2:53">
      <c r="B141" s="602"/>
      <c r="C141" s="602"/>
      <c r="D141" s="1077"/>
      <c r="E141" s="1077" t="s">
        <v>761</v>
      </c>
      <c r="F141" s="1046" t="str">
        <f>F140</f>
        <v>MKr19</v>
      </c>
      <c r="G141" s="1080">
        <f>G140*2</f>
        <v>263.74750606719601</v>
      </c>
      <c r="H141" s="1080">
        <f t="shared" ref="H141:AU141" si="86">H140*2</f>
        <v>331.34750606719598</v>
      </c>
      <c r="I141" s="1080">
        <f t="shared" si="86"/>
        <v>319.74750606719601</v>
      </c>
      <c r="J141" s="1080">
        <f t="shared" si="86"/>
        <v>310.74750606719601</v>
      </c>
      <c r="K141" s="1080">
        <f t="shared" si="86"/>
        <v>295.34750606719598</v>
      </c>
      <c r="L141" s="1080">
        <f t="shared" si="86"/>
        <v>222.34750606719598</v>
      </c>
      <c r="M141" s="1080">
        <f t="shared" si="86"/>
        <v>216.34750606719598</v>
      </c>
      <c r="N141" s="1080">
        <f t="shared" si="86"/>
        <v>224.74750606719601</v>
      </c>
      <c r="O141" s="1080">
        <f t="shared" si="86"/>
        <v>262.81778894464657</v>
      </c>
      <c r="P141" s="1080">
        <f t="shared" si="86"/>
        <v>250.9895645861443</v>
      </c>
      <c r="Q141" s="1080">
        <f t="shared" si="86"/>
        <v>248.02968752829321</v>
      </c>
      <c r="R141" s="1080">
        <f t="shared" si="86"/>
        <v>204.06151670556642</v>
      </c>
      <c r="S141" s="1080">
        <f t="shared" si="86"/>
        <v>210.87851444697449</v>
      </c>
      <c r="T141" s="1080">
        <f t="shared" si="86"/>
        <v>215.52468223728516</v>
      </c>
      <c r="U141" s="1080">
        <f t="shared" si="86"/>
        <v>218.92110052721543</v>
      </c>
      <c r="V141" s="1080">
        <f t="shared" si="86"/>
        <v>221.39405618027183</v>
      </c>
      <c r="W141" s="1080">
        <f t="shared" si="86"/>
        <v>224.12498285689009</v>
      </c>
      <c r="X141" s="1080">
        <f t="shared" si="86"/>
        <v>226.80126039057933</v>
      </c>
      <c r="Y141" s="1080">
        <f t="shared" si="86"/>
        <v>229.26350298465968</v>
      </c>
      <c r="Z141" s="1080">
        <f t="shared" si="86"/>
        <v>231.84900675852583</v>
      </c>
      <c r="AA141" s="1080">
        <f t="shared" si="86"/>
        <v>234.29538656040069</v>
      </c>
      <c r="AB141" s="1080">
        <f t="shared" si="86"/>
        <v>233.68309903599501</v>
      </c>
      <c r="AC141" s="1080">
        <f t="shared" si="86"/>
        <v>233.06934714299621</v>
      </c>
      <c r="AD141" s="1080">
        <f t="shared" si="86"/>
        <v>232.45812932754217</v>
      </c>
      <c r="AE141" s="1080">
        <f t="shared" si="86"/>
        <v>231.84537631751527</v>
      </c>
      <c r="AF141" s="1080">
        <f t="shared" si="86"/>
        <v>231.23281670041797</v>
      </c>
      <c r="AG141" s="1080">
        <f t="shared" si="86"/>
        <v>230.6184053259675</v>
      </c>
      <c r="AH141" s="1080">
        <f t="shared" si="86"/>
        <v>230.00615910975191</v>
      </c>
      <c r="AI141" s="1080">
        <f t="shared" si="86"/>
        <v>229.39245194111524</v>
      </c>
      <c r="AJ141" s="1080">
        <f t="shared" si="86"/>
        <v>228.78060244774554</v>
      </c>
      <c r="AK141" s="1080">
        <f t="shared" si="86"/>
        <v>228.16814920076058</v>
      </c>
      <c r="AL141" s="1080">
        <f t="shared" si="86"/>
        <v>227.55569696242478</v>
      </c>
      <c r="AM141" s="1080">
        <f t="shared" si="86"/>
        <v>226.94956536243927</v>
      </c>
      <c r="AN141" s="1080">
        <f t="shared" si="86"/>
        <v>226.34344524736241</v>
      </c>
      <c r="AO141" s="1080">
        <f t="shared" si="86"/>
        <v>225.73733663187852</v>
      </c>
      <c r="AP141" s="1080">
        <f t="shared" si="86"/>
        <v>225.13123953069049</v>
      </c>
      <c r="AQ141" s="1080">
        <f t="shared" si="86"/>
        <v>224.52515395852012</v>
      </c>
      <c r="AR141" s="1080">
        <f t="shared" si="86"/>
        <v>223.91907993010796</v>
      </c>
      <c r="AS141" s="1080">
        <f t="shared" si="86"/>
        <v>223.31301746021353</v>
      </c>
      <c r="AT141" s="1080">
        <f t="shared" si="86"/>
        <v>222.70696656361508</v>
      </c>
      <c r="AU141" s="1080">
        <f t="shared" si="86"/>
        <v>222.10092725510987</v>
      </c>
      <c r="AV141" s="602"/>
      <c r="AW141" s="602"/>
      <c r="AX141" s="602"/>
      <c r="AY141" s="602"/>
      <c r="AZ141" s="602"/>
      <c r="BA141" s="602"/>
    </row>
    <row r="142" spans="2:53">
      <c r="B142" s="602"/>
      <c r="C142" s="602"/>
      <c r="D142" s="1077"/>
      <c r="E142" s="1077" t="s">
        <v>759</v>
      </c>
      <c r="F142" s="1046" t="str">
        <f>F140</f>
        <v>MKr19</v>
      </c>
      <c r="G142" s="1080">
        <f t="shared" ref="G142:N142" si="87">G139</f>
        <v>68.2</v>
      </c>
      <c r="H142" s="1080">
        <f t="shared" si="87"/>
        <v>102</v>
      </c>
      <c r="I142" s="1080">
        <f t="shared" si="87"/>
        <v>96.2</v>
      </c>
      <c r="J142" s="1080">
        <f t="shared" si="87"/>
        <v>91.7</v>
      </c>
      <c r="K142" s="1080">
        <f t="shared" si="87"/>
        <v>84</v>
      </c>
      <c r="L142" s="1080">
        <f t="shared" si="87"/>
        <v>47.5</v>
      </c>
      <c r="M142" s="1080">
        <f t="shared" si="87"/>
        <v>44.5</v>
      </c>
      <c r="N142" s="1080">
        <f t="shared" si="87"/>
        <v>48.7</v>
      </c>
      <c r="O142" s="1080">
        <f>O139</f>
        <v>67.735141438725293</v>
      </c>
      <c r="P142" s="1080">
        <f t="shared" ref="P142:AU142" si="88">P139</f>
        <v>61.821029259474152</v>
      </c>
      <c r="Q142" s="1080">
        <f t="shared" si="88"/>
        <v>60.341090730548601</v>
      </c>
      <c r="R142" s="1080">
        <f t="shared" si="88"/>
        <v>38.35700531918522</v>
      </c>
      <c r="S142" s="1080">
        <f t="shared" si="88"/>
        <v>41.765504189889249</v>
      </c>
      <c r="T142" s="1080">
        <f t="shared" si="88"/>
        <v>44.088588085044584</v>
      </c>
      <c r="U142" s="1080">
        <f t="shared" si="88"/>
        <v>45.786797230009718</v>
      </c>
      <c r="V142" s="1080">
        <f t="shared" si="88"/>
        <v>47.023275056537912</v>
      </c>
      <c r="W142" s="1080">
        <f t="shared" si="88"/>
        <v>48.388738394847046</v>
      </c>
      <c r="X142" s="1080">
        <f t="shared" si="88"/>
        <v>49.726877161691675</v>
      </c>
      <c r="Y142" s="1080">
        <f t="shared" si="88"/>
        <v>50.957998458731836</v>
      </c>
      <c r="Z142" s="1080">
        <f t="shared" si="88"/>
        <v>52.250750345664912</v>
      </c>
      <c r="AA142" s="1080">
        <f t="shared" si="88"/>
        <v>53.473940246602353</v>
      </c>
      <c r="AB142" s="1080">
        <f t="shared" si="88"/>
        <v>53.16779648439951</v>
      </c>
      <c r="AC142" s="1080">
        <f t="shared" si="88"/>
        <v>52.860920537900107</v>
      </c>
      <c r="AD142" s="1080">
        <f t="shared" si="88"/>
        <v>52.55531163017308</v>
      </c>
      <c r="AE142" s="1080">
        <f t="shared" si="88"/>
        <v>52.248935125159633</v>
      </c>
      <c r="AF142" s="1080">
        <f t="shared" si="88"/>
        <v>51.942655316610988</v>
      </c>
      <c r="AG142" s="1080">
        <f t="shared" si="88"/>
        <v>51.635449629385747</v>
      </c>
      <c r="AH142" s="1080">
        <f t="shared" si="88"/>
        <v>51.329326521277956</v>
      </c>
      <c r="AI142" s="1080">
        <f t="shared" si="88"/>
        <v>51.022472936959623</v>
      </c>
      <c r="AJ142" s="1080">
        <f t="shared" si="88"/>
        <v>50.716548190274779</v>
      </c>
      <c r="AK142" s="1080">
        <f t="shared" si="88"/>
        <v>50.410321566782294</v>
      </c>
      <c r="AL142" s="1080">
        <f t="shared" si="88"/>
        <v>50.104095447614391</v>
      </c>
      <c r="AM142" s="1080">
        <f t="shared" si="88"/>
        <v>49.801029647621633</v>
      </c>
      <c r="AN142" s="1080">
        <f t="shared" si="88"/>
        <v>49.497969590083216</v>
      </c>
      <c r="AO142" s="1080">
        <f t="shared" si="88"/>
        <v>49.19491528234127</v>
      </c>
      <c r="AP142" s="1080">
        <f t="shared" si="88"/>
        <v>48.89186673174725</v>
      </c>
      <c r="AQ142" s="1080">
        <f t="shared" si="88"/>
        <v>48.588823945662064</v>
      </c>
      <c r="AR142" s="1080">
        <f t="shared" si="88"/>
        <v>48.285786931455988</v>
      </c>
      <c r="AS142" s="1080">
        <f t="shared" si="88"/>
        <v>47.982755696508768</v>
      </c>
      <c r="AT142" s="1080">
        <f t="shared" si="88"/>
        <v>47.679730248209545</v>
      </c>
      <c r="AU142" s="1080">
        <f t="shared" si="88"/>
        <v>47.376710593956936</v>
      </c>
      <c r="AV142" s="602"/>
      <c r="AW142" s="602"/>
      <c r="AX142" s="602"/>
      <c r="AY142" s="602"/>
      <c r="AZ142" s="602"/>
      <c r="BA142" s="602"/>
    </row>
    <row r="143" spans="2:53">
      <c r="B143" s="602"/>
      <c r="C143" s="602"/>
      <c r="D143" s="1077"/>
      <c r="E143" s="1077" t="s">
        <v>41</v>
      </c>
      <c r="F143" s="1079" t="s">
        <v>1619</v>
      </c>
      <c r="G143" s="1080">
        <f>G225</f>
        <v>44.4</v>
      </c>
      <c r="H143" s="1080">
        <f t="shared" ref="H143:N143" si="89">H225</f>
        <v>46.1</v>
      </c>
      <c r="I143" s="1080">
        <f t="shared" si="89"/>
        <v>55.1</v>
      </c>
      <c r="J143" s="1080">
        <f t="shared" si="89"/>
        <v>54.2</v>
      </c>
      <c r="K143" s="1080">
        <f t="shared" si="89"/>
        <v>45.7</v>
      </c>
      <c r="L143" s="1080">
        <f t="shared" si="89"/>
        <v>44</v>
      </c>
      <c r="M143" s="1080">
        <f t="shared" si="89"/>
        <v>36.799999999999997</v>
      </c>
      <c r="N143" s="1080">
        <f t="shared" si="89"/>
        <v>36.9</v>
      </c>
      <c r="O143" s="1081">
        <f>VLOOKUP(O$121,$C$286:$O$318,3)</f>
        <v>53.422183381850253</v>
      </c>
      <c r="P143" s="1081">
        <f t="shared" ref="P143:AU143" si="90">VLOOKUP(P$121,$C$286:$O$318,3)</f>
        <v>34.261011240620462</v>
      </c>
      <c r="Q143" s="1081">
        <f t="shared" si="90"/>
        <v>33.397849986482257</v>
      </c>
      <c r="R143" s="1081">
        <f t="shared" si="90"/>
        <v>31.525290025438199</v>
      </c>
      <c r="S143" s="1081">
        <f t="shared" si="90"/>
        <v>32.762548621541896</v>
      </c>
      <c r="T143" s="1081">
        <f t="shared" si="90"/>
        <v>33.367688312875465</v>
      </c>
      <c r="U143" s="1081">
        <f t="shared" si="90"/>
        <v>33.567123920362071</v>
      </c>
      <c r="V143" s="1081">
        <f t="shared" si="90"/>
        <v>33.506083462913665</v>
      </c>
      <c r="W143" s="1081">
        <f t="shared" si="90"/>
        <v>33.467639204304064</v>
      </c>
      <c r="X143" s="1081">
        <f t="shared" si="90"/>
        <v>33.442947086231669</v>
      </c>
      <c r="Y143" s="1081">
        <f t="shared" si="90"/>
        <v>33.42179959045346</v>
      </c>
      <c r="Z143" s="1081">
        <f t="shared" si="90"/>
        <v>33.414220248022303</v>
      </c>
      <c r="AA143" s="1081">
        <f t="shared" si="90"/>
        <v>33.412152610409883</v>
      </c>
      <c r="AB143" s="1081">
        <f t="shared" si="90"/>
        <v>33.458238338148384</v>
      </c>
      <c r="AC143" s="1081">
        <f t="shared" si="90"/>
        <v>33.504324065886884</v>
      </c>
      <c r="AD143" s="1081">
        <f t="shared" si="90"/>
        <v>33.550409793625377</v>
      </c>
      <c r="AE143" s="1081">
        <f t="shared" si="90"/>
        <v>33.59649552136387</v>
      </c>
      <c r="AF143" s="1081">
        <f t="shared" si="90"/>
        <v>33.642581249102378</v>
      </c>
      <c r="AG143" s="1081">
        <f t="shared" si="90"/>
        <v>33.688666976840878</v>
      </c>
      <c r="AH143" s="1081">
        <f t="shared" si="90"/>
        <v>33.734752704579364</v>
      </c>
      <c r="AI143" s="1081">
        <f t="shared" si="90"/>
        <v>33.780838432317864</v>
      </c>
      <c r="AJ143" s="1081">
        <f t="shared" si="90"/>
        <v>33.82692416005635</v>
      </c>
      <c r="AK143" s="1081">
        <f t="shared" si="90"/>
        <v>33.873009887794851</v>
      </c>
      <c r="AL143" s="1081">
        <f t="shared" si="90"/>
        <v>33.919095615533351</v>
      </c>
      <c r="AM143" s="1081">
        <f t="shared" si="90"/>
        <v>33.965181343271844</v>
      </c>
      <c r="AN143" s="1081">
        <f t="shared" si="90"/>
        <v>34.011267071010337</v>
      </c>
      <c r="AO143" s="1081">
        <f t="shared" si="90"/>
        <v>34.057352798748838</v>
      </c>
      <c r="AP143" s="1081">
        <f t="shared" si="90"/>
        <v>34.103438526487338</v>
      </c>
      <c r="AQ143" s="1081">
        <f t="shared" si="90"/>
        <v>34.149524254225838</v>
      </c>
      <c r="AR143" s="1081">
        <f t="shared" si="90"/>
        <v>34.195609981964324</v>
      </c>
      <c r="AS143" s="1081">
        <f t="shared" si="90"/>
        <v>34.241695709702832</v>
      </c>
      <c r="AT143" s="1081">
        <f t="shared" si="90"/>
        <v>34.287781437441318</v>
      </c>
      <c r="AU143" s="1081">
        <f t="shared" si="90"/>
        <v>34.333867165179825</v>
      </c>
      <c r="AV143" s="602"/>
      <c r="AW143" s="602"/>
      <c r="AX143" s="602"/>
      <c r="AY143" s="602"/>
      <c r="AZ143" s="602"/>
      <c r="BA143" s="602"/>
    </row>
    <row r="144" spans="2:53">
      <c r="B144" s="602"/>
      <c r="C144" s="602"/>
      <c r="D144" s="1077"/>
      <c r="E144" s="1077" t="s">
        <v>582</v>
      </c>
      <c r="F144" s="1046" t="str">
        <f>F143</f>
        <v>MKr19</v>
      </c>
      <c r="G144" s="1080">
        <f>G143*$E$181</f>
        <v>133.19999999999999</v>
      </c>
      <c r="H144" s="1080">
        <f t="shared" ref="H144:AU144" si="91">H143*$E$181</f>
        <v>138.30000000000001</v>
      </c>
      <c r="I144" s="1080">
        <f t="shared" si="91"/>
        <v>165.3</v>
      </c>
      <c r="J144" s="1080">
        <f t="shared" si="91"/>
        <v>162.60000000000002</v>
      </c>
      <c r="K144" s="1080">
        <f t="shared" si="91"/>
        <v>137.10000000000002</v>
      </c>
      <c r="L144" s="1080">
        <f t="shared" si="91"/>
        <v>132</v>
      </c>
      <c r="M144" s="1080">
        <f t="shared" si="91"/>
        <v>110.39999999999999</v>
      </c>
      <c r="N144" s="1080">
        <f t="shared" si="91"/>
        <v>110.69999999999999</v>
      </c>
      <c r="O144" s="1080">
        <f>O143*$E$181</f>
        <v>160.26655014555075</v>
      </c>
      <c r="P144" s="1080">
        <f t="shared" si="91"/>
        <v>102.78303372186139</v>
      </c>
      <c r="Q144" s="1080">
        <f t="shared" si="91"/>
        <v>100.19354995944677</v>
      </c>
      <c r="R144" s="1080">
        <f t="shared" si="91"/>
        <v>94.575870076314601</v>
      </c>
      <c r="S144" s="1080">
        <f t="shared" si="91"/>
        <v>98.287645864625688</v>
      </c>
      <c r="T144" s="1080">
        <f t="shared" si="91"/>
        <v>100.1030649386264</v>
      </c>
      <c r="U144" s="1080">
        <f t="shared" si="91"/>
        <v>100.70137176108622</v>
      </c>
      <c r="V144" s="1080">
        <f t="shared" si="91"/>
        <v>100.518250388741</v>
      </c>
      <c r="W144" s="1080">
        <f t="shared" si="91"/>
        <v>100.40291761291219</v>
      </c>
      <c r="X144" s="1080">
        <f t="shared" si="91"/>
        <v>100.32884125869501</v>
      </c>
      <c r="Y144" s="1080">
        <f t="shared" si="91"/>
        <v>100.26539877136038</v>
      </c>
      <c r="Z144" s="1080">
        <f t="shared" si="91"/>
        <v>100.24266074406691</v>
      </c>
      <c r="AA144" s="1080">
        <f t="shared" si="91"/>
        <v>100.23645783122964</v>
      </c>
      <c r="AB144" s="1080">
        <f t="shared" si="91"/>
        <v>100.37471501444514</v>
      </c>
      <c r="AC144" s="1080">
        <f t="shared" si="91"/>
        <v>100.51297219766064</v>
      </c>
      <c r="AD144" s="1080">
        <f t="shared" si="91"/>
        <v>100.65122938087613</v>
      </c>
      <c r="AE144" s="1080">
        <f t="shared" si="91"/>
        <v>100.78948656409162</v>
      </c>
      <c r="AF144" s="1080">
        <f t="shared" si="91"/>
        <v>100.92774374730713</v>
      </c>
      <c r="AG144" s="1080">
        <f t="shared" si="91"/>
        <v>101.06600093052263</v>
      </c>
      <c r="AH144" s="1080">
        <f t="shared" si="91"/>
        <v>101.20425811373809</v>
      </c>
      <c r="AI144" s="1080">
        <f t="shared" si="91"/>
        <v>101.34251529695359</v>
      </c>
      <c r="AJ144" s="1080">
        <f t="shared" si="91"/>
        <v>101.48077248016905</v>
      </c>
      <c r="AK144" s="1080">
        <f t="shared" si="91"/>
        <v>101.61902966338455</v>
      </c>
      <c r="AL144" s="1080">
        <f t="shared" si="91"/>
        <v>101.75728684660005</v>
      </c>
      <c r="AM144" s="1080">
        <f t="shared" si="91"/>
        <v>101.89554402981554</v>
      </c>
      <c r="AN144" s="1080">
        <f t="shared" si="91"/>
        <v>102.03380121303101</v>
      </c>
      <c r="AO144" s="1080">
        <f t="shared" si="91"/>
        <v>102.17205839624651</v>
      </c>
      <c r="AP144" s="1080">
        <f t="shared" si="91"/>
        <v>102.31031557946201</v>
      </c>
      <c r="AQ144" s="1080">
        <f t="shared" si="91"/>
        <v>102.44857276267751</v>
      </c>
      <c r="AR144" s="1080">
        <f t="shared" si="91"/>
        <v>102.58682994589297</v>
      </c>
      <c r="AS144" s="1080">
        <f t="shared" si="91"/>
        <v>102.72508712910849</v>
      </c>
      <c r="AT144" s="1080">
        <f t="shared" si="91"/>
        <v>102.86334431232396</v>
      </c>
      <c r="AU144" s="1080">
        <f t="shared" si="91"/>
        <v>103.00160149553948</v>
      </c>
      <c r="AV144" s="602"/>
      <c r="AW144" s="602"/>
      <c r="AX144" s="602"/>
      <c r="AY144" s="602"/>
      <c r="AZ144" s="602"/>
      <c r="BA144" s="602"/>
    </row>
    <row r="145" spans="2:53">
      <c r="B145" s="602"/>
      <c r="C145" s="602"/>
      <c r="D145" s="1077"/>
      <c r="E145" s="1077" t="s">
        <v>584</v>
      </c>
      <c r="F145" s="1046" t="str">
        <f>F144</f>
        <v>MKr19</v>
      </c>
      <c r="G145" s="1080">
        <f>G144*1.1</f>
        <v>146.52000000000001</v>
      </c>
      <c r="H145" s="1080">
        <f t="shared" ref="H145:AU145" si="92">H144+$E$184</f>
        <v>201.973753033598</v>
      </c>
      <c r="I145" s="1080">
        <f t="shared" si="92"/>
        <v>228.973753033598</v>
      </c>
      <c r="J145" s="1080">
        <f t="shared" si="92"/>
        <v>226.27375303359801</v>
      </c>
      <c r="K145" s="1080">
        <f t="shared" si="92"/>
        <v>200.77375303359801</v>
      </c>
      <c r="L145" s="1080">
        <f t="shared" si="92"/>
        <v>195.67375303359799</v>
      </c>
      <c r="M145" s="1080">
        <f t="shared" si="92"/>
        <v>174.073753033598</v>
      </c>
      <c r="N145" s="1080">
        <f t="shared" si="92"/>
        <v>174.37375303359798</v>
      </c>
      <c r="O145" s="1080">
        <f>O144+$E$184</f>
        <v>223.94030317914874</v>
      </c>
      <c r="P145" s="1080">
        <f t="shared" si="92"/>
        <v>166.45678675545938</v>
      </c>
      <c r="Q145" s="1080">
        <f t="shared" si="92"/>
        <v>163.86730299304477</v>
      </c>
      <c r="R145" s="1080">
        <f t="shared" si="92"/>
        <v>158.24962310991259</v>
      </c>
      <c r="S145" s="1080">
        <f t="shared" si="92"/>
        <v>161.96139889822368</v>
      </c>
      <c r="T145" s="1080">
        <f t="shared" si="92"/>
        <v>163.77681797222439</v>
      </c>
      <c r="U145" s="1080">
        <f t="shared" si="92"/>
        <v>164.37512479468421</v>
      </c>
      <c r="V145" s="1080">
        <f t="shared" si="92"/>
        <v>164.19200342233898</v>
      </c>
      <c r="W145" s="1080">
        <f t="shared" si="92"/>
        <v>164.07667064651019</v>
      </c>
      <c r="X145" s="1080">
        <f t="shared" si="92"/>
        <v>164.002594292293</v>
      </c>
      <c r="Y145" s="1080">
        <f t="shared" si="92"/>
        <v>163.93915180495839</v>
      </c>
      <c r="Z145" s="1080">
        <f t="shared" si="92"/>
        <v>163.9164137776649</v>
      </c>
      <c r="AA145" s="1080">
        <f t="shared" si="92"/>
        <v>163.91021086482763</v>
      </c>
      <c r="AB145" s="1080">
        <f t="shared" si="92"/>
        <v>164.04846804804313</v>
      </c>
      <c r="AC145" s="1080">
        <f t="shared" si="92"/>
        <v>164.18672523125863</v>
      </c>
      <c r="AD145" s="1080">
        <f t="shared" si="92"/>
        <v>164.32498241447414</v>
      </c>
      <c r="AE145" s="1080">
        <f t="shared" si="92"/>
        <v>164.46323959768961</v>
      </c>
      <c r="AF145" s="1080">
        <f t="shared" si="92"/>
        <v>164.60149678090514</v>
      </c>
      <c r="AG145" s="1080">
        <f t="shared" si="92"/>
        <v>164.73975396412064</v>
      </c>
      <c r="AH145" s="1080">
        <f t="shared" si="92"/>
        <v>164.87801114733608</v>
      </c>
      <c r="AI145" s="1080">
        <f t="shared" si="92"/>
        <v>165.01626833055158</v>
      </c>
      <c r="AJ145" s="1080">
        <f t="shared" si="92"/>
        <v>165.15452551376706</v>
      </c>
      <c r="AK145" s="1080">
        <f t="shared" si="92"/>
        <v>165.29278269698256</v>
      </c>
      <c r="AL145" s="1080">
        <f t="shared" si="92"/>
        <v>165.43103988019806</v>
      </c>
      <c r="AM145" s="1080">
        <f t="shared" si="92"/>
        <v>165.56929706341353</v>
      </c>
      <c r="AN145" s="1080">
        <f t="shared" si="92"/>
        <v>165.707554246629</v>
      </c>
      <c r="AO145" s="1080">
        <f t="shared" si="92"/>
        <v>165.8458114298445</v>
      </c>
      <c r="AP145" s="1080">
        <f t="shared" si="92"/>
        <v>165.98406861306</v>
      </c>
      <c r="AQ145" s="1080">
        <f t="shared" si="92"/>
        <v>166.1223257962755</v>
      </c>
      <c r="AR145" s="1080">
        <f t="shared" si="92"/>
        <v>166.26058297949098</v>
      </c>
      <c r="AS145" s="1080">
        <f t="shared" si="92"/>
        <v>166.39884016270648</v>
      </c>
      <c r="AT145" s="1080">
        <f t="shared" si="92"/>
        <v>166.53709734592195</v>
      </c>
      <c r="AU145" s="1080">
        <f t="shared" si="92"/>
        <v>166.67535452913748</v>
      </c>
      <c r="AV145" s="602"/>
      <c r="AW145" s="602"/>
      <c r="AX145" s="602"/>
      <c r="AY145" s="602"/>
      <c r="AZ145" s="602"/>
      <c r="BA145" s="602"/>
    </row>
    <row r="146" spans="2:53">
      <c r="B146" s="602"/>
      <c r="C146" s="602"/>
      <c r="D146" s="1077"/>
      <c r="E146" s="1077" t="s">
        <v>765</v>
      </c>
      <c r="F146" s="1046" t="str">
        <f>F145</f>
        <v>MKr19</v>
      </c>
      <c r="G146" s="1080">
        <f>G145*2</f>
        <v>293.04000000000002</v>
      </c>
      <c r="H146" s="1080">
        <f t="shared" ref="H146:AU147" si="93">H145*2</f>
        <v>403.947506067196</v>
      </c>
      <c r="I146" s="1080">
        <f t="shared" si="93"/>
        <v>457.947506067196</v>
      </c>
      <c r="J146" s="1080">
        <f t="shared" si="93"/>
        <v>452.54750606719603</v>
      </c>
      <c r="K146" s="1080">
        <f t="shared" si="93"/>
        <v>401.54750606719603</v>
      </c>
      <c r="L146" s="1080">
        <f t="shared" si="93"/>
        <v>391.34750606719598</v>
      </c>
      <c r="M146" s="1080">
        <f t="shared" si="93"/>
        <v>348.14750606719599</v>
      </c>
      <c r="N146" s="1080">
        <f t="shared" si="93"/>
        <v>348.74750606719596</v>
      </c>
      <c r="O146" s="1080">
        <f t="shared" si="93"/>
        <v>447.88060635829748</v>
      </c>
      <c r="P146" s="1080">
        <f t="shared" si="93"/>
        <v>332.91357351091875</v>
      </c>
      <c r="Q146" s="1080">
        <f t="shared" si="93"/>
        <v>327.73460598608955</v>
      </c>
      <c r="R146" s="1080">
        <f t="shared" si="93"/>
        <v>316.49924621982518</v>
      </c>
      <c r="S146" s="1080">
        <f t="shared" si="93"/>
        <v>323.92279779644736</v>
      </c>
      <c r="T146" s="1080">
        <f t="shared" si="93"/>
        <v>327.55363594444879</v>
      </c>
      <c r="U146" s="1080">
        <f t="shared" si="93"/>
        <v>328.75024958936842</v>
      </c>
      <c r="V146" s="1080">
        <f t="shared" si="93"/>
        <v>328.38400684467797</v>
      </c>
      <c r="W146" s="1080">
        <f t="shared" si="93"/>
        <v>328.15334129302039</v>
      </c>
      <c r="X146" s="1080">
        <f t="shared" si="93"/>
        <v>328.00518858458599</v>
      </c>
      <c r="Y146" s="1080">
        <f t="shared" si="93"/>
        <v>327.87830360991677</v>
      </c>
      <c r="Z146" s="1080">
        <f t="shared" si="93"/>
        <v>327.8328275553298</v>
      </c>
      <c r="AA146" s="1080">
        <f t="shared" si="93"/>
        <v>327.82042172965527</v>
      </c>
      <c r="AB146" s="1080">
        <f t="shared" si="93"/>
        <v>328.09693609608627</v>
      </c>
      <c r="AC146" s="1080">
        <f t="shared" si="93"/>
        <v>328.37345046251727</v>
      </c>
      <c r="AD146" s="1080">
        <f t="shared" si="93"/>
        <v>328.64996482894827</v>
      </c>
      <c r="AE146" s="1080">
        <f t="shared" si="93"/>
        <v>328.92647919537922</v>
      </c>
      <c r="AF146" s="1080">
        <f t="shared" si="93"/>
        <v>329.20299356181027</v>
      </c>
      <c r="AG146" s="1080">
        <f t="shared" si="93"/>
        <v>329.47950792824128</v>
      </c>
      <c r="AH146" s="1080">
        <f t="shared" si="93"/>
        <v>329.75602229467216</v>
      </c>
      <c r="AI146" s="1080">
        <f t="shared" si="93"/>
        <v>330.03253666110317</v>
      </c>
      <c r="AJ146" s="1080">
        <f t="shared" si="93"/>
        <v>330.30905102753411</v>
      </c>
      <c r="AK146" s="1080">
        <f t="shared" si="93"/>
        <v>330.58556539396511</v>
      </c>
      <c r="AL146" s="1080">
        <f t="shared" si="93"/>
        <v>330.86207976039611</v>
      </c>
      <c r="AM146" s="1080">
        <f t="shared" si="93"/>
        <v>331.13859412682706</v>
      </c>
      <c r="AN146" s="1080">
        <f t="shared" si="93"/>
        <v>331.415108493258</v>
      </c>
      <c r="AO146" s="1080">
        <f t="shared" si="93"/>
        <v>331.69162285968901</v>
      </c>
      <c r="AP146" s="1080">
        <f t="shared" si="93"/>
        <v>331.96813722612001</v>
      </c>
      <c r="AQ146" s="1080">
        <f t="shared" si="93"/>
        <v>332.24465159255101</v>
      </c>
      <c r="AR146" s="1080">
        <f t="shared" si="93"/>
        <v>332.52116595898195</v>
      </c>
      <c r="AS146" s="1080">
        <f t="shared" si="93"/>
        <v>332.79768032541295</v>
      </c>
      <c r="AT146" s="1080">
        <f t="shared" si="93"/>
        <v>333.0741946918439</v>
      </c>
      <c r="AU146" s="1080">
        <f t="shared" si="93"/>
        <v>333.35070905827496</v>
      </c>
      <c r="AV146" s="602"/>
      <c r="AW146" s="602"/>
      <c r="AX146" s="602"/>
      <c r="AY146" s="602"/>
      <c r="AZ146" s="602"/>
      <c r="BA146" s="602"/>
    </row>
    <row r="147" spans="2:53">
      <c r="B147" s="602"/>
      <c r="C147" s="602"/>
      <c r="D147" s="1077"/>
      <c r="E147" s="1077" t="s">
        <v>755</v>
      </c>
      <c r="F147" s="1046" t="s">
        <v>206</v>
      </c>
      <c r="G147" s="1080">
        <f>G146*2</f>
        <v>586.08000000000004</v>
      </c>
      <c r="H147" s="1080">
        <f>H146*2</f>
        <v>807.895012134392</v>
      </c>
      <c r="I147" s="1080">
        <f t="shared" si="93"/>
        <v>915.895012134392</v>
      </c>
      <c r="J147" s="1080">
        <f t="shared" si="93"/>
        <v>905.09501213439205</v>
      </c>
      <c r="K147" s="1080">
        <f t="shared" si="93"/>
        <v>803.09501213439205</v>
      </c>
      <c r="L147" s="1080">
        <f t="shared" si="93"/>
        <v>782.69501213439196</v>
      </c>
      <c r="M147" s="1080">
        <f t="shared" si="93"/>
        <v>696.29501213439198</v>
      </c>
      <c r="N147" s="1080">
        <f t="shared" si="93"/>
        <v>697.49501213439191</v>
      </c>
      <c r="O147" s="1080">
        <f t="shared" si="93"/>
        <v>895.76121271659497</v>
      </c>
      <c r="P147" s="1080">
        <f t="shared" si="93"/>
        <v>665.8271470218375</v>
      </c>
      <c r="Q147" s="1080">
        <f t="shared" si="93"/>
        <v>655.4692119721791</v>
      </c>
      <c r="R147" s="1080">
        <f t="shared" si="93"/>
        <v>632.99849243965036</v>
      </c>
      <c r="S147" s="1080">
        <f t="shared" si="93"/>
        <v>647.84559559289471</v>
      </c>
      <c r="T147" s="1080">
        <f t="shared" si="93"/>
        <v>655.10727188889757</v>
      </c>
      <c r="U147" s="1080">
        <f t="shared" si="93"/>
        <v>657.50049917873685</v>
      </c>
      <c r="V147" s="1080">
        <f t="shared" si="93"/>
        <v>656.76801368935594</v>
      </c>
      <c r="W147" s="1080">
        <f t="shared" si="93"/>
        <v>656.30668258604078</v>
      </c>
      <c r="X147" s="1080">
        <f t="shared" si="93"/>
        <v>656.01037716917199</v>
      </c>
      <c r="Y147" s="1080">
        <f t="shared" si="93"/>
        <v>655.75660721983354</v>
      </c>
      <c r="Z147" s="1080">
        <f t="shared" si="93"/>
        <v>655.6656551106596</v>
      </c>
      <c r="AA147" s="1080">
        <f t="shared" si="93"/>
        <v>655.64084345931053</v>
      </c>
      <c r="AB147" s="1080">
        <f t="shared" si="93"/>
        <v>656.19387219217253</v>
      </c>
      <c r="AC147" s="1080">
        <f t="shared" si="93"/>
        <v>656.74690092503454</v>
      </c>
      <c r="AD147" s="1080">
        <f t="shared" si="93"/>
        <v>657.29992965789654</v>
      </c>
      <c r="AE147" s="1080">
        <f t="shared" si="93"/>
        <v>657.85295839075843</v>
      </c>
      <c r="AF147" s="1080">
        <f t="shared" si="93"/>
        <v>658.40598712362055</v>
      </c>
      <c r="AG147" s="1080">
        <f t="shared" si="93"/>
        <v>658.95901585648255</v>
      </c>
      <c r="AH147" s="1080">
        <f t="shared" si="93"/>
        <v>659.51204458934433</v>
      </c>
      <c r="AI147" s="1080">
        <f t="shared" si="93"/>
        <v>660.06507332220633</v>
      </c>
      <c r="AJ147" s="1080">
        <f t="shared" si="93"/>
        <v>660.61810205506822</v>
      </c>
      <c r="AK147" s="1080">
        <f t="shared" si="93"/>
        <v>661.17113078793022</v>
      </c>
      <c r="AL147" s="1080">
        <f t="shared" si="93"/>
        <v>661.72415952079223</v>
      </c>
      <c r="AM147" s="1080">
        <f t="shared" si="93"/>
        <v>662.27718825365412</v>
      </c>
      <c r="AN147" s="1080">
        <f t="shared" si="93"/>
        <v>662.83021698651601</v>
      </c>
      <c r="AO147" s="1080">
        <f t="shared" si="93"/>
        <v>663.38324571937801</v>
      </c>
      <c r="AP147" s="1080">
        <f t="shared" si="93"/>
        <v>663.93627445224001</v>
      </c>
      <c r="AQ147" s="1080">
        <f t="shared" si="93"/>
        <v>664.48930318510202</v>
      </c>
      <c r="AR147" s="1080">
        <f t="shared" si="93"/>
        <v>665.04233191796391</v>
      </c>
      <c r="AS147" s="1080">
        <f t="shared" si="93"/>
        <v>665.59536065082591</v>
      </c>
      <c r="AT147" s="1080">
        <f t="shared" si="93"/>
        <v>666.1483893836878</v>
      </c>
      <c r="AU147" s="1080">
        <f t="shared" si="93"/>
        <v>666.70141811654992</v>
      </c>
      <c r="AV147" s="602"/>
      <c r="AW147" s="602"/>
      <c r="AX147" s="602"/>
      <c r="AY147" s="602"/>
      <c r="AZ147" s="602"/>
      <c r="BA147" s="602"/>
    </row>
    <row r="148" spans="2:53">
      <c r="B148" s="602"/>
      <c r="C148" s="602"/>
      <c r="D148" s="1077"/>
      <c r="E148" s="1077" t="s">
        <v>757</v>
      </c>
      <c r="F148" s="1046" t="s">
        <v>206</v>
      </c>
      <c r="G148" s="1080">
        <f>G147</f>
        <v>586.08000000000004</v>
      </c>
      <c r="H148" s="1080">
        <f t="shared" ref="H148:AU148" si="94">H147</f>
        <v>807.895012134392</v>
      </c>
      <c r="I148" s="1080">
        <f t="shared" si="94"/>
        <v>915.895012134392</v>
      </c>
      <c r="J148" s="1080">
        <f t="shared" si="94"/>
        <v>905.09501213439205</v>
      </c>
      <c r="K148" s="1080">
        <f t="shared" si="94"/>
        <v>803.09501213439205</v>
      </c>
      <c r="L148" s="1080">
        <f t="shared" si="94"/>
        <v>782.69501213439196</v>
      </c>
      <c r="M148" s="1080">
        <f t="shared" si="94"/>
        <v>696.29501213439198</v>
      </c>
      <c r="N148" s="1080">
        <f t="shared" si="94"/>
        <v>697.49501213439191</v>
      </c>
      <c r="O148" s="1080">
        <f t="shared" si="94"/>
        <v>895.76121271659497</v>
      </c>
      <c r="P148" s="1080">
        <f t="shared" si="94"/>
        <v>665.8271470218375</v>
      </c>
      <c r="Q148" s="1080">
        <f t="shared" si="94"/>
        <v>655.4692119721791</v>
      </c>
      <c r="R148" s="1080">
        <f t="shared" si="94"/>
        <v>632.99849243965036</v>
      </c>
      <c r="S148" s="1080">
        <f t="shared" si="94"/>
        <v>647.84559559289471</v>
      </c>
      <c r="T148" s="1080">
        <f t="shared" si="94"/>
        <v>655.10727188889757</v>
      </c>
      <c r="U148" s="1080">
        <f t="shared" si="94"/>
        <v>657.50049917873685</v>
      </c>
      <c r="V148" s="1080">
        <f t="shared" si="94"/>
        <v>656.76801368935594</v>
      </c>
      <c r="W148" s="1080">
        <f t="shared" si="94"/>
        <v>656.30668258604078</v>
      </c>
      <c r="X148" s="1080">
        <f t="shared" si="94"/>
        <v>656.01037716917199</v>
      </c>
      <c r="Y148" s="1080">
        <f t="shared" si="94"/>
        <v>655.75660721983354</v>
      </c>
      <c r="Z148" s="1080">
        <f t="shared" si="94"/>
        <v>655.6656551106596</v>
      </c>
      <c r="AA148" s="1080">
        <f t="shared" si="94"/>
        <v>655.64084345931053</v>
      </c>
      <c r="AB148" s="1080">
        <f t="shared" si="94"/>
        <v>656.19387219217253</v>
      </c>
      <c r="AC148" s="1080">
        <f t="shared" si="94"/>
        <v>656.74690092503454</v>
      </c>
      <c r="AD148" s="1080">
        <f t="shared" si="94"/>
        <v>657.29992965789654</v>
      </c>
      <c r="AE148" s="1080">
        <f t="shared" si="94"/>
        <v>657.85295839075843</v>
      </c>
      <c r="AF148" s="1080">
        <f t="shared" si="94"/>
        <v>658.40598712362055</v>
      </c>
      <c r="AG148" s="1080">
        <f t="shared" si="94"/>
        <v>658.95901585648255</v>
      </c>
      <c r="AH148" s="1080">
        <f t="shared" si="94"/>
        <v>659.51204458934433</v>
      </c>
      <c r="AI148" s="1080">
        <f t="shared" si="94"/>
        <v>660.06507332220633</v>
      </c>
      <c r="AJ148" s="1080">
        <f t="shared" si="94"/>
        <v>660.61810205506822</v>
      </c>
      <c r="AK148" s="1080">
        <f t="shared" si="94"/>
        <v>661.17113078793022</v>
      </c>
      <c r="AL148" s="1080">
        <f t="shared" si="94"/>
        <v>661.72415952079223</v>
      </c>
      <c r="AM148" s="1080">
        <f t="shared" si="94"/>
        <v>662.27718825365412</v>
      </c>
      <c r="AN148" s="1080">
        <f t="shared" si="94"/>
        <v>662.83021698651601</v>
      </c>
      <c r="AO148" s="1080">
        <f t="shared" si="94"/>
        <v>663.38324571937801</v>
      </c>
      <c r="AP148" s="1080">
        <f t="shared" si="94"/>
        <v>663.93627445224001</v>
      </c>
      <c r="AQ148" s="1080">
        <f t="shared" si="94"/>
        <v>664.48930318510202</v>
      </c>
      <c r="AR148" s="1080">
        <f t="shared" si="94"/>
        <v>665.04233191796391</v>
      </c>
      <c r="AS148" s="1080">
        <f t="shared" si="94"/>
        <v>665.59536065082591</v>
      </c>
      <c r="AT148" s="1080">
        <f t="shared" si="94"/>
        <v>666.1483893836878</v>
      </c>
      <c r="AU148" s="1080">
        <f t="shared" si="94"/>
        <v>666.70141811654992</v>
      </c>
      <c r="AV148" s="602"/>
      <c r="AW148" s="602"/>
      <c r="AX148" s="602"/>
      <c r="AY148" s="602"/>
      <c r="AZ148" s="602"/>
      <c r="BA148" s="602"/>
    </row>
    <row r="149" spans="2:53">
      <c r="B149" s="602"/>
      <c r="C149" s="602"/>
      <c r="D149" s="1077"/>
      <c r="E149" s="1077" t="s">
        <v>192</v>
      </c>
      <c r="F149" s="1046" t="str">
        <f>F144</f>
        <v>MKr19</v>
      </c>
      <c r="G149" s="1080">
        <f>G144</f>
        <v>133.19999999999999</v>
      </c>
      <c r="H149" s="1080">
        <f t="shared" ref="H149:AU149" si="95">H144</f>
        <v>138.30000000000001</v>
      </c>
      <c r="I149" s="1080">
        <f t="shared" si="95"/>
        <v>165.3</v>
      </c>
      <c r="J149" s="1080">
        <f t="shared" si="95"/>
        <v>162.60000000000002</v>
      </c>
      <c r="K149" s="1080">
        <f t="shared" si="95"/>
        <v>137.10000000000002</v>
      </c>
      <c r="L149" s="1080">
        <f t="shared" si="95"/>
        <v>132</v>
      </c>
      <c r="M149" s="1080">
        <f t="shared" si="95"/>
        <v>110.39999999999999</v>
      </c>
      <c r="N149" s="1080">
        <f t="shared" si="95"/>
        <v>110.69999999999999</v>
      </c>
      <c r="O149" s="1080">
        <f t="shared" si="95"/>
        <v>160.26655014555075</v>
      </c>
      <c r="P149" s="1080">
        <f t="shared" si="95"/>
        <v>102.78303372186139</v>
      </c>
      <c r="Q149" s="1080">
        <f t="shared" si="95"/>
        <v>100.19354995944677</v>
      </c>
      <c r="R149" s="1080">
        <f t="shared" si="95"/>
        <v>94.575870076314601</v>
      </c>
      <c r="S149" s="1080">
        <f t="shared" si="95"/>
        <v>98.287645864625688</v>
      </c>
      <c r="T149" s="1080">
        <f t="shared" si="95"/>
        <v>100.1030649386264</v>
      </c>
      <c r="U149" s="1080">
        <f t="shared" si="95"/>
        <v>100.70137176108622</v>
      </c>
      <c r="V149" s="1080">
        <f t="shared" si="95"/>
        <v>100.518250388741</v>
      </c>
      <c r="W149" s="1080">
        <f t="shared" si="95"/>
        <v>100.40291761291219</v>
      </c>
      <c r="X149" s="1080">
        <f t="shared" si="95"/>
        <v>100.32884125869501</v>
      </c>
      <c r="Y149" s="1080">
        <f t="shared" si="95"/>
        <v>100.26539877136038</v>
      </c>
      <c r="Z149" s="1080">
        <f t="shared" si="95"/>
        <v>100.24266074406691</v>
      </c>
      <c r="AA149" s="1080">
        <f t="shared" si="95"/>
        <v>100.23645783122964</v>
      </c>
      <c r="AB149" s="1080">
        <f t="shared" si="95"/>
        <v>100.37471501444514</v>
      </c>
      <c r="AC149" s="1080">
        <f t="shared" si="95"/>
        <v>100.51297219766064</v>
      </c>
      <c r="AD149" s="1080">
        <f t="shared" si="95"/>
        <v>100.65122938087613</v>
      </c>
      <c r="AE149" s="1080">
        <f t="shared" si="95"/>
        <v>100.78948656409162</v>
      </c>
      <c r="AF149" s="1080">
        <f t="shared" si="95"/>
        <v>100.92774374730713</v>
      </c>
      <c r="AG149" s="1080">
        <f t="shared" si="95"/>
        <v>101.06600093052263</v>
      </c>
      <c r="AH149" s="1080">
        <f t="shared" si="95"/>
        <v>101.20425811373809</v>
      </c>
      <c r="AI149" s="1080">
        <f t="shared" si="95"/>
        <v>101.34251529695359</v>
      </c>
      <c r="AJ149" s="1080">
        <f t="shared" si="95"/>
        <v>101.48077248016905</v>
      </c>
      <c r="AK149" s="1080">
        <f t="shared" si="95"/>
        <v>101.61902966338455</v>
      </c>
      <c r="AL149" s="1080">
        <f t="shared" si="95"/>
        <v>101.75728684660005</v>
      </c>
      <c r="AM149" s="1080">
        <f t="shared" si="95"/>
        <v>101.89554402981554</v>
      </c>
      <c r="AN149" s="1080">
        <f t="shared" si="95"/>
        <v>102.03380121303101</v>
      </c>
      <c r="AO149" s="1080">
        <f t="shared" si="95"/>
        <v>102.17205839624651</v>
      </c>
      <c r="AP149" s="1080">
        <f t="shared" si="95"/>
        <v>102.31031557946201</v>
      </c>
      <c r="AQ149" s="1080">
        <f t="shared" si="95"/>
        <v>102.44857276267751</v>
      </c>
      <c r="AR149" s="1080">
        <f t="shared" si="95"/>
        <v>102.58682994589297</v>
      </c>
      <c r="AS149" s="1080">
        <f t="shared" si="95"/>
        <v>102.72508712910849</v>
      </c>
      <c r="AT149" s="1080">
        <f t="shared" si="95"/>
        <v>102.86334431232396</v>
      </c>
      <c r="AU149" s="1080">
        <f t="shared" si="95"/>
        <v>103.00160149553948</v>
      </c>
      <c r="AV149" s="602"/>
      <c r="AW149" s="602"/>
      <c r="AX149" s="602"/>
      <c r="AY149" s="602"/>
      <c r="AZ149" s="602"/>
      <c r="BA149" s="602"/>
    </row>
    <row r="150" spans="2:53">
      <c r="B150" s="602"/>
      <c r="C150" s="602"/>
      <c r="D150" s="1077"/>
      <c r="E150" s="1077" t="s">
        <v>736</v>
      </c>
      <c r="F150" s="1046" t="str">
        <f>F145</f>
        <v>MKr19</v>
      </c>
      <c r="G150" s="1080">
        <f t="shared" ref="G150:AU150" si="96">G143</f>
        <v>44.4</v>
      </c>
      <c r="H150" s="1080">
        <f t="shared" si="96"/>
        <v>46.1</v>
      </c>
      <c r="I150" s="1080">
        <f t="shared" si="96"/>
        <v>55.1</v>
      </c>
      <c r="J150" s="1080">
        <f t="shared" si="96"/>
        <v>54.2</v>
      </c>
      <c r="K150" s="1080">
        <f t="shared" si="96"/>
        <v>45.7</v>
      </c>
      <c r="L150" s="1080">
        <f t="shared" si="96"/>
        <v>44</v>
      </c>
      <c r="M150" s="1080">
        <f t="shared" si="96"/>
        <v>36.799999999999997</v>
      </c>
      <c r="N150" s="1080">
        <f t="shared" si="96"/>
        <v>36.9</v>
      </c>
      <c r="O150" s="1080">
        <f>O143</f>
        <v>53.422183381850253</v>
      </c>
      <c r="P150" s="1080">
        <f t="shared" si="96"/>
        <v>34.261011240620462</v>
      </c>
      <c r="Q150" s="1080">
        <f t="shared" si="96"/>
        <v>33.397849986482257</v>
      </c>
      <c r="R150" s="1080">
        <f t="shared" si="96"/>
        <v>31.525290025438199</v>
      </c>
      <c r="S150" s="1080">
        <f t="shared" si="96"/>
        <v>32.762548621541896</v>
      </c>
      <c r="T150" s="1080">
        <f t="shared" si="96"/>
        <v>33.367688312875465</v>
      </c>
      <c r="U150" s="1080">
        <f t="shared" si="96"/>
        <v>33.567123920362071</v>
      </c>
      <c r="V150" s="1080">
        <f t="shared" si="96"/>
        <v>33.506083462913665</v>
      </c>
      <c r="W150" s="1080">
        <f t="shared" si="96"/>
        <v>33.467639204304064</v>
      </c>
      <c r="X150" s="1080">
        <f t="shared" si="96"/>
        <v>33.442947086231669</v>
      </c>
      <c r="Y150" s="1080">
        <f t="shared" si="96"/>
        <v>33.42179959045346</v>
      </c>
      <c r="Z150" s="1080">
        <f t="shared" si="96"/>
        <v>33.414220248022303</v>
      </c>
      <c r="AA150" s="1080">
        <f t="shared" si="96"/>
        <v>33.412152610409883</v>
      </c>
      <c r="AB150" s="1080">
        <f t="shared" si="96"/>
        <v>33.458238338148384</v>
      </c>
      <c r="AC150" s="1080">
        <f t="shared" si="96"/>
        <v>33.504324065886884</v>
      </c>
      <c r="AD150" s="1080">
        <f t="shared" si="96"/>
        <v>33.550409793625377</v>
      </c>
      <c r="AE150" s="1080">
        <f t="shared" si="96"/>
        <v>33.59649552136387</v>
      </c>
      <c r="AF150" s="1080">
        <f t="shared" si="96"/>
        <v>33.642581249102378</v>
      </c>
      <c r="AG150" s="1080">
        <f t="shared" si="96"/>
        <v>33.688666976840878</v>
      </c>
      <c r="AH150" s="1080">
        <f t="shared" si="96"/>
        <v>33.734752704579364</v>
      </c>
      <c r="AI150" s="1080">
        <f t="shared" si="96"/>
        <v>33.780838432317864</v>
      </c>
      <c r="AJ150" s="1080">
        <f t="shared" si="96"/>
        <v>33.82692416005635</v>
      </c>
      <c r="AK150" s="1080">
        <f t="shared" si="96"/>
        <v>33.873009887794851</v>
      </c>
      <c r="AL150" s="1080">
        <f t="shared" si="96"/>
        <v>33.919095615533351</v>
      </c>
      <c r="AM150" s="1080">
        <f t="shared" si="96"/>
        <v>33.965181343271844</v>
      </c>
      <c r="AN150" s="1080">
        <f t="shared" si="96"/>
        <v>34.011267071010337</v>
      </c>
      <c r="AO150" s="1080">
        <f t="shared" si="96"/>
        <v>34.057352798748838</v>
      </c>
      <c r="AP150" s="1080">
        <f t="shared" si="96"/>
        <v>34.103438526487338</v>
      </c>
      <c r="AQ150" s="1080">
        <f t="shared" si="96"/>
        <v>34.149524254225838</v>
      </c>
      <c r="AR150" s="1080">
        <f t="shared" si="96"/>
        <v>34.195609981964324</v>
      </c>
      <c r="AS150" s="1080">
        <f t="shared" si="96"/>
        <v>34.241695709702832</v>
      </c>
      <c r="AT150" s="1080">
        <f t="shared" si="96"/>
        <v>34.287781437441318</v>
      </c>
      <c r="AU150" s="1080">
        <f t="shared" si="96"/>
        <v>34.333867165179825</v>
      </c>
      <c r="AV150" s="602"/>
      <c r="AW150" s="602"/>
      <c r="AX150" s="602"/>
      <c r="AY150" s="602"/>
      <c r="AZ150" s="602"/>
      <c r="BA150" s="602"/>
    </row>
    <row r="151" spans="2:53">
      <c r="B151" s="602"/>
      <c r="C151" s="602"/>
      <c r="D151" s="1077"/>
      <c r="E151" s="1077" t="s">
        <v>73</v>
      </c>
      <c r="F151" s="1079" t="s">
        <v>1619</v>
      </c>
      <c r="G151" s="565">
        <f>G233</f>
        <v>46</v>
      </c>
      <c r="H151" s="565">
        <f t="shared" ref="H151:N151" si="97">H233</f>
        <v>46</v>
      </c>
      <c r="I151" s="565">
        <f t="shared" si="97"/>
        <v>46</v>
      </c>
      <c r="J151" s="565">
        <f t="shared" si="97"/>
        <v>45.7</v>
      </c>
      <c r="K151" s="565">
        <f t="shared" si="97"/>
        <v>45.3</v>
      </c>
      <c r="L151" s="565">
        <f t="shared" si="97"/>
        <v>44.9</v>
      </c>
      <c r="M151" s="565">
        <f t="shared" si="97"/>
        <v>45.4</v>
      </c>
      <c r="N151" s="565">
        <f t="shared" si="97"/>
        <v>45.9</v>
      </c>
      <c r="O151" s="1081">
        <f>VLOOKUP(O$121,$C$286:$O$318,12)</f>
        <v>45.179472202489855</v>
      </c>
      <c r="P151" s="1081">
        <f t="shared" ref="P151:AU151" si="98">VLOOKUP(P$121,$C$286:$O$318,12)</f>
        <v>45.117600562980392</v>
      </c>
      <c r="Q151" s="1081">
        <f t="shared" si="98"/>
        <v>45.248389703133633</v>
      </c>
      <c r="R151" s="1081">
        <f t="shared" si="98"/>
        <v>45.190250127598674</v>
      </c>
      <c r="S151" s="1081">
        <f t="shared" si="98"/>
        <v>45.392121473736516</v>
      </c>
      <c r="T151" s="1081">
        <f t="shared" si="98"/>
        <v>45.644433925671841</v>
      </c>
      <c r="U151" s="1081">
        <f t="shared" si="98"/>
        <v>45.923015098100862</v>
      </c>
      <c r="V151" s="1081">
        <f t="shared" si="98"/>
        <v>46.207001444406053</v>
      </c>
      <c r="W151" s="1081">
        <f t="shared" si="98"/>
        <v>46.419730980267232</v>
      </c>
      <c r="X151" s="1081">
        <f t="shared" si="98"/>
        <v>46.631059323825987</v>
      </c>
      <c r="Y151" s="1081">
        <f t="shared" si="98"/>
        <v>46.839924523073165</v>
      </c>
      <c r="Z151" s="1081">
        <f t="shared" si="98"/>
        <v>47.054043906757286</v>
      </c>
      <c r="AA151" s="1081">
        <f t="shared" si="98"/>
        <v>47.263106384197172</v>
      </c>
      <c r="AB151" s="1081">
        <f t="shared" si="98"/>
        <v>47.363169268373781</v>
      </c>
      <c r="AC151" s="1081">
        <f t="shared" si="98"/>
        <v>47.463048827686151</v>
      </c>
      <c r="AD151" s="1081">
        <f t="shared" si="98"/>
        <v>47.562746231205452</v>
      </c>
      <c r="AE151" s="1081">
        <f t="shared" si="98"/>
        <v>47.662262629564232</v>
      </c>
      <c r="AF151" s="1081">
        <f t="shared" si="98"/>
        <v>47.761599155151828</v>
      </c>
      <c r="AG151" s="1081">
        <f t="shared" si="98"/>
        <v>47.861557709026719</v>
      </c>
      <c r="AH151" s="1081">
        <f t="shared" si="98"/>
        <v>47.961224086497161</v>
      </c>
      <c r="AI151" s="1081">
        <f t="shared" si="98"/>
        <v>48.06060022028862</v>
      </c>
      <c r="AJ151" s="1081">
        <f t="shared" si="98"/>
        <v>48.159688016832391</v>
      </c>
      <c r="AK151" s="1081">
        <f t="shared" si="98"/>
        <v>48.258489356547372</v>
      </c>
      <c r="AL151" s="1081">
        <f t="shared" si="98"/>
        <v>48.37762671431922</v>
      </c>
      <c r="AM151" s="1081">
        <f t="shared" si="98"/>
        <v>48.496315696545963</v>
      </c>
      <c r="AN151" s="1081">
        <f t="shared" si="98"/>
        <v>48.614559135690349</v>
      </c>
      <c r="AO151" s="1081">
        <f t="shared" si="98"/>
        <v>48.73235982855357</v>
      </c>
      <c r="AP151" s="1081">
        <f t="shared" si="98"/>
        <v>48.849720536660548</v>
      </c>
      <c r="AQ151" s="1081">
        <f t="shared" si="98"/>
        <v>49.024574818868821</v>
      </c>
      <c r="AR151" s="1081">
        <f t="shared" si="98"/>
        <v>49.198719487894593</v>
      </c>
      <c r="AS151" s="1081">
        <f t="shared" si="98"/>
        <v>49.372158440659689</v>
      </c>
      <c r="AT151" s="1081">
        <f t="shared" si="98"/>
        <v>49.544895527221009</v>
      </c>
      <c r="AU151" s="1081">
        <f t="shared" si="98"/>
        <v>49.716934551280723</v>
      </c>
      <c r="AV151" s="602"/>
      <c r="AW151" s="602"/>
      <c r="AX151" s="602"/>
      <c r="AY151" s="602"/>
      <c r="AZ151" s="602"/>
      <c r="BA151" s="602"/>
    </row>
    <row r="152" spans="2:53">
      <c r="B152" s="602"/>
      <c r="C152" s="602"/>
      <c r="D152" s="1077"/>
      <c r="E152" s="1077" t="s">
        <v>72</v>
      </c>
      <c r="F152" s="1079" t="s">
        <v>1619</v>
      </c>
      <c r="G152" s="565">
        <f>G242</f>
        <v>73.7</v>
      </c>
      <c r="H152" s="565">
        <f t="shared" ref="H152:N152" si="99">H242</f>
        <v>73.7</v>
      </c>
      <c r="I152" s="565">
        <f t="shared" si="99"/>
        <v>73.7</v>
      </c>
      <c r="J152" s="565">
        <f t="shared" si="99"/>
        <v>72.7</v>
      </c>
      <c r="K152" s="565">
        <f t="shared" si="99"/>
        <v>71.8</v>
      </c>
      <c r="L152" s="565">
        <f t="shared" si="99"/>
        <v>70.8</v>
      </c>
      <c r="M152" s="565">
        <f t="shared" si="99"/>
        <v>71.2</v>
      </c>
      <c r="N152" s="565">
        <f t="shared" si="99"/>
        <v>71.599999999999994</v>
      </c>
      <c r="O152" s="1081">
        <f>VLOOKUP(O$121,$C$286:$O$318,10)</f>
        <v>69.494890781791952</v>
      </c>
      <c r="P152" s="1081">
        <f t="shared" ref="P152:AU152" si="100">VLOOKUP(P$121,$C$286:$O$318,10)</f>
        <v>69.433019142282461</v>
      </c>
      <c r="Q152" s="1081">
        <f t="shared" si="100"/>
        <v>59.910194122791161</v>
      </c>
      <c r="R152" s="1081">
        <f t="shared" si="100"/>
        <v>62.854344413402906</v>
      </c>
      <c r="S152" s="1081">
        <f t="shared" si="100"/>
        <v>63.172513966646889</v>
      </c>
      <c r="T152" s="1081">
        <f t="shared" si="100"/>
        <v>62.478874618815077</v>
      </c>
      <c r="U152" s="1081">
        <f t="shared" si="100"/>
        <v>62.142339464339834</v>
      </c>
      <c r="V152" s="1081">
        <f t="shared" si="100"/>
        <v>61.840436911371611</v>
      </c>
      <c r="W152" s="1081">
        <f t="shared" si="100"/>
        <v>61.559038676176264</v>
      </c>
      <c r="X152" s="1081">
        <f t="shared" si="100"/>
        <v>61.304552221855602</v>
      </c>
      <c r="Y152" s="1081">
        <f t="shared" si="100"/>
        <v>61.075127920444082</v>
      </c>
      <c r="Z152" s="1081">
        <f t="shared" si="100"/>
        <v>60.879811326662022</v>
      </c>
      <c r="AA152" s="1081">
        <f t="shared" si="100"/>
        <v>60.705878120268423</v>
      </c>
      <c r="AB152" s="1081">
        <f t="shared" si="100"/>
        <v>60.70433047636952</v>
      </c>
      <c r="AC152" s="1081">
        <f t="shared" si="100"/>
        <v>60.702548817291905</v>
      </c>
      <c r="AD152" s="1081">
        <f t="shared" si="100"/>
        <v>60.700536499539886</v>
      </c>
      <c r="AE152" s="1081">
        <f t="shared" si="100"/>
        <v>60.698296822060883</v>
      </c>
      <c r="AF152" s="1081">
        <f t="shared" si="100"/>
        <v>60.695833026853684</v>
      </c>
      <c r="AG152" s="1081">
        <f t="shared" si="100"/>
        <v>60.689945389690699</v>
      </c>
      <c r="AH152" s="1081">
        <f t="shared" si="100"/>
        <v>60.683892039969457</v>
      </c>
      <c r="AI152" s="1081">
        <f t="shared" si="100"/>
        <v>60.677675969854107</v>
      </c>
      <c r="AJ152" s="1081">
        <f t="shared" si="100"/>
        <v>60.671300113152753</v>
      </c>
      <c r="AK152" s="1081">
        <f t="shared" si="100"/>
        <v>60.664767346129707</v>
      </c>
      <c r="AL152" s="1081">
        <f t="shared" si="100"/>
        <v>60.675957923099851</v>
      </c>
      <c r="AM152" s="1081">
        <f t="shared" si="100"/>
        <v>60.68702193291076</v>
      </c>
      <c r="AN152" s="1081">
        <f t="shared" si="100"/>
        <v>60.697960969252613</v>
      </c>
      <c r="AO152" s="1081">
        <f t="shared" si="100"/>
        <v>60.70877659234629</v>
      </c>
      <c r="AP152" s="1081">
        <f t="shared" si="100"/>
        <v>60.719470329291362</v>
      </c>
      <c r="AQ152" s="1081">
        <f t="shared" si="100"/>
        <v>60.774302670903623</v>
      </c>
      <c r="AR152" s="1081">
        <f t="shared" si="100"/>
        <v>60.828784329157571</v>
      </c>
      <c r="AS152" s="1081">
        <f t="shared" si="100"/>
        <v>60.882916997101603</v>
      </c>
      <c r="AT152" s="1081">
        <f t="shared" si="100"/>
        <v>60.936702331670006</v>
      </c>
      <c r="AU152" s="1081">
        <f t="shared" si="100"/>
        <v>60.990141954059872</v>
      </c>
      <c r="AV152" s="602"/>
      <c r="AW152" s="602"/>
      <c r="AX152" s="602"/>
      <c r="AY152" s="602"/>
      <c r="AZ152" s="602"/>
      <c r="BA152" s="602"/>
    </row>
    <row r="153" spans="2:53">
      <c r="B153" s="602"/>
      <c r="C153" s="602"/>
      <c r="D153" s="1077"/>
      <c r="E153" s="1077" t="s">
        <v>43</v>
      </c>
      <c r="F153" s="1079" t="s">
        <v>1619</v>
      </c>
      <c r="G153" s="1080">
        <f>G245</f>
        <v>41.5</v>
      </c>
      <c r="H153" s="1080">
        <f t="shared" ref="H153:N153" si="101">H245</f>
        <v>41.5</v>
      </c>
      <c r="I153" s="1080">
        <f t="shared" si="101"/>
        <v>41.5</v>
      </c>
      <c r="J153" s="1080">
        <f t="shared" si="101"/>
        <v>41.2</v>
      </c>
      <c r="K153" s="1080">
        <f t="shared" si="101"/>
        <v>40.799999999999997</v>
      </c>
      <c r="L153" s="1080">
        <f t="shared" si="101"/>
        <v>40.5</v>
      </c>
      <c r="M153" s="1080">
        <f t="shared" si="101"/>
        <v>40.9</v>
      </c>
      <c r="N153" s="1080">
        <f t="shared" si="101"/>
        <v>41.4</v>
      </c>
      <c r="O153" s="1081">
        <f>VLOOKUP(O$121,$C$286:$O$318,13)</f>
        <v>41.634898055339931</v>
      </c>
      <c r="P153" s="1081">
        <f t="shared" ref="P153:AU153" si="102">VLOOKUP(P$121,$C$286:$O$318,13)</f>
        <v>41.634898055339931</v>
      </c>
      <c r="Q153" s="1081">
        <f t="shared" si="102"/>
        <v>41.962449107096752</v>
      </c>
      <c r="R153" s="1081">
        <f t="shared" si="102"/>
        <v>42.37591413450582</v>
      </c>
      <c r="S153" s="1081">
        <f t="shared" si="102"/>
        <v>42.791201303703261</v>
      </c>
      <c r="T153" s="1081">
        <f t="shared" si="102"/>
        <v>43.208184541451871</v>
      </c>
      <c r="U153" s="1081">
        <f t="shared" si="102"/>
        <v>43.626739530646304</v>
      </c>
      <c r="V153" s="1081">
        <f t="shared" si="102"/>
        <v>44.046743692103149</v>
      </c>
      <c r="W153" s="1081">
        <f t="shared" si="102"/>
        <v>44.303492323512977</v>
      </c>
      <c r="X153" s="1081">
        <f t="shared" si="102"/>
        <v>44.56044844066794</v>
      </c>
      <c r="Y153" s="1081">
        <f t="shared" si="102"/>
        <v>44.817607952103295</v>
      </c>
      <c r="Z153" s="1081">
        <f t="shared" si="102"/>
        <v>45.074966809344929</v>
      </c>
      <c r="AA153" s="1081">
        <f t="shared" si="102"/>
        <v>45.332521006394593</v>
      </c>
      <c r="AB153" s="1081">
        <f t="shared" si="102"/>
        <v>45.549544275390517</v>
      </c>
      <c r="AC153" s="1081">
        <f t="shared" si="102"/>
        <v>45.766845997017583</v>
      </c>
      <c r="AD153" s="1081">
        <f t="shared" si="102"/>
        <v>45.93621057509371</v>
      </c>
      <c r="AE153" s="1081">
        <f t="shared" si="102"/>
        <v>46.091987325464736</v>
      </c>
      <c r="AF153" s="1081">
        <f t="shared" si="102"/>
        <v>46.247727566987081</v>
      </c>
      <c r="AG153" s="1081">
        <f t="shared" si="102"/>
        <v>46.390503884981669</v>
      </c>
      <c r="AH153" s="1081">
        <f t="shared" si="102"/>
        <v>46.533237561648519</v>
      </c>
      <c r="AI153" s="1081">
        <f t="shared" si="102"/>
        <v>46.675927978934773</v>
      </c>
      <c r="AJ153" s="1081">
        <f t="shared" si="102"/>
        <v>46.818574524689666</v>
      </c>
      <c r="AK153" s="1081">
        <f t="shared" si="102"/>
        <v>46.961176592602918</v>
      </c>
      <c r="AL153" s="1081">
        <f t="shared" si="102"/>
        <v>46.961176592602918</v>
      </c>
      <c r="AM153" s="1081">
        <f t="shared" si="102"/>
        <v>46.961176592602918</v>
      </c>
      <c r="AN153" s="1081">
        <f t="shared" si="102"/>
        <v>46.961176592602918</v>
      </c>
      <c r="AO153" s="1081">
        <f t="shared" si="102"/>
        <v>46.961176592602918</v>
      </c>
      <c r="AP153" s="1081">
        <f t="shared" si="102"/>
        <v>46.961176592602918</v>
      </c>
      <c r="AQ153" s="1081">
        <f t="shared" si="102"/>
        <v>46.961176592602918</v>
      </c>
      <c r="AR153" s="1081">
        <f t="shared" si="102"/>
        <v>46.961176592602918</v>
      </c>
      <c r="AS153" s="1081">
        <f t="shared" si="102"/>
        <v>46.961176592602918</v>
      </c>
      <c r="AT153" s="1081">
        <f t="shared" si="102"/>
        <v>46.961176592602918</v>
      </c>
      <c r="AU153" s="1081">
        <f t="shared" si="102"/>
        <v>46.961176592602918</v>
      </c>
      <c r="AV153" s="602"/>
      <c r="AW153" s="602"/>
      <c r="AX153" s="602"/>
      <c r="AY153" s="602"/>
      <c r="AZ153" s="602"/>
      <c r="BA153" s="602"/>
    </row>
    <row r="154" spans="2:53">
      <c r="B154" s="602"/>
      <c r="C154" s="602"/>
      <c r="D154" s="1077" t="s">
        <v>844</v>
      </c>
      <c r="E154" s="1077" t="s">
        <v>726</v>
      </c>
      <c r="F154" s="1046" t="s">
        <v>206</v>
      </c>
      <c r="G154" s="1080">
        <f>G153</f>
        <v>41.5</v>
      </c>
      <c r="H154" s="1080">
        <f t="shared" ref="H154:AU154" si="103">H153</f>
        <v>41.5</v>
      </c>
      <c r="I154" s="1080">
        <f t="shared" si="103"/>
        <v>41.5</v>
      </c>
      <c r="J154" s="1080">
        <f t="shared" si="103"/>
        <v>41.2</v>
      </c>
      <c r="K154" s="1080">
        <f t="shared" si="103"/>
        <v>40.799999999999997</v>
      </c>
      <c r="L154" s="1080">
        <f t="shared" si="103"/>
        <v>40.5</v>
      </c>
      <c r="M154" s="1080">
        <f t="shared" si="103"/>
        <v>40.9</v>
      </c>
      <c r="N154" s="1080">
        <f t="shared" si="103"/>
        <v>41.4</v>
      </c>
      <c r="O154" s="1080">
        <f t="shared" si="103"/>
        <v>41.634898055339931</v>
      </c>
      <c r="P154" s="1080">
        <f t="shared" si="103"/>
        <v>41.634898055339931</v>
      </c>
      <c r="Q154" s="1080">
        <f t="shared" si="103"/>
        <v>41.962449107096752</v>
      </c>
      <c r="R154" s="1080">
        <f t="shared" si="103"/>
        <v>42.37591413450582</v>
      </c>
      <c r="S154" s="1080">
        <f t="shared" si="103"/>
        <v>42.791201303703261</v>
      </c>
      <c r="T154" s="1080">
        <f t="shared" si="103"/>
        <v>43.208184541451871</v>
      </c>
      <c r="U154" s="1080">
        <f t="shared" si="103"/>
        <v>43.626739530646304</v>
      </c>
      <c r="V154" s="1080">
        <f t="shared" si="103"/>
        <v>44.046743692103149</v>
      </c>
      <c r="W154" s="1080">
        <f t="shared" si="103"/>
        <v>44.303492323512977</v>
      </c>
      <c r="X154" s="1080">
        <f t="shared" si="103"/>
        <v>44.56044844066794</v>
      </c>
      <c r="Y154" s="1080">
        <f t="shared" si="103"/>
        <v>44.817607952103295</v>
      </c>
      <c r="Z154" s="1080">
        <f t="shared" si="103"/>
        <v>45.074966809344929</v>
      </c>
      <c r="AA154" s="1080">
        <f t="shared" si="103"/>
        <v>45.332521006394593</v>
      </c>
      <c r="AB154" s="1080">
        <f t="shared" si="103"/>
        <v>45.549544275390517</v>
      </c>
      <c r="AC154" s="1080">
        <f t="shared" si="103"/>
        <v>45.766845997017583</v>
      </c>
      <c r="AD154" s="1080">
        <f t="shared" si="103"/>
        <v>45.93621057509371</v>
      </c>
      <c r="AE154" s="1080">
        <f t="shared" si="103"/>
        <v>46.091987325464736</v>
      </c>
      <c r="AF154" s="1080">
        <f t="shared" si="103"/>
        <v>46.247727566987081</v>
      </c>
      <c r="AG154" s="1080">
        <f t="shared" si="103"/>
        <v>46.390503884981669</v>
      </c>
      <c r="AH154" s="1080">
        <f t="shared" si="103"/>
        <v>46.533237561648519</v>
      </c>
      <c r="AI154" s="1080">
        <f t="shared" si="103"/>
        <v>46.675927978934773</v>
      </c>
      <c r="AJ154" s="1080">
        <f t="shared" si="103"/>
        <v>46.818574524689666</v>
      </c>
      <c r="AK154" s="1080">
        <f t="shared" si="103"/>
        <v>46.961176592602918</v>
      </c>
      <c r="AL154" s="1080">
        <f t="shared" si="103"/>
        <v>46.961176592602918</v>
      </c>
      <c r="AM154" s="1080">
        <f t="shared" si="103"/>
        <v>46.961176592602918</v>
      </c>
      <c r="AN154" s="1080">
        <f t="shared" si="103"/>
        <v>46.961176592602918</v>
      </c>
      <c r="AO154" s="1080">
        <f t="shared" si="103"/>
        <v>46.961176592602918</v>
      </c>
      <c r="AP154" s="1080">
        <f t="shared" si="103"/>
        <v>46.961176592602918</v>
      </c>
      <c r="AQ154" s="1080">
        <f t="shared" si="103"/>
        <v>46.961176592602918</v>
      </c>
      <c r="AR154" s="1080">
        <f t="shared" si="103"/>
        <v>46.961176592602918</v>
      </c>
      <c r="AS154" s="1080">
        <f t="shared" si="103"/>
        <v>46.961176592602918</v>
      </c>
      <c r="AT154" s="1080">
        <f t="shared" si="103"/>
        <v>46.961176592602918</v>
      </c>
      <c r="AU154" s="1080">
        <f t="shared" si="103"/>
        <v>46.961176592602918</v>
      </c>
      <c r="AV154" s="602"/>
      <c r="AW154" s="602"/>
      <c r="AX154" s="602"/>
      <c r="AY154" s="602"/>
      <c r="AZ154" s="602"/>
      <c r="BA154" s="602"/>
    </row>
    <row r="155" spans="2:53">
      <c r="B155" s="602"/>
      <c r="C155" s="602"/>
      <c r="D155" s="1077"/>
      <c r="E155" s="1077" t="s">
        <v>347</v>
      </c>
      <c r="F155" s="1046" t="s">
        <v>206</v>
      </c>
      <c r="G155" s="1080">
        <f t="shared" ref="G155:AU159" si="104">$E204</f>
        <v>72.400000000000006</v>
      </c>
      <c r="H155" s="1080">
        <f t="shared" si="104"/>
        <v>72.400000000000006</v>
      </c>
      <c r="I155" s="1080">
        <f t="shared" si="104"/>
        <v>72.400000000000006</v>
      </c>
      <c r="J155" s="1080">
        <f t="shared" si="104"/>
        <v>72.400000000000006</v>
      </c>
      <c r="K155" s="1080">
        <f t="shared" si="104"/>
        <v>72.400000000000006</v>
      </c>
      <c r="L155" s="1080">
        <f t="shared" si="104"/>
        <v>72.400000000000006</v>
      </c>
      <c r="M155" s="1080">
        <f t="shared" si="104"/>
        <v>72.400000000000006</v>
      </c>
      <c r="N155" s="1080">
        <f t="shared" si="104"/>
        <v>72.400000000000006</v>
      </c>
      <c r="O155" s="1080">
        <f t="shared" si="104"/>
        <v>72.400000000000006</v>
      </c>
      <c r="P155" s="1080">
        <f t="shared" si="104"/>
        <v>72.400000000000006</v>
      </c>
      <c r="Q155" s="1080">
        <f t="shared" si="104"/>
        <v>72.400000000000006</v>
      </c>
      <c r="R155" s="1080">
        <f t="shared" si="104"/>
        <v>72.400000000000006</v>
      </c>
      <c r="S155" s="1080">
        <f t="shared" si="104"/>
        <v>72.400000000000006</v>
      </c>
      <c r="T155" s="1080">
        <f t="shared" si="104"/>
        <v>72.400000000000006</v>
      </c>
      <c r="U155" s="1080">
        <f t="shared" si="104"/>
        <v>72.400000000000006</v>
      </c>
      <c r="V155" s="1080">
        <f t="shared" si="104"/>
        <v>72.400000000000006</v>
      </c>
      <c r="W155" s="1080">
        <f t="shared" si="104"/>
        <v>72.400000000000006</v>
      </c>
      <c r="X155" s="1080">
        <f t="shared" si="104"/>
        <v>72.400000000000006</v>
      </c>
      <c r="Y155" s="1080">
        <f t="shared" si="104"/>
        <v>72.400000000000006</v>
      </c>
      <c r="Z155" s="1080">
        <f t="shared" si="104"/>
        <v>72.400000000000006</v>
      </c>
      <c r="AA155" s="1080">
        <f t="shared" si="104"/>
        <v>72.400000000000006</v>
      </c>
      <c r="AB155" s="1080">
        <f t="shared" si="104"/>
        <v>72.400000000000006</v>
      </c>
      <c r="AC155" s="1080">
        <f t="shared" si="104"/>
        <v>72.400000000000006</v>
      </c>
      <c r="AD155" s="1080">
        <f t="shared" si="104"/>
        <v>72.400000000000006</v>
      </c>
      <c r="AE155" s="1080">
        <f t="shared" si="104"/>
        <v>72.400000000000006</v>
      </c>
      <c r="AF155" s="1080">
        <f t="shared" si="104"/>
        <v>72.400000000000006</v>
      </c>
      <c r="AG155" s="1080">
        <f t="shared" si="104"/>
        <v>72.400000000000006</v>
      </c>
      <c r="AH155" s="1080">
        <f t="shared" si="104"/>
        <v>72.400000000000006</v>
      </c>
      <c r="AI155" s="1080">
        <f t="shared" si="104"/>
        <v>72.400000000000006</v>
      </c>
      <c r="AJ155" s="1080">
        <f t="shared" si="104"/>
        <v>72.400000000000006</v>
      </c>
      <c r="AK155" s="1080">
        <f t="shared" si="104"/>
        <v>72.400000000000006</v>
      </c>
      <c r="AL155" s="1080">
        <f t="shared" si="104"/>
        <v>72.400000000000006</v>
      </c>
      <c r="AM155" s="1080">
        <f t="shared" si="104"/>
        <v>72.400000000000006</v>
      </c>
      <c r="AN155" s="1080">
        <f t="shared" si="104"/>
        <v>72.400000000000006</v>
      </c>
      <c r="AO155" s="1080">
        <f t="shared" si="104"/>
        <v>72.400000000000006</v>
      </c>
      <c r="AP155" s="1080">
        <f t="shared" si="104"/>
        <v>72.400000000000006</v>
      </c>
      <c r="AQ155" s="1080">
        <f t="shared" si="104"/>
        <v>72.400000000000006</v>
      </c>
      <c r="AR155" s="1080">
        <f t="shared" si="104"/>
        <v>72.400000000000006</v>
      </c>
      <c r="AS155" s="1080">
        <f t="shared" si="104"/>
        <v>72.400000000000006</v>
      </c>
      <c r="AT155" s="1080">
        <f t="shared" si="104"/>
        <v>72.400000000000006</v>
      </c>
      <c r="AU155" s="1080">
        <f t="shared" si="104"/>
        <v>72.400000000000006</v>
      </c>
      <c r="AV155" s="602"/>
      <c r="AW155" s="602"/>
      <c r="AX155" s="602"/>
      <c r="AY155" s="602"/>
      <c r="AZ155" s="602"/>
      <c r="BA155" s="602"/>
    </row>
    <row r="156" spans="2:53">
      <c r="B156" s="602"/>
      <c r="C156" s="602"/>
      <c r="D156" s="1077"/>
      <c r="E156" s="1077" t="s">
        <v>349</v>
      </c>
      <c r="F156" s="1046" t="s">
        <v>206</v>
      </c>
      <c r="G156" s="1080">
        <f t="shared" si="104"/>
        <v>101.7</v>
      </c>
      <c r="H156" s="1080">
        <f t="shared" si="104"/>
        <v>101.7</v>
      </c>
      <c r="I156" s="1080">
        <f t="shared" si="104"/>
        <v>101.7</v>
      </c>
      <c r="J156" s="1080">
        <f t="shared" si="104"/>
        <v>101.7</v>
      </c>
      <c r="K156" s="1080">
        <f t="shared" si="104"/>
        <v>101.7</v>
      </c>
      <c r="L156" s="1080">
        <f t="shared" si="104"/>
        <v>101.7</v>
      </c>
      <c r="M156" s="1080">
        <f t="shared" si="104"/>
        <v>101.7</v>
      </c>
      <c r="N156" s="1080">
        <f t="shared" si="104"/>
        <v>101.7</v>
      </c>
      <c r="O156" s="1080">
        <f t="shared" si="104"/>
        <v>101.7</v>
      </c>
      <c r="P156" s="1080">
        <f t="shared" si="104"/>
        <v>101.7</v>
      </c>
      <c r="Q156" s="1080">
        <f t="shared" si="104"/>
        <v>101.7</v>
      </c>
      <c r="R156" s="1080">
        <f t="shared" si="104"/>
        <v>101.7</v>
      </c>
      <c r="S156" s="1080">
        <f t="shared" si="104"/>
        <v>101.7</v>
      </c>
      <c r="T156" s="1080">
        <f t="shared" si="104"/>
        <v>101.7</v>
      </c>
      <c r="U156" s="1080">
        <f t="shared" si="104"/>
        <v>101.7</v>
      </c>
      <c r="V156" s="1080">
        <f t="shared" si="104"/>
        <v>101.7</v>
      </c>
      <c r="W156" s="1080">
        <f t="shared" si="104"/>
        <v>101.7</v>
      </c>
      <c r="X156" s="1080">
        <f t="shared" si="104"/>
        <v>101.7</v>
      </c>
      <c r="Y156" s="1080">
        <f t="shared" si="104"/>
        <v>101.7</v>
      </c>
      <c r="Z156" s="1080">
        <f t="shared" si="104"/>
        <v>101.7</v>
      </c>
      <c r="AA156" s="1080">
        <f t="shared" si="104"/>
        <v>101.7</v>
      </c>
      <c r="AB156" s="1080">
        <f t="shared" si="104"/>
        <v>101.7</v>
      </c>
      <c r="AC156" s="1080">
        <f t="shared" si="104"/>
        <v>101.7</v>
      </c>
      <c r="AD156" s="1080">
        <f t="shared" si="104"/>
        <v>101.7</v>
      </c>
      <c r="AE156" s="1080">
        <f t="shared" si="104"/>
        <v>101.7</v>
      </c>
      <c r="AF156" s="1080">
        <f t="shared" si="104"/>
        <v>101.7</v>
      </c>
      <c r="AG156" s="1080">
        <f t="shared" si="104"/>
        <v>101.7</v>
      </c>
      <c r="AH156" s="1080">
        <f t="shared" si="104"/>
        <v>101.7</v>
      </c>
      <c r="AI156" s="1080">
        <f t="shared" si="104"/>
        <v>101.7</v>
      </c>
      <c r="AJ156" s="1080">
        <f t="shared" si="104"/>
        <v>101.7</v>
      </c>
      <c r="AK156" s="1080">
        <f t="shared" si="104"/>
        <v>101.7</v>
      </c>
      <c r="AL156" s="1080">
        <f t="shared" si="104"/>
        <v>101.7</v>
      </c>
      <c r="AM156" s="1080">
        <f t="shared" si="104"/>
        <v>101.7</v>
      </c>
      <c r="AN156" s="1080">
        <f t="shared" si="104"/>
        <v>101.7</v>
      </c>
      <c r="AO156" s="1080">
        <f t="shared" si="104"/>
        <v>101.7</v>
      </c>
      <c r="AP156" s="1080">
        <f t="shared" si="104"/>
        <v>101.7</v>
      </c>
      <c r="AQ156" s="1080">
        <f t="shared" si="104"/>
        <v>101.7</v>
      </c>
      <c r="AR156" s="1080">
        <f t="shared" si="104"/>
        <v>101.7</v>
      </c>
      <c r="AS156" s="1080">
        <f t="shared" si="104"/>
        <v>101.7</v>
      </c>
      <c r="AT156" s="1080">
        <f t="shared" si="104"/>
        <v>101.7</v>
      </c>
      <c r="AU156" s="1080">
        <f t="shared" si="104"/>
        <v>101.7</v>
      </c>
      <c r="AV156" s="602"/>
      <c r="AW156" s="602"/>
      <c r="AX156" s="602"/>
      <c r="AY156" s="602"/>
      <c r="AZ156" s="602"/>
      <c r="BA156" s="602"/>
    </row>
    <row r="157" spans="2:53">
      <c r="B157" s="602"/>
      <c r="C157" s="602"/>
      <c r="D157" s="1077"/>
      <c r="E157" s="1077" t="s">
        <v>359</v>
      </c>
      <c r="F157" s="1046" t="s">
        <v>206</v>
      </c>
      <c r="G157" s="1080">
        <f t="shared" si="104"/>
        <v>10.6</v>
      </c>
      <c r="H157" s="1080">
        <f t="shared" si="104"/>
        <v>10.6</v>
      </c>
      <c r="I157" s="1080">
        <f t="shared" si="104"/>
        <v>10.6</v>
      </c>
      <c r="J157" s="1080">
        <f t="shared" si="104"/>
        <v>10.6</v>
      </c>
      <c r="K157" s="1080">
        <f t="shared" si="104"/>
        <v>10.6</v>
      </c>
      <c r="L157" s="1080">
        <f t="shared" si="104"/>
        <v>10.6</v>
      </c>
      <c r="M157" s="1080">
        <f t="shared" si="104"/>
        <v>10.6</v>
      </c>
      <c r="N157" s="1080">
        <f t="shared" si="104"/>
        <v>10.6</v>
      </c>
      <c r="O157" s="1080">
        <f t="shared" si="104"/>
        <v>10.6</v>
      </c>
      <c r="P157" s="1080">
        <f t="shared" si="104"/>
        <v>10.6</v>
      </c>
      <c r="Q157" s="1080">
        <f t="shared" si="104"/>
        <v>10.6</v>
      </c>
      <c r="R157" s="1080">
        <f t="shared" si="104"/>
        <v>10.6</v>
      </c>
      <c r="S157" s="1080">
        <f t="shared" si="104"/>
        <v>10.6</v>
      </c>
      <c r="T157" s="1080">
        <f t="shared" si="104"/>
        <v>10.6</v>
      </c>
      <c r="U157" s="1080">
        <f t="shared" si="104"/>
        <v>10.6</v>
      </c>
      <c r="V157" s="1080">
        <f t="shared" si="104"/>
        <v>10.6</v>
      </c>
      <c r="W157" s="1080">
        <f t="shared" si="104"/>
        <v>10.6</v>
      </c>
      <c r="X157" s="1080">
        <f t="shared" si="104"/>
        <v>10.6</v>
      </c>
      <c r="Y157" s="1080">
        <f t="shared" si="104"/>
        <v>10.6</v>
      </c>
      <c r="Z157" s="1080">
        <f t="shared" si="104"/>
        <v>10.6</v>
      </c>
      <c r="AA157" s="1080">
        <f t="shared" si="104"/>
        <v>10.6</v>
      </c>
      <c r="AB157" s="1080">
        <f t="shared" si="104"/>
        <v>10.6</v>
      </c>
      <c r="AC157" s="1080">
        <f t="shared" si="104"/>
        <v>10.6</v>
      </c>
      <c r="AD157" s="1080">
        <f t="shared" si="104"/>
        <v>10.6</v>
      </c>
      <c r="AE157" s="1080">
        <f t="shared" si="104"/>
        <v>10.6</v>
      </c>
      <c r="AF157" s="1080">
        <f t="shared" si="104"/>
        <v>10.6</v>
      </c>
      <c r="AG157" s="1080">
        <f t="shared" si="104"/>
        <v>10.6</v>
      </c>
      <c r="AH157" s="1080">
        <f t="shared" si="104"/>
        <v>10.6</v>
      </c>
      <c r="AI157" s="1080">
        <f t="shared" si="104"/>
        <v>10.6</v>
      </c>
      <c r="AJ157" s="1080">
        <f t="shared" si="104"/>
        <v>10.6</v>
      </c>
      <c r="AK157" s="1080">
        <f t="shared" si="104"/>
        <v>10.6</v>
      </c>
      <c r="AL157" s="1080">
        <f t="shared" si="104"/>
        <v>10.6</v>
      </c>
      <c r="AM157" s="1080">
        <f t="shared" si="104"/>
        <v>10.6</v>
      </c>
      <c r="AN157" s="1080">
        <f t="shared" si="104"/>
        <v>10.6</v>
      </c>
      <c r="AO157" s="1080">
        <f t="shared" si="104"/>
        <v>10.6</v>
      </c>
      <c r="AP157" s="1080">
        <f t="shared" si="104"/>
        <v>10.6</v>
      </c>
      <c r="AQ157" s="1080">
        <f t="shared" si="104"/>
        <v>10.6</v>
      </c>
      <c r="AR157" s="1080">
        <f t="shared" si="104"/>
        <v>10.6</v>
      </c>
      <c r="AS157" s="1080">
        <f t="shared" si="104"/>
        <v>10.6</v>
      </c>
      <c r="AT157" s="1080">
        <f t="shared" si="104"/>
        <v>10.6</v>
      </c>
      <c r="AU157" s="1080">
        <f t="shared" si="104"/>
        <v>10.6</v>
      </c>
      <c r="AV157" s="602"/>
      <c r="AW157" s="602"/>
      <c r="AX157" s="602"/>
      <c r="AY157" s="602"/>
      <c r="AZ157" s="602"/>
      <c r="BA157" s="602"/>
    </row>
    <row r="158" spans="2:53">
      <c r="B158" s="602"/>
      <c r="C158" s="602"/>
      <c r="D158" s="1077"/>
      <c r="E158" s="1077" t="s">
        <v>351</v>
      </c>
      <c r="F158" s="1046" t="s">
        <v>206</v>
      </c>
      <c r="G158" s="1080">
        <f>$E207</f>
        <v>207.6</v>
      </c>
      <c r="H158" s="1080">
        <f t="shared" si="104"/>
        <v>207.6</v>
      </c>
      <c r="I158" s="1080">
        <f t="shared" si="104"/>
        <v>207.6</v>
      </c>
      <c r="J158" s="1080">
        <f t="shared" si="104"/>
        <v>207.6</v>
      </c>
      <c r="K158" s="1080">
        <f t="shared" si="104"/>
        <v>207.6</v>
      </c>
      <c r="L158" s="1080">
        <f t="shared" si="104"/>
        <v>207.6</v>
      </c>
      <c r="M158" s="1080">
        <f t="shared" si="104"/>
        <v>207.6</v>
      </c>
      <c r="N158" s="1080">
        <f t="shared" si="104"/>
        <v>207.6</v>
      </c>
      <c r="O158" s="1080">
        <f t="shared" si="104"/>
        <v>207.6</v>
      </c>
      <c r="P158" s="1080">
        <f t="shared" si="104"/>
        <v>207.6</v>
      </c>
      <c r="Q158" s="1080">
        <f t="shared" si="104"/>
        <v>207.6</v>
      </c>
      <c r="R158" s="1080">
        <f t="shared" si="104"/>
        <v>207.6</v>
      </c>
      <c r="S158" s="1080">
        <f t="shared" si="104"/>
        <v>207.6</v>
      </c>
      <c r="T158" s="1080">
        <f t="shared" si="104"/>
        <v>207.6</v>
      </c>
      <c r="U158" s="1080">
        <f t="shared" si="104"/>
        <v>207.6</v>
      </c>
      <c r="V158" s="1080">
        <f t="shared" si="104"/>
        <v>207.6</v>
      </c>
      <c r="W158" s="1080">
        <f t="shared" si="104"/>
        <v>207.6</v>
      </c>
      <c r="X158" s="1080">
        <f t="shared" si="104"/>
        <v>207.6</v>
      </c>
      <c r="Y158" s="1080">
        <f t="shared" si="104"/>
        <v>207.6</v>
      </c>
      <c r="Z158" s="1080">
        <f t="shared" si="104"/>
        <v>207.6</v>
      </c>
      <c r="AA158" s="1080">
        <f t="shared" si="104"/>
        <v>207.6</v>
      </c>
      <c r="AB158" s="1080">
        <f t="shared" si="104"/>
        <v>207.6</v>
      </c>
      <c r="AC158" s="1080">
        <f t="shared" si="104"/>
        <v>207.6</v>
      </c>
      <c r="AD158" s="1080">
        <f t="shared" si="104"/>
        <v>207.6</v>
      </c>
      <c r="AE158" s="1080">
        <f t="shared" si="104"/>
        <v>207.6</v>
      </c>
      <c r="AF158" s="1080">
        <f t="shared" si="104"/>
        <v>207.6</v>
      </c>
      <c r="AG158" s="1080">
        <f t="shared" si="104"/>
        <v>207.6</v>
      </c>
      <c r="AH158" s="1080">
        <f t="shared" si="104"/>
        <v>207.6</v>
      </c>
      <c r="AI158" s="1080">
        <f t="shared" si="104"/>
        <v>207.6</v>
      </c>
      <c r="AJ158" s="1080">
        <f t="shared" si="104"/>
        <v>207.6</v>
      </c>
      <c r="AK158" s="1080">
        <f t="shared" si="104"/>
        <v>207.6</v>
      </c>
      <c r="AL158" s="1080">
        <f t="shared" si="104"/>
        <v>207.6</v>
      </c>
      <c r="AM158" s="1080">
        <f t="shared" si="104"/>
        <v>207.6</v>
      </c>
      <c r="AN158" s="1080">
        <f t="shared" si="104"/>
        <v>207.6</v>
      </c>
      <c r="AO158" s="1080">
        <f t="shared" si="104"/>
        <v>207.6</v>
      </c>
      <c r="AP158" s="1080">
        <f t="shared" si="104"/>
        <v>207.6</v>
      </c>
      <c r="AQ158" s="1080">
        <f t="shared" si="104"/>
        <v>207.6</v>
      </c>
      <c r="AR158" s="1080">
        <f t="shared" si="104"/>
        <v>207.6</v>
      </c>
      <c r="AS158" s="1080">
        <f t="shared" si="104"/>
        <v>207.6</v>
      </c>
      <c r="AT158" s="1080">
        <f t="shared" si="104"/>
        <v>207.6</v>
      </c>
      <c r="AU158" s="1080">
        <f t="shared" si="104"/>
        <v>207.6</v>
      </c>
      <c r="AV158" s="602"/>
      <c r="AW158" s="602"/>
      <c r="AX158" s="602"/>
      <c r="AY158" s="602"/>
      <c r="AZ158" s="602"/>
      <c r="BA158" s="602"/>
    </row>
    <row r="159" spans="2:53">
      <c r="B159" s="602"/>
      <c r="C159" s="602"/>
      <c r="D159" s="1077"/>
      <c r="E159" s="1077" t="s">
        <v>352</v>
      </c>
      <c r="F159" s="1046" t="s">
        <v>206</v>
      </c>
      <c r="G159" s="1080">
        <f>$E208</f>
        <v>207.6</v>
      </c>
      <c r="H159" s="1080">
        <f t="shared" si="104"/>
        <v>207.6</v>
      </c>
      <c r="I159" s="1080">
        <f t="shared" si="104"/>
        <v>207.6</v>
      </c>
      <c r="J159" s="1080">
        <f t="shared" si="104"/>
        <v>207.6</v>
      </c>
      <c r="K159" s="1080">
        <f t="shared" si="104"/>
        <v>207.6</v>
      </c>
      <c r="L159" s="1080">
        <f t="shared" si="104"/>
        <v>207.6</v>
      </c>
      <c r="M159" s="1080">
        <f t="shared" si="104"/>
        <v>207.6</v>
      </c>
      <c r="N159" s="1080">
        <f t="shared" si="104"/>
        <v>207.6</v>
      </c>
      <c r="O159" s="1080">
        <f t="shared" si="104"/>
        <v>207.6</v>
      </c>
      <c r="P159" s="1080">
        <f t="shared" si="104"/>
        <v>207.6</v>
      </c>
      <c r="Q159" s="1080">
        <f t="shared" si="104"/>
        <v>207.6</v>
      </c>
      <c r="R159" s="1080">
        <f t="shared" si="104"/>
        <v>207.6</v>
      </c>
      <c r="S159" s="1080">
        <f t="shared" si="104"/>
        <v>207.6</v>
      </c>
      <c r="T159" s="1080">
        <f t="shared" si="104"/>
        <v>207.6</v>
      </c>
      <c r="U159" s="1080">
        <f t="shared" si="104"/>
        <v>207.6</v>
      </c>
      <c r="V159" s="1080">
        <f t="shared" si="104"/>
        <v>207.6</v>
      </c>
      <c r="W159" s="1080">
        <f t="shared" si="104"/>
        <v>207.6</v>
      </c>
      <c r="X159" s="1080">
        <f t="shared" si="104"/>
        <v>207.6</v>
      </c>
      <c r="Y159" s="1080">
        <f t="shared" si="104"/>
        <v>207.6</v>
      </c>
      <c r="Z159" s="1080">
        <f t="shared" si="104"/>
        <v>207.6</v>
      </c>
      <c r="AA159" s="1080">
        <f t="shared" si="104"/>
        <v>207.6</v>
      </c>
      <c r="AB159" s="1080">
        <f t="shared" si="104"/>
        <v>207.6</v>
      </c>
      <c r="AC159" s="1080">
        <f t="shared" si="104"/>
        <v>207.6</v>
      </c>
      <c r="AD159" s="1080">
        <f t="shared" si="104"/>
        <v>207.6</v>
      </c>
      <c r="AE159" s="1080">
        <f t="shared" si="104"/>
        <v>207.6</v>
      </c>
      <c r="AF159" s="1080">
        <f t="shared" si="104"/>
        <v>207.6</v>
      </c>
      <c r="AG159" s="1080">
        <f t="shared" si="104"/>
        <v>207.6</v>
      </c>
      <c r="AH159" s="1080">
        <f t="shared" si="104"/>
        <v>207.6</v>
      </c>
      <c r="AI159" s="1080">
        <f t="shared" si="104"/>
        <v>207.6</v>
      </c>
      <c r="AJ159" s="1080">
        <f t="shared" si="104"/>
        <v>207.6</v>
      </c>
      <c r="AK159" s="1080">
        <f t="shared" si="104"/>
        <v>207.6</v>
      </c>
      <c r="AL159" s="1080">
        <f t="shared" si="104"/>
        <v>207.6</v>
      </c>
      <c r="AM159" s="1080">
        <f t="shared" si="104"/>
        <v>207.6</v>
      </c>
      <c r="AN159" s="1080">
        <f t="shared" si="104"/>
        <v>207.6</v>
      </c>
      <c r="AO159" s="1080">
        <f t="shared" si="104"/>
        <v>207.6</v>
      </c>
      <c r="AP159" s="1080">
        <f t="shared" si="104"/>
        <v>207.6</v>
      </c>
      <c r="AQ159" s="1080">
        <f t="shared" si="104"/>
        <v>207.6</v>
      </c>
      <c r="AR159" s="1080">
        <f t="shared" si="104"/>
        <v>207.6</v>
      </c>
      <c r="AS159" s="1080">
        <f t="shared" si="104"/>
        <v>207.6</v>
      </c>
      <c r="AT159" s="1080">
        <f t="shared" si="104"/>
        <v>207.6</v>
      </c>
      <c r="AU159" s="1080">
        <f t="shared" si="104"/>
        <v>207.6</v>
      </c>
      <c r="AV159" s="602"/>
      <c r="AW159" s="602"/>
      <c r="AX159" s="602"/>
      <c r="AY159" s="602"/>
      <c r="AZ159" s="602"/>
      <c r="BA159" s="602"/>
    </row>
    <row r="160" spans="2:53">
      <c r="B160" s="602"/>
      <c r="C160" s="602"/>
      <c r="D160" s="1077"/>
      <c r="E160" s="1077" t="s">
        <v>771</v>
      </c>
      <c r="F160" s="1046" t="s">
        <v>206</v>
      </c>
      <c r="G160" s="1080">
        <f>G159*2</f>
        <v>415.2</v>
      </c>
      <c r="H160" s="1080">
        <f t="shared" ref="H160:AU160" si="105">H159*2</f>
        <v>415.2</v>
      </c>
      <c r="I160" s="1080">
        <f t="shared" si="105"/>
        <v>415.2</v>
      </c>
      <c r="J160" s="1080">
        <f t="shared" si="105"/>
        <v>415.2</v>
      </c>
      <c r="K160" s="1080">
        <f t="shared" si="105"/>
        <v>415.2</v>
      </c>
      <c r="L160" s="1080">
        <f t="shared" si="105"/>
        <v>415.2</v>
      </c>
      <c r="M160" s="1080">
        <f t="shared" si="105"/>
        <v>415.2</v>
      </c>
      <c r="N160" s="1080">
        <f t="shared" si="105"/>
        <v>415.2</v>
      </c>
      <c r="O160" s="1080">
        <f t="shared" si="105"/>
        <v>415.2</v>
      </c>
      <c r="P160" s="1080">
        <f t="shared" si="105"/>
        <v>415.2</v>
      </c>
      <c r="Q160" s="1080">
        <f t="shared" si="105"/>
        <v>415.2</v>
      </c>
      <c r="R160" s="1080">
        <f t="shared" si="105"/>
        <v>415.2</v>
      </c>
      <c r="S160" s="1080">
        <f t="shared" si="105"/>
        <v>415.2</v>
      </c>
      <c r="T160" s="1080">
        <f t="shared" si="105"/>
        <v>415.2</v>
      </c>
      <c r="U160" s="1080">
        <f t="shared" si="105"/>
        <v>415.2</v>
      </c>
      <c r="V160" s="1080">
        <f t="shared" si="105"/>
        <v>415.2</v>
      </c>
      <c r="W160" s="1080">
        <f t="shared" si="105"/>
        <v>415.2</v>
      </c>
      <c r="X160" s="1080">
        <f t="shared" si="105"/>
        <v>415.2</v>
      </c>
      <c r="Y160" s="1080">
        <f t="shared" si="105"/>
        <v>415.2</v>
      </c>
      <c r="Z160" s="1080">
        <f t="shared" si="105"/>
        <v>415.2</v>
      </c>
      <c r="AA160" s="1080">
        <f t="shared" si="105"/>
        <v>415.2</v>
      </c>
      <c r="AB160" s="1080">
        <f t="shared" si="105"/>
        <v>415.2</v>
      </c>
      <c r="AC160" s="1080">
        <f t="shared" si="105"/>
        <v>415.2</v>
      </c>
      <c r="AD160" s="1080">
        <f t="shared" si="105"/>
        <v>415.2</v>
      </c>
      <c r="AE160" s="1080">
        <f t="shared" si="105"/>
        <v>415.2</v>
      </c>
      <c r="AF160" s="1080">
        <f t="shared" si="105"/>
        <v>415.2</v>
      </c>
      <c r="AG160" s="1080">
        <f t="shared" si="105"/>
        <v>415.2</v>
      </c>
      <c r="AH160" s="1080">
        <f t="shared" si="105"/>
        <v>415.2</v>
      </c>
      <c r="AI160" s="1080">
        <f t="shared" si="105"/>
        <v>415.2</v>
      </c>
      <c r="AJ160" s="1080">
        <f t="shared" si="105"/>
        <v>415.2</v>
      </c>
      <c r="AK160" s="1080">
        <f t="shared" si="105"/>
        <v>415.2</v>
      </c>
      <c r="AL160" s="1080">
        <f t="shared" si="105"/>
        <v>415.2</v>
      </c>
      <c r="AM160" s="1080">
        <f t="shared" si="105"/>
        <v>415.2</v>
      </c>
      <c r="AN160" s="1080">
        <f t="shared" si="105"/>
        <v>415.2</v>
      </c>
      <c r="AO160" s="1080">
        <f t="shared" si="105"/>
        <v>415.2</v>
      </c>
      <c r="AP160" s="1080">
        <f t="shared" si="105"/>
        <v>415.2</v>
      </c>
      <c r="AQ160" s="1080">
        <f t="shared" si="105"/>
        <v>415.2</v>
      </c>
      <c r="AR160" s="1080">
        <f t="shared" si="105"/>
        <v>415.2</v>
      </c>
      <c r="AS160" s="1080">
        <f t="shared" si="105"/>
        <v>415.2</v>
      </c>
      <c r="AT160" s="1080">
        <f t="shared" si="105"/>
        <v>415.2</v>
      </c>
      <c r="AU160" s="1080">
        <f t="shared" si="105"/>
        <v>415.2</v>
      </c>
      <c r="AV160" s="602"/>
      <c r="AW160" s="602"/>
      <c r="AX160" s="602"/>
      <c r="AY160" s="602"/>
      <c r="AZ160" s="602"/>
      <c r="BA160" s="602"/>
    </row>
    <row r="161" spans="2:53">
      <c r="B161" s="602"/>
      <c r="C161" s="602"/>
      <c r="D161" s="1077"/>
      <c r="E161" s="1077" t="s">
        <v>357</v>
      </c>
      <c r="F161" s="1046" t="s">
        <v>206</v>
      </c>
      <c r="G161" s="1080">
        <f>$E209</f>
        <v>10</v>
      </c>
      <c r="H161" s="1080">
        <f t="shared" ref="H161:AU164" si="106">$E209</f>
        <v>10</v>
      </c>
      <c r="I161" s="1080">
        <f t="shared" si="106"/>
        <v>10</v>
      </c>
      <c r="J161" s="1080">
        <f t="shared" si="106"/>
        <v>10</v>
      </c>
      <c r="K161" s="1080">
        <f t="shared" si="106"/>
        <v>10</v>
      </c>
      <c r="L161" s="1080">
        <f t="shared" si="106"/>
        <v>10</v>
      </c>
      <c r="M161" s="1080">
        <f t="shared" si="106"/>
        <v>10</v>
      </c>
      <c r="N161" s="1080">
        <f t="shared" si="106"/>
        <v>10</v>
      </c>
      <c r="O161" s="1080">
        <f t="shared" si="106"/>
        <v>10</v>
      </c>
      <c r="P161" s="1080">
        <f t="shared" si="106"/>
        <v>10</v>
      </c>
      <c r="Q161" s="1080">
        <f t="shared" si="106"/>
        <v>10</v>
      </c>
      <c r="R161" s="1080">
        <f t="shared" si="106"/>
        <v>10</v>
      </c>
      <c r="S161" s="1080">
        <f t="shared" si="106"/>
        <v>10</v>
      </c>
      <c r="T161" s="1080">
        <f t="shared" si="106"/>
        <v>10</v>
      </c>
      <c r="U161" s="1080">
        <f t="shared" si="106"/>
        <v>10</v>
      </c>
      <c r="V161" s="1080">
        <f t="shared" si="106"/>
        <v>10</v>
      </c>
      <c r="W161" s="1080">
        <f t="shared" si="106"/>
        <v>10</v>
      </c>
      <c r="X161" s="1080">
        <f t="shared" si="106"/>
        <v>10</v>
      </c>
      <c r="Y161" s="1080">
        <f t="shared" si="106"/>
        <v>10</v>
      </c>
      <c r="Z161" s="1080">
        <f t="shared" si="106"/>
        <v>10</v>
      </c>
      <c r="AA161" s="1080">
        <f t="shared" si="106"/>
        <v>10</v>
      </c>
      <c r="AB161" s="1080">
        <f t="shared" si="106"/>
        <v>10</v>
      </c>
      <c r="AC161" s="1080">
        <f t="shared" si="106"/>
        <v>10</v>
      </c>
      <c r="AD161" s="1080">
        <f t="shared" si="106"/>
        <v>10</v>
      </c>
      <c r="AE161" s="1080">
        <f t="shared" si="106"/>
        <v>10</v>
      </c>
      <c r="AF161" s="1080">
        <f t="shared" si="106"/>
        <v>10</v>
      </c>
      <c r="AG161" s="1080">
        <f t="shared" si="106"/>
        <v>10</v>
      </c>
      <c r="AH161" s="1080">
        <f t="shared" si="106"/>
        <v>10</v>
      </c>
      <c r="AI161" s="1080">
        <f t="shared" si="106"/>
        <v>10</v>
      </c>
      <c r="AJ161" s="1080">
        <f t="shared" si="106"/>
        <v>10</v>
      </c>
      <c r="AK161" s="1080">
        <f t="shared" si="106"/>
        <v>10</v>
      </c>
      <c r="AL161" s="1080">
        <f t="shared" si="106"/>
        <v>10</v>
      </c>
      <c r="AM161" s="1080">
        <f t="shared" si="106"/>
        <v>10</v>
      </c>
      <c r="AN161" s="1080">
        <f t="shared" si="106"/>
        <v>10</v>
      </c>
      <c r="AO161" s="1080">
        <f t="shared" si="106"/>
        <v>10</v>
      </c>
      <c r="AP161" s="1080">
        <f t="shared" si="106"/>
        <v>10</v>
      </c>
      <c r="AQ161" s="1080">
        <f t="shared" si="106"/>
        <v>10</v>
      </c>
      <c r="AR161" s="1080">
        <f t="shared" si="106"/>
        <v>10</v>
      </c>
      <c r="AS161" s="1080">
        <f t="shared" si="106"/>
        <v>10</v>
      </c>
      <c r="AT161" s="1080">
        <f t="shared" si="106"/>
        <v>10</v>
      </c>
      <c r="AU161" s="1080">
        <f t="shared" si="106"/>
        <v>10</v>
      </c>
      <c r="AV161" s="602"/>
      <c r="AW161" s="602"/>
      <c r="AX161" s="602"/>
      <c r="AY161" s="602"/>
      <c r="AZ161" s="602"/>
      <c r="BA161" s="602"/>
    </row>
    <row r="162" spans="2:53">
      <c r="B162" s="602"/>
      <c r="C162" s="602"/>
      <c r="D162" s="1077"/>
      <c r="E162" s="1077" t="s">
        <v>363</v>
      </c>
      <c r="F162" s="1046" t="s">
        <v>206</v>
      </c>
      <c r="G162" s="1080">
        <f>$E210</f>
        <v>10</v>
      </c>
      <c r="H162" s="1080">
        <f t="shared" si="106"/>
        <v>10</v>
      </c>
      <c r="I162" s="1080">
        <f t="shared" si="106"/>
        <v>10</v>
      </c>
      <c r="J162" s="1080">
        <f t="shared" si="106"/>
        <v>10</v>
      </c>
      <c r="K162" s="1080">
        <f t="shared" si="106"/>
        <v>10</v>
      </c>
      <c r="L162" s="1080">
        <f t="shared" si="106"/>
        <v>10</v>
      </c>
      <c r="M162" s="1080">
        <f t="shared" si="106"/>
        <v>10</v>
      </c>
      <c r="N162" s="1080">
        <f t="shared" si="106"/>
        <v>10</v>
      </c>
      <c r="O162" s="1080">
        <f t="shared" si="106"/>
        <v>10</v>
      </c>
      <c r="P162" s="1080">
        <f t="shared" si="106"/>
        <v>10</v>
      </c>
      <c r="Q162" s="1080">
        <f t="shared" si="106"/>
        <v>10</v>
      </c>
      <c r="R162" s="1080">
        <f t="shared" si="106"/>
        <v>10</v>
      </c>
      <c r="S162" s="1080">
        <f t="shared" si="106"/>
        <v>10</v>
      </c>
      <c r="T162" s="1080">
        <f t="shared" si="106"/>
        <v>10</v>
      </c>
      <c r="U162" s="1080">
        <f t="shared" si="106"/>
        <v>10</v>
      </c>
      <c r="V162" s="1080">
        <f t="shared" si="106"/>
        <v>10</v>
      </c>
      <c r="W162" s="1080">
        <f t="shared" si="106"/>
        <v>10</v>
      </c>
      <c r="X162" s="1080">
        <f t="shared" si="106"/>
        <v>10</v>
      </c>
      <c r="Y162" s="1080">
        <f t="shared" si="106"/>
        <v>10</v>
      </c>
      <c r="Z162" s="1080">
        <f t="shared" si="106"/>
        <v>10</v>
      </c>
      <c r="AA162" s="1080">
        <f t="shared" si="106"/>
        <v>10</v>
      </c>
      <c r="AB162" s="1080">
        <f t="shared" si="106"/>
        <v>10</v>
      </c>
      <c r="AC162" s="1080">
        <f t="shared" si="106"/>
        <v>10</v>
      </c>
      <c r="AD162" s="1080">
        <f t="shared" si="106"/>
        <v>10</v>
      </c>
      <c r="AE162" s="1080">
        <f t="shared" si="106"/>
        <v>10</v>
      </c>
      <c r="AF162" s="1080">
        <f t="shared" si="106"/>
        <v>10</v>
      </c>
      <c r="AG162" s="1080">
        <f t="shared" si="106"/>
        <v>10</v>
      </c>
      <c r="AH162" s="1080">
        <f t="shared" si="106"/>
        <v>10</v>
      </c>
      <c r="AI162" s="1080">
        <f t="shared" si="106"/>
        <v>10</v>
      </c>
      <c r="AJ162" s="1080">
        <f t="shared" si="106"/>
        <v>10</v>
      </c>
      <c r="AK162" s="1080">
        <f t="shared" si="106"/>
        <v>10</v>
      </c>
      <c r="AL162" s="1080">
        <f t="shared" si="106"/>
        <v>10</v>
      </c>
      <c r="AM162" s="1080">
        <f t="shared" si="106"/>
        <v>10</v>
      </c>
      <c r="AN162" s="1080">
        <f t="shared" si="106"/>
        <v>10</v>
      </c>
      <c r="AO162" s="1080">
        <f t="shared" si="106"/>
        <v>10</v>
      </c>
      <c r="AP162" s="1080">
        <f t="shared" si="106"/>
        <v>10</v>
      </c>
      <c r="AQ162" s="1080">
        <f t="shared" si="106"/>
        <v>10</v>
      </c>
      <c r="AR162" s="1080">
        <f t="shared" si="106"/>
        <v>10</v>
      </c>
      <c r="AS162" s="1080">
        <f t="shared" si="106"/>
        <v>10</v>
      </c>
      <c r="AT162" s="1080">
        <f t="shared" si="106"/>
        <v>10</v>
      </c>
      <c r="AU162" s="1080">
        <f t="shared" si="106"/>
        <v>10</v>
      </c>
      <c r="AV162" s="602"/>
      <c r="AW162" s="602"/>
      <c r="AX162" s="602"/>
      <c r="AY162" s="602"/>
      <c r="AZ162" s="602"/>
      <c r="BA162" s="602"/>
    </row>
    <row r="163" spans="2:53">
      <c r="B163" s="602"/>
      <c r="C163" s="602"/>
      <c r="D163" s="1077"/>
      <c r="E163" s="1077" t="s">
        <v>365</v>
      </c>
      <c r="F163" s="1046" t="s">
        <v>206</v>
      </c>
      <c r="G163" s="1080">
        <f>$E211</f>
        <v>10</v>
      </c>
      <c r="H163" s="1080">
        <f t="shared" si="106"/>
        <v>10</v>
      </c>
      <c r="I163" s="1080">
        <f t="shared" si="106"/>
        <v>10</v>
      </c>
      <c r="J163" s="1080">
        <f t="shared" si="106"/>
        <v>10</v>
      </c>
      <c r="K163" s="1080">
        <f t="shared" si="106"/>
        <v>10</v>
      </c>
      <c r="L163" s="1080">
        <f t="shared" si="106"/>
        <v>10</v>
      </c>
      <c r="M163" s="1080">
        <f t="shared" si="106"/>
        <v>10</v>
      </c>
      <c r="N163" s="1080">
        <f t="shared" si="106"/>
        <v>10</v>
      </c>
      <c r="O163" s="1080">
        <f t="shared" si="106"/>
        <v>10</v>
      </c>
      <c r="P163" s="1080">
        <f t="shared" si="106"/>
        <v>10</v>
      </c>
      <c r="Q163" s="1080">
        <f t="shared" si="106"/>
        <v>10</v>
      </c>
      <c r="R163" s="1080">
        <f t="shared" si="106"/>
        <v>10</v>
      </c>
      <c r="S163" s="1080">
        <f t="shared" si="106"/>
        <v>10</v>
      </c>
      <c r="T163" s="1080">
        <f t="shared" si="106"/>
        <v>10</v>
      </c>
      <c r="U163" s="1080">
        <f t="shared" si="106"/>
        <v>10</v>
      </c>
      <c r="V163" s="1080">
        <f t="shared" si="106"/>
        <v>10</v>
      </c>
      <c r="W163" s="1080">
        <f t="shared" si="106"/>
        <v>10</v>
      </c>
      <c r="X163" s="1080">
        <f t="shared" si="106"/>
        <v>10</v>
      </c>
      <c r="Y163" s="1080">
        <f t="shared" si="106"/>
        <v>10</v>
      </c>
      <c r="Z163" s="1080">
        <f t="shared" si="106"/>
        <v>10</v>
      </c>
      <c r="AA163" s="1080">
        <f t="shared" si="106"/>
        <v>10</v>
      </c>
      <c r="AB163" s="1080">
        <f t="shared" si="106"/>
        <v>10</v>
      </c>
      <c r="AC163" s="1080">
        <f t="shared" si="106"/>
        <v>10</v>
      </c>
      <c r="AD163" s="1080">
        <f t="shared" si="106"/>
        <v>10</v>
      </c>
      <c r="AE163" s="1080">
        <f t="shared" si="106"/>
        <v>10</v>
      </c>
      <c r="AF163" s="1080">
        <f t="shared" si="106"/>
        <v>10</v>
      </c>
      <c r="AG163" s="1080">
        <f t="shared" si="106"/>
        <v>10</v>
      </c>
      <c r="AH163" s="1080">
        <f t="shared" si="106"/>
        <v>10</v>
      </c>
      <c r="AI163" s="1080">
        <f t="shared" si="106"/>
        <v>10</v>
      </c>
      <c r="AJ163" s="1080">
        <f t="shared" si="106"/>
        <v>10</v>
      </c>
      <c r="AK163" s="1080">
        <f t="shared" si="106"/>
        <v>10</v>
      </c>
      <c r="AL163" s="1080">
        <f t="shared" si="106"/>
        <v>10</v>
      </c>
      <c r="AM163" s="1080">
        <f t="shared" si="106"/>
        <v>10</v>
      </c>
      <c r="AN163" s="1080">
        <f t="shared" si="106"/>
        <v>10</v>
      </c>
      <c r="AO163" s="1080">
        <f t="shared" si="106"/>
        <v>10</v>
      </c>
      <c r="AP163" s="1080">
        <f t="shared" si="106"/>
        <v>10</v>
      </c>
      <c r="AQ163" s="1080">
        <f t="shared" si="106"/>
        <v>10</v>
      </c>
      <c r="AR163" s="1080">
        <f t="shared" si="106"/>
        <v>10</v>
      </c>
      <c r="AS163" s="1080">
        <f t="shared" si="106"/>
        <v>10</v>
      </c>
      <c r="AT163" s="1080">
        <f t="shared" si="106"/>
        <v>10</v>
      </c>
      <c r="AU163" s="1080">
        <f t="shared" si="106"/>
        <v>10</v>
      </c>
      <c r="AV163" s="602"/>
      <c r="AW163" s="602"/>
      <c r="AX163" s="602"/>
      <c r="AY163" s="602"/>
      <c r="AZ163" s="602"/>
      <c r="BA163" s="602"/>
    </row>
    <row r="164" spans="2:53">
      <c r="B164" s="602"/>
      <c r="C164" s="602"/>
      <c r="D164" s="1077"/>
      <c r="E164" s="1077" t="s">
        <v>361</v>
      </c>
      <c r="F164" s="1046" t="s">
        <v>206</v>
      </c>
      <c r="G164" s="1080">
        <f>$E212</f>
        <v>10</v>
      </c>
      <c r="H164" s="1080">
        <f t="shared" si="106"/>
        <v>10</v>
      </c>
      <c r="I164" s="1080">
        <f t="shared" si="106"/>
        <v>10</v>
      </c>
      <c r="J164" s="1080">
        <f t="shared" si="106"/>
        <v>10</v>
      </c>
      <c r="K164" s="1080">
        <f t="shared" si="106"/>
        <v>10</v>
      </c>
      <c r="L164" s="1080">
        <f t="shared" si="106"/>
        <v>10</v>
      </c>
      <c r="M164" s="1080">
        <f t="shared" si="106"/>
        <v>10</v>
      </c>
      <c r="N164" s="1080">
        <f t="shared" si="106"/>
        <v>10</v>
      </c>
      <c r="O164" s="1080">
        <f t="shared" si="106"/>
        <v>10</v>
      </c>
      <c r="P164" s="1080">
        <f t="shared" si="106"/>
        <v>10</v>
      </c>
      <c r="Q164" s="1080">
        <f t="shared" si="106"/>
        <v>10</v>
      </c>
      <c r="R164" s="1080">
        <f t="shared" si="106"/>
        <v>10</v>
      </c>
      <c r="S164" s="1080">
        <f t="shared" si="106"/>
        <v>10</v>
      </c>
      <c r="T164" s="1080">
        <f t="shared" si="106"/>
        <v>10</v>
      </c>
      <c r="U164" s="1080">
        <f t="shared" si="106"/>
        <v>10</v>
      </c>
      <c r="V164" s="1080">
        <f t="shared" si="106"/>
        <v>10</v>
      </c>
      <c r="W164" s="1080">
        <f t="shared" si="106"/>
        <v>10</v>
      </c>
      <c r="X164" s="1080">
        <f t="shared" si="106"/>
        <v>10</v>
      </c>
      <c r="Y164" s="1080">
        <f t="shared" si="106"/>
        <v>10</v>
      </c>
      <c r="Z164" s="1080">
        <f t="shared" si="106"/>
        <v>10</v>
      </c>
      <c r="AA164" s="1080">
        <f t="shared" si="106"/>
        <v>10</v>
      </c>
      <c r="AB164" s="1080">
        <f t="shared" si="106"/>
        <v>10</v>
      </c>
      <c r="AC164" s="1080">
        <f t="shared" si="106"/>
        <v>10</v>
      </c>
      <c r="AD164" s="1080">
        <f t="shared" si="106"/>
        <v>10</v>
      </c>
      <c r="AE164" s="1080">
        <f t="shared" si="106"/>
        <v>10</v>
      </c>
      <c r="AF164" s="1080">
        <f t="shared" si="106"/>
        <v>10</v>
      </c>
      <c r="AG164" s="1080">
        <f t="shared" si="106"/>
        <v>10</v>
      </c>
      <c r="AH164" s="1080">
        <f t="shared" si="106"/>
        <v>10</v>
      </c>
      <c r="AI164" s="1080">
        <f t="shared" si="106"/>
        <v>10</v>
      </c>
      <c r="AJ164" s="1080">
        <f t="shared" si="106"/>
        <v>10</v>
      </c>
      <c r="AK164" s="1080">
        <f t="shared" si="106"/>
        <v>10</v>
      </c>
      <c r="AL164" s="1080">
        <f t="shared" si="106"/>
        <v>10</v>
      </c>
      <c r="AM164" s="1080">
        <f t="shared" si="106"/>
        <v>10</v>
      </c>
      <c r="AN164" s="1080">
        <f t="shared" si="106"/>
        <v>10</v>
      </c>
      <c r="AO164" s="1080">
        <f t="shared" si="106"/>
        <v>10</v>
      </c>
      <c r="AP164" s="1080">
        <f t="shared" si="106"/>
        <v>10</v>
      </c>
      <c r="AQ164" s="1080">
        <f t="shared" si="106"/>
        <v>10</v>
      </c>
      <c r="AR164" s="1080">
        <f t="shared" si="106"/>
        <v>10</v>
      </c>
      <c r="AS164" s="1080">
        <f t="shared" si="106"/>
        <v>10</v>
      </c>
      <c r="AT164" s="1080">
        <f t="shared" si="106"/>
        <v>10</v>
      </c>
      <c r="AU164" s="1080">
        <f t="shared" si="106"/>
        <v>10</v>
      </c>
      <c r="AV164" s="602"/>
      <c r="AW164" s="602"/>
      <c r="AX164" s="602"/>
      <c r="AY164" s="602"/>
      <c r="AZ164" s="602"/>
      <c r="BA164" s="602"/>
    </row>
    <row r="165" spans="2:53">
      <c r="B165" s="602"/>
      <c r="C165" s="602"/>
      <c r="D165" s="1077"/>
      <c r="E165" s="1077" t="s">
        <v>42</v>
      </c>
      <c r="F165" s="1046" t="s">
        <v>206</v>
      </c>
      <c r="G165" s="1080">
        <f>$E$179</f>
        <v>0.1</v>
      </c>
      <c r="H165" s="1080">
        <f t="shared" ref="H165:AU165" si="107">$E$179</f>
        <v>0.1</v>
      </c>
      <c r="I165" s="1080">
        <f t="shared" si="107"/>
        <v>0.1</v>
      </c>
      <c r="J165" s="1080">
        <f t="shared" si="107"/>
        <v>0.1</v>
      </c>
      <c r="K165" s="1080">
        <f t="shared" si="107"/>
        <v>0.1</v>
      </c>
      <c r="L165" s="1080">
        <f t="shared" si="107"/>
        <v>0.1</v>
      </c>
      <c r="M165" s="1080">
        <f t="shared" si="107"/>
        <v>0.1</v>
      </c>
      <c r="N165" s="1080">
        <f t="shared" si="107"/>
        <v>0.1</v>
      </c>
      <c r="O165" s="1080">
        <f t="shared" si="107"/>
        <v>0.1</v>
      </c>
      <c r="P165" s="1080">
        <f t="shared" si="107"/>
        <v>0.1</v>
      </c>
      <c r="Q165" s="1080">
        <f t="shared" si="107"/>
        <v>0.1</v>
      </c>
      <c r="R165" s="1080">
        <f t="shared" si="107"/>
        <v>0.1</v>
      </c>
      <c r="S165" s="1080">
        <f t="shared" si="107"/>
        <v>0.1</v>
      </c>
      <c r="T165" s="1080">
        <f t="shared" si="107"/>
        <v>0.1</v>
      </c>
      <c r="U165" s="1080">
        <f t="shared" si="107"/>
        <v>0.1</v>
      </c>
      <c r="V165" s="1080">
        <f t="shared" si="107"/>
        <v>0.1</v>
      </c>
      <c r="W165" s="1080">
        <f t="shared" si="107"/>
        <v>0.1</v>
      </c>
      <c r="X165" s="1080">
        <f t="shared" si="107"/>
        <v>0.1</v>
      </c>
      <c r="Y165" s="1080">
        <f t="shared" si="107"/>
        <v>0.1</v>
      </c>
      <c r="Z165" s="1080">
        <f t="shared" si="107"/>
        <v>0.1</v>
      </c>
      <c r="AA165" s="1080">
        <f t="shared" si="107"/>
        <v>0.1</v>
      </c>
      <c r="AB165" s="1080">
        <f t="shared" si="107"/>
        <v>0.1</v>
      </c>
      <c r="AC165" s="1080">
        <f t="shared" si="107"/>
        <v>0.1</v>
      </c>
      <c r="AD165" s="1080">
        <f t="shared" si="107"/>
        <v>0.1</v>
      </c>
      <c r="AE165" s="1080">
        <f t="shared" si="107"/>
        <v>0.1</v>
      </c>
      <c r="AF165" s="1080">
        <f t="shared" si="107"/>
        <v>0.1</v>
      </c>
      <c r="AG165" s="1080">
        <f t="shared" si="107"/>
        <v>0.1</v>
      </c>
      <c r="AH165" s="1080">
        <f t="shared" si="107"/>
        <v>0.1</v>
      </c>
      <c r="AI165" s="1080">
        <f t="shared" si="107"/>
        <v>0.1</v>
      </c>
      <c r="AJ165" s="1080">
        <f t="shared" si="107"/>
        <v>0.1</v>
      </c>
      <c r="AK165" s="1080">
        <f t="shared" si="107"/>
        <v>0.1</v>
      </c>
      <c r="AL165" s="1080">
        <f t="shared" si="107"/>
        <v>0.1</v>
      </c>
      <c r="AM165" s="1080">
        <f t="shared" si="107"/>
        <v>0.1</v>
      </c>
      <c r="AN165" s="1080">
        <f t="shared" si="107"/>
        <v>0.1</v>
      </c>
      <c r="AO165" s="1080">
        <f t="shared" si="107"/>
        <v>0.1</v>
      </c>
      <c r="AP165" s="1080">
        <f t="shared" si="107"/>
        <v>0.1</v>
      </c>
      <c r="AQ165" s="1080">
        <f t="shared" si="107"/>
        <v>0.1</v>
      </c>
      <c r="AR165" s="1080">
        <f t="shared" si="107"/>
        <v>0.1</v>
      </c>
      <c r="AS165" s="1080">
        <f t="shared" si="107"/>
        <v>0.1</v>
      </c>
      <c r="AT165" s="1080">
        <f t="shared" si="107"/>
        <v>0.1</v>
      </c>
      <c r="AU165" s="1080">
        <f t="shared" si="107"/>
        <v>0.1</v>
      </c>
      <c r="AV165" s="602"/>
      <c r="AW165" s="602"/>
      <c r="AX165" s="602"/>
      <c r="AY165" s="602"/>
      <c r="AZ165" s="602"/>
      <c r="BA165" s="602"/>
    </row>
    <row r="166" spans="2:53">
      <c r="B166" s="602"/>
      <c r="C166" s="602"/>
      <c r="D166" s="1077" t="s">
        <v>842</v>
      </c>
      <c r="E166" s="1077" t="s">
        <v>75</v>
      </c>
      <c r="F166" s="1046" t="s">
        <v>206</v>
      </c>
      <c r="G166" s="1082">
        <f>G143*2</f>
        <v>88.8</v>
      </c>
      <c r="H166" s="1082">
        <f t="shared" ref="H166:AS166" si="108">H143*2</f>
        <v>92.2</v>
      </c>
      <c r="I166" s="1082">
        <f t="shared" si="108"/>
        <v>110.2</v>
      </c>
      <c r="J166" s="1082">
        <f t="shared" si="108"/>
        <v>108.4</v>
      </c>
      <c r="K166" s="1082">
        <f t="shared" si="108"/>
        <v>91.4</v>
      </c>
      <c r="L166" s="1082">
        <f t="shared" si="108"/>
        <v>88</v>
      </c>
      <c r="M166" s="1082">
        <f t="shared" si="108"/>
        <v>73.599999999999994</v>
      </c>
      <c r="N166" s="1082">
        <f t="shared" si="108"/>
        <v>73.8</v>
      </c>
      <c r="O166" s="1082">
        <f t="shared" si="108"/>
        <v>106.84436676370051</v>
      </c>
      <c r="P166" s="1082">
        <f t="shared" si="108"/>
        <v>68.522022481240924</v>
      </c>
      <c r="Q166" s="1082">
        <f t="shared" si="108"/>
        <v>66.795699972964513</v>
      </c>
      <c r="R166" s="1082">
        <f t="shared" si="108"/>
        <v>63.050580050876398</v>
      </c>
      <c r="S166" s="1082">
        <f t="shared" si="108"/>
        <v>65.525097243083792</v>
      </c>
      <c r="T166" s="1082">
        <f t="shared" si="108"/>
        <v>66.735376625750931</v>
      </c>
      <c r="U166" s="1082">
        <f t="shared" si="108"/>
        <v>67.134247840724143</v>
      </c>
      <c r="V166" s="1082">
        <f t="shared" si="108"/>
        <v>67.01216692582733</v>
      </c>
      <c r="W166" s="1082">
        <f t="shared" si="108"/>
        <v>66.935278408608127</v>
      </c>
      <c r="X166" s="1082">
        <f t="shared" si="108"/>
        <v>66.885894172463338</v>
      </c>
      <c r="Y166" s="1082">
        <f t="shared" si="108"/>
        <v>66.843599180906921</v>
      </c>
      <c r="Z166" s="1082">
        <f t="shared" si="108"/>
        <v>66.828440496044607</v>
      </c>
      <c r="AA166" s="1082">
        <f t="shared" si="108"/>
        <v>66.824305220819767</v>
      </c>
      <c r="AB166" s="1082">
        <f t="shared" si="108"/>
        <v>66.916476676296767</v>
      </c>
      <c r="AC166" s="1082">
        <f t="shared" si="108"/>
        <v>67.008648131773768</v>
      </c>
      <c r="AD166" s="1082">
        <f t="shared" si="108"/>
        <v>67.100819587250754</v>
      </c>
      <c r="AE166" s="1082">
        <f t="shared" si="108"/>
        <v>67.192991042727741</v>
      </c>
      <c r="AF166" s="1082">
        <f t="shared" si="108"/>
        <v>67.285162498204755</v>
      </c>
      <c r="AG166" s="1082">
        <f t="shared" si="108"/>
        <v>67.377333953681756</v>
      </c>
      <c r="AH166" s="1082">
        <f t="shared" si="108"/>
        <v>67.469505409158728</v>
      </c>
      <c r="AI166" s="1082">
        <f t="shared" si="108"/>
        <v>67.561676864635729</v>
      </c>
      <c r="AJ166" s="1082">
        <f t="shared" si="108"/>
        <v>67.653848320112701</v>
      </c>
      <c r="AK166" s="1082">
        <f t="shared" si="108"/>
        <v>67.746019775589701</v>
      </c>
      <c r="AL166" s="1082">
        <f t="shared" si="108"/>
        <v>67.838191231066702</v>
      </c>
      <c r="AM166" s="1082">
        <f t="shared" si="108"/>
        <v>67.930362686543688</v>
      </c>
      <c r="AN166" s="1082">
        <f t="shared" si="108"/>
        <v>68.022534142020675</v>
      </c>
      <c r="AO166" s="1082">
        <f t="shared" si="108"/>
        <v>68.114705597497675</v>
      </c>
      <c r="AP166" s="1082">
        <f t="shared" si="108"/>
        <v>68.206877052974676</v>
      </c>
      <c r="AQ166" s="1082">
        <f t="shared" si="108"/>
        <v>68.299048508451676</v>
      </c>
      <c r="AR166" s="1082">
        <f t="shared" si="108"/>
        <v>68.391219963928648</v>
      </c>
      <c r="AS166" s="1082">
        <f t="shared" si="108"/>
        <v>68.483391419405663</v>
      </c>
      <c r="AT166" s="1082">
        <f>AT143*2</f>
        <v>68.575562874882635</v>
      </c>
      <c r="AU166" s="1082">
        <f t="shared" ref="AU166" si="109">AU143*2</f>
        <v>68.66773433035965</v>
      </c>
      <c r="AV166" s="602"/>
      <c r="AW166" s="602"/>
      <c r="AX166" s="602"/>
      <c r="AY166" s="602"/>
      <c r="AZ166" s="602"/>
      <c r="BA166" s="602"/>
    </row>
    <row r="167" spans="2:53">
      <c r="B167" s="602"/>
      <c r="C167" s="602"/>
      <c r="D167" s="1077" t="s">
        <v>842</v>
      </c>
      <c r="E167" s="1077" t="s">
        <v>100</v>
      </c>
      <c r="F167" s="1046" t="s">
        <v>206</v>
      </c>
      <c r="G167" s="1082">
        <f>G143*2</f>
        <v>88.8</v>
      </c>
      <c r="H167" s="1082">
        <f t="shared" ref="H167:AS167" si="110">H143*2</f>
        <v>92.2</v>
      </c>
      <c r="I167" s="1082">
        <f t="shared" si="110"/>
        <v>110.2</v>
      </c>
      <c r="J167" s="1082">
        <f t="shared" si="110"/>
        <v>108.4</v>
      </c>
      <c r="K167" s="1082">
        <f t="shared" si="110"/>
        <v>91.4</v>
      </c>
      <c r="L167" s="1082">
        <f t="shared" si="110"/>
        <v>88</v>
      </c>
      <c r="M167" s="1082">
        <f t="shared" si="110"/>
        <v>73.599999999999994</v>
      </c>
      <c r="N167" s="1082">
        <f t="shared" si="110"/>
        <v>73.8</v>
      </c>
      <c r="O167" s="1082">
        <f t="shared" si="110"/>
        <v>106.84436676370051</v>
      </c>
      <c r="P167" s="1082">
        <f t="shared" si="110"/>
        <v>68.522022481240924</v>
      </c>
      <c r="Q167" s="1082">
        <f t="shared" si="110"/>
        <v>66.795699972964513</v>
      </c>
      <c r="R167" s="1082">
        <f t="shared" si="110"/>
        <v>63.050580050876398</v>
      </c>
      <c r="S167" s="1082">
        <f t="shared" si="110"/>
        <v>65.525097243083792</v>
      </c>
      <c r="T167" s="1082">
        <f t="shared" si="110"/>
        <v>66.735376625750931</v>
      </c>
      <c r="U167" s="1082">
        <f t="shared" si="110"/>
        <v>67.134247840724143</v>
      </c>
      <c r="V167" s="1082">
        <f t="shared" si="110"/>
        <v>67.01216692582733</v>
      </c>
      <c r="W167" s="1082">
        <f t="shared" si="110"/>
        <v>66.935278408608127</v>
      </c>
      <c r="X167" s="1082">
        <f t="shared" si="110"/>
        <v>66.885894172463338</v>
      </c>
      <c r="Y167" s="1082">
        <f t="shared" si="110"/>
        <v>66.843599180906921</v>
      </c>
      <c r="Z167" s="1082">
        <f t="shared" si="110"/>
        <v>66.828440496044607</v>
      </c>
      <c r="AA167" s="1082">
        <f t="shared" si="110"/>
        <v>66.824305220819767</v>
      </c>
      <c r="AB167" s="1082">
        <f t="shared" si="110"/>
        <v>66.916476676296767</v>
      </c>
      <c r="AC167" s="1082">
        <f t="shared" si="110"/>
        <v>67.008648131773768</v>
      </c>
      <c r="AD167" s="1082">
        <f t="shared" si="110"/>
        <v>67.100819587250754</v>
      </c>
      <c r="AE167" s="1082">
        <f t="shared" si="110"/>
        <v>67.192991042727741</v>
      </c>
      <c r="AF167" s="1082">
        <f t="shared" si="110"/>
        <v>67.285162498204755</v>
      </c>
      <c r="AG167" s="1082">
        <f t="shared" si="110"/>
        <v>67.377333953681756</v>
      </c>
      <c r="AH167" s="1082">
        <f t="shared" si="110"/>
        <v>67.469505409158728</v>
      </c>
      <c r="AI167" s="1082">
        <f t="shared" si="110"/>
        <v>67.561676864635729</v>
      </c>
      <c r="AJ167" s="1082">
        <f t="shared" si="110"/>
        <v>67.653848320112701</v>
      </c>
      <c r="AK167" s="1082">
        <f t="shared" si="110"/>
        <v>67.746019775589701</v>
      </c>
      <c r="AL167" s="1082">
        <f t="shared" si="110"/>
        <v>67.838191231066702</v>
      </c>
      <c r="AM167" s="1082">
        <f t="shared" si="110"/>
        <v>67.930362686543688</v>
      </c>
      <c r="AN167" s="1082">
        <f t="shared" si="110"/>
        <v>68.022534142020675</v>
      </c>
      <c r="AO167" s="1082">
        <f t="shared" si="110"/>
        <v>68.114705597497675</v>
      </c>
      <c r="AP167" s="1082">
        <f t="shared" si="110"/>
        <v>68.206877052974676</v>
      </c>
      <c r="AQ167" s="1082">
        <f t="shared" si="110"/>
        <v>68.299048508451676</v>
      </c>
      <c r="AR167" s="1082">
        <f t="shared" si="110"/>
        <v>68.391219963928648</v>
      </c>
      <c r="AS167" s="1082">
        <f t="shared" si="110"/>
        <v>68.483391419405663</v>
      </c>
      <c r="AT167" s="1082">
        <f>AT143*2</f>
        <v>68.575562874882635</v>
      </c>
      <c r="AU167" s="1082">
        <f t="shared" ref="AU167" si="111">AU143*2</f>
        <v>68.66773433035965</v>
      </c>
      <c r="AV167" s="602"/>
      <c r="AW167" s="602"/>
      <c r="AX167" s="602"/>
      <c r="AY167" s="602"/>
      <c r="AZ167" s="602"/>
      <c r="BA167" s="602"/>
    </row>
    <row r="168" spans="2:53">
      <c r="B168" s="602"/>
      <c r="C168" s="602"/>
      <c r="D168" s="1077" t="s">
        <v>843</v>
      </c>
      <c r="E168" s="1077" t="s">
        <v>694</v>
      </c>
      <c r="F168" s="1046" t="str">
        <f>F167</f>
        <v>MKr14</v>
      </c>
      <c r="G168" s="1082">
        <v>0.01</v>
      </c>
      <c r="H168" s="1082">
        <v>0.01</v>
      </c>
      <c r="I168" s="1082">
        <v>0.01</v>
      </c>
      <c r="J168" s="1082">
        <v>0.01</v>
      </c>
      <c r="K168" s="1082">
        <v>0.01</v>
      </c>
      <c r="L168" s="1082">
        <v>0.01</v>
      </c>
      <c r="M168" s="1082">
        <v>0.01</v>
      </c>
      <c r="N168" s="1082">
        <v>0.01</v>
      </c>
      <c r="O168" s="1082">
        <v>0.01</v>
      </c>
      <c r="P168" s="1082">
        <v>0.01</v>
      </c>
      <c r="Q168" s="1082">
        <v>0.01</v>
      </c>
      <c r="R168" s="1082">
        <v>0.01</v>
      </c>
      <c r="S168" s="1082">
        <v>0.01</v>
      </c>
      <c r="T168" s="1082">
        <v>0.01</v>
      </c>
      <c r="U168" s="1082">
        <v>0.01</v>
      </c>
      <c r="V168" s="1082">
        <v>0.01</v>
      </c>
      <c r="W168" s="1082">
        <v>0.01</v>
      </c>
      <c r="X168" s="1082">
        <v>0.01</v>
      </c>
      <c r="Y168" s="1082">
        <v>0.01</v>
      </c>
      <c r="Z168" s="1082">
        <v>0.01</v>
      </c>
      <c r="AA168" s="1082">
        <v>0.01</v>
      </c>
      <c r="AB168" s="1082">
        <v>0.01</v>
      </c>
      <c r="AC168" s="1082">
        <v>0.01</v>
      </c>
      <c r="AD168" s="1082">
        <v>0.01</v>
      </c>
      <c r="AE168" s="1082">
        <v>0.01</v>
      </c>
      <c r="AF168" s="1082">
        <v>0.01</v>
      </c>
      <c r="AG168" s="1082">
        <v>0.01</v>
      </c>
      <c r="AH168" s="1082">
        <v>0.01</v>
      </c>
      <c r="AI168" s="1082">
        <v>0.01</v>
      </c>
      <c r="AJ168" s="1082">
        <v>0.01</v>
      </c>
      <c r="AK168" s="1082">
        <v>0.01</v>
      </c>
      <c r="AL168" s="1082">
        <v>0.01</v>
      </c>
      <c r="AM168" s="1082">
        <v>0.01</v>
      </c>
      <c r="AN168" s="1082">
        <v>0.01</v>
      </c>
      <c r="AO168" s="1082">
        <v>0.01</v>
      </c>
      <c r="AP168" s="1082">
        <v>0.01</v>
      </c>
      <c r="AQ168" s="1082">
        <v>0.01</v>
      </c>
      <c r="AR168" s="1082">
        <v>0.01</v>
      </c>
      <c r="AS168" s="1082">
        <v>0.01</v>
      </c>
      <c r="AT168" s="1082">
        <v>0.01</v>
      </c>
      <c r="AU168" s="1082">
        <v>0.01</v>
      </c>
      <c r="AV168" s="602"/>
      <c r="AW168" s="602"/>
      <c r="AX168" s="602"/>
      <c r="AY168" s="602"/>
      <c r="AZ168" s="602"/>
      <c r="BA168" s="602"/>
    </row>
    <row r="169" spans="2:53">
      <c r="B169" s="602"/>
      <c r="C169" s="602"/>
      <c r="D169" s="1077" t="s">
        <v>845</v>
      </c>
      <c r="E169" s="1077" t="s">
        <v>746</v>
      </c>
      <c r="F169" s="1046" t="str">
        <f>F168</f>
        <v>MKr14</v>
      </c>
      <c r="G169" s="1082">
        <v>0.01</v>
      </c>
      <c r="H169" s="1082">
        <v>0.01</v>
      </c>
      <c r="I169" s="1082">
        <v>0.01</v>
      </c>
      <c r="J169" s="1082">
        <v>0.01</v>
      </c>
      <c r="K169" s="1082">
        <v>0.01</v>
      </c>
      <c r="L169" s="1082">
        <v>0.01</v>
      </c>
      <c r="M169" s="1082">
        <v>0.01</v>
      </c>
      <c r="N169" s="1082">
        <v>0.01</v>
      </c>
      <c r="O169" s="1082">
        <v>0.01</v>
      </c>
      <c r="P169" s="1082">
        <v>0.01</v>
      </c>
      <c r="Q169" s="1082">
        <v>0.01</v>
      </c>
      <c r="R169" s="1082">
        <v>0.01</v>
      </c>
      <c r="S169" s="1082">
        <v>0.01</v>
      </c>
      <c r="T169" s="1082">
        <v>0.01</v>
      </c>
      <c r="U169" s="1082">
        <v>0.01</v>
      </c>
      <c r="V169" s="1082">
        <v>0.01</v>
      </c>
      <c r="W169" s="1082">
        <v>0.01</v>
      </c>
      <c r="X169" s="1082">
        <v>0.01</v>
      </c>
      <c r="Y169" s="1082">
        <v>0.01</v>
      </c>
      <c r="Z169" s="1082">
        <v>0.01</v>
      </c>
      <c r="AA169" s="1082">
        <v>0.01</v>
      </c>
      <c r="AB169" s="1082">
        <v>0.01</v>
      </c>
      <c r="AC169" s="1082">
        <v>0.01</v>
      </c>
      <c r="AD169" s="1082">
        <v>0.01</v>
      </c>
      <c r="AE169" s="1082">
        <v>0.01</v>
      </c>
      <c r="AF169" s="1082">
        <v>0.01</v>
      </c>
      <c r="AG169" s="1082">
        <v>0.01</v>
      </c>
      <c r="AH169" s="1082">
        <v>0.01</v>
      </c>
      <c r="AI169" s="1082">
        <v>0.01</v>
      </c>
      <c r="AJ169" s="1082">
        <v>0.01</v>
      </c>
      <c r="AK169" s="1082">
        <v>0.01</v>
      </c>
      <c r="AL169" s="1082">
        <v>0.01</v>
      </c>
      <c r="AM169" s="1082">
        <v>0.01</v>
      </c>
      <c r="AN169" s="1082">
        <v>0.01</v>
      </c>
      <c r="AO169" s="1082">
        <v>0.01</v>
      </c>
      <c r="AP169" s="1082">
        <v>0.01</v>
      </c>
      <c r="AQ169" s="1082">
        <v>0.01</v>
      </c>
      <c r="AR169" s="1082">
        <v>0.01</v>
      </c>
      <c r="AS169" s="1082">
        <v>0.01</v>
      </c>
      <c r="AT169" s="1082">
        <v>0.01</v>
      </c>
      <c r="AU169" s="1082">
        <v>0.01</v>
      </c>
      <c r="AV169" s="602"/>
      <c r="AW169" s="602"/>
      <c r="AX169" s="602"/>
      <c r="AY169" s="602"/>
      <c r="AZ169" s="602"/>
      <c r="BA169" s="602"/>
    </row>
    <row r="170" spans="2:53">
      <c r="B170" s="602"/>
      <c r="C170" s="602"/>
      <c r="D170" s="1077" t="s">
        <v>846</v>
      </c>
      <c r="E170" s="1077" t="s">
        <v>722</v>
      </c>
      <c r="F170" s="1046" t="str">
        <f>F169</f>
        <v>MKr14</v>
      </c>
      <c r="G170" s="1080">
        <f t="shared" ref="G170:AU170" si="112">G151*0.25</f>
        <v>11.5</v>
      </c>
      <c r="H170" s="1080">
        <f t="shared" si="112"/>
        <v>11.5</v>
      </c>
      <c r="I170" s="1080">
        <f t="shared" si="112"/>
        <v>11.5</v>
      </c>
      <c r="J170" s="1080">
        <f t="shared" si="112"/>
        <v>11.425000000000001</v>
      </c>
      <c r="K170" s="1080">
        <f t="shared" si="112"/>
        <v>11.324999999999999</v>
      </c>
      <c r="L170" s="1080">
        <f t="shared" si="112"/>
        <v>11.225</v>
      </c>
      <c r="M170" s="1080">
        <f t="shared" si="112"/>
        <v>11.35</v>
      </c>
      <c r="N170" s="1080">
        <f t="shared" si="112"/>
        <v>11.475</v>
      </c>
      <c r="O170" s="1080">
        <f t="shared" si="112"/>
        <v>11.294868050622464</v>
      </c>
      <c r="P170" s="1080">
        <f t="shared" si="112"/>
        <v>11.279400140745098</v>
      </c>
      <c r="Q170" s="1080">
        <f t="shared" si="112"/>
        <v>11.312097425783408</v>
      </c>
      <c r="R170" s="1080">
        <f t="shared" si="112"/>
        <v>11.297562531899668</v>
      </c>
      <c r="S170" s="1080">
        <f t="shared" si="112"/>
        <v>11.348030368434129</v>
      </c>
      <c r="T170" s="1080">
        <f t="shared" si="112"/>
        <v>11.41110848141796</v>
      </c>
      <c r="U170" s="1080">
        <f t="shared" si="112"/>
        <v>11.480753774525216</v>
      </c>
      <c r="V170" s="1080">
        <f t="shared" si="112"/>
        <v>11.551750361101513</v>
      </c>
      <c r="W170" s="1080">
        <f t="shared" si="112"/>
        <v>11.604932745066808</v>
      </c>
      <c r="X170" s="1080">
        <f t="shared" si="112"/>
        <v>11.657764830956497</v>
      </c>
      <c r="Y170" s="1080">
        <f t="shared" si="112"/>
        <v>11.709981130768291</v>
      </c>
      <c r="Z170" s="1080">
        <f t="shared" si="112"/>
        <v>11.763510976689322</v>
      </c>
      <c r="AA170" s="1080">
        <f t="shared" si="112"/>
        <v>11.815776596049293</v>
      </c>
      <c r="AB170" s="1080">
        <f t="shared" si="112"/>
        <v>11.840792317093445</v>
      </c>
      <c r="AC170" s="1080">
        <f t="shared" si="112"/>
        <v>11.865762206921538</v>
      </c>
      <c r="AD170" s="1080">
        <f t="shared" si="112"/>
        <v>11.890686557801363</v>
      </c>
      <c r="AE170" s="1080">
        <f t="shared" si="112"/>
        <v>11.915565657391058</v>
      </c>
      <c r="AF170" s="1080">
        <f t="shared" si="112"/>
        <v>11.940399788787957</v>
      </c>
      <c r="AG170" s="1080">
        <f t="shared" si="112"/>
        <v>11.96538942725668</v>
      </c>
      <c r="AH170" s="1080">
        <f t="shared" si="112"/>
        <v>11.99030602162429</v>
      </c>
      <c r="AI170" s="1080">
        <f t="shared" si="112"/>
        <v>12.015150055072155</v>
      </c>
      <c r="AJ170" s="1080">
        <f t="shared" si="112"/>
        <v>12.039922004208098</v>
      </c>
      <c r="AK170" s="1080">
        <f t="shared" si="112"/>
        <v>12.064622339136843</v>
      </c>
      <c r="AL170" s="1080">
        <f t="shared" si="112"/>
        <v>12.094406678579805</v>
      </c>
      <c r="AM170" s="1080">
        <f t="shared" si="112"/>
        <v>12.124078924136491</v>
      </c>
      <c r="AN170" s="1080">
        <f t="shared" si="112"/>
        <v>12.153639783922587</v>
      </c>
      <c r="AO170" s="1080">
        <f t="shared" si="112"/>
        <v>12.183089957138392</v>
      </c>
      <c r="AP170" s="1080">
        <f t="shared" si="112"/>
        <v>12.212430134165137</v>
      </c>
      <c r="AQ170" s="1080">
        <f t="shared" si="112"/>
        <v>12.256143704717205</v>
      </c>
      <c r="AR170" s="1080">
        <f t="shared" si="112"/>
        <v>12.299679871973648</v>
      </c>
      <c r="AS170" s="1080">
        <f t="shared" si="112"/>
        <v>12.343039610164922</v>
      </c>
      <c r="AT170" s="1080">
        <f t="shared" si="112"/>
        <v>12.386223881805252</v>
      </c>
      <c r="AU170" s="1080">
        <f t="shared" si="112"/>
        <v>12.429233637820181</v>
      </c>
      <c r="AV170" s="602"/>
      <c r="AW170" s="602"/>
      <c r="AX170" s="602"/>
      <c r="AY170" s="602"/>
      <c r="AZ170" s="602"/>
      <c r="BA170" s="602"/>
    </row>
    <row r="171" spans="2:53">
      <c r="B171" s="602"/>
      <c r="C171" s="602"/>
      <c r="D171" s="1077" t="s">
        <v>869</v>
      </c>
      <c r="E171" s="1077" t="s">
        <v>779</v>
      </c>
      <c r="F171" s="1046" t="s">
        <v>868</v>
      </c>
      <c r="G171" s="1080">
        <f t="shared" ref="G171:AU171" si="113">G151</f>
        <v>46</v>
      </c>
      <c r="H171" s="1080">
        <f t="shared" si="113"/>
        <v>46</v>
      </c>
      <c r="I171" s="1080">
        <f t="shared" si="113"/>
        <v>46</v>
      </c>
      <c r="J171" s="1080">
        <f t="shared" si="113"/>
        <v>45.7</v>
      </c>
      <c r="K171" s="1080">
        <f t="shared" si="113"/>
        <v>45.3</v>
      </c>
      <c r="L171" s="1080">
        <f t="shared" si="113"/>
        <v>44.9</v>
      </c>
      <c r="M171" s="1080">
        <f t="shared" si="113"/>
        <v>45.4</v>
      </c>
      <c r="N171" s="1080">
        <f t="shared" si="113"/>
        <v>45.9</v>
      </c>
      <c r="O171" s="1080">
        <f t="shared" si="113"/>
        <v>45.179472202489855</v>
      </c>
      <c r="P171" s="1080">
        <f t="shared" si="113"/>
        <v>45.117600562980392</v>
      </c>
      <c r="Q171" s="1080">
        <f t="shared" si="113"/>
        <v>45.248389703133633</v>
      </c>
      <c r="R171" s="1080">
        <f t="shared" si="113"/>
        <v>45.190250127598674</v>
      </c>
      <c r="S171" s="1080">
        <f t="shared" si="113"/>
        <v>45.392121473736516</v>
      </c>
      <c r="T171" s="1080">
        <f t="shared" si="113"/>
        <v>45.644433925671841</v>
      </c>
      <c r="U171" s="1080">
        <f t="shared" si="113"/>
        <v>45.923015098100862</v>
      </c>
      <c r="V171" s="1080">
        <f t="shared" si="113"/>
        <v>46.207001444406053</v>
      </c>
      <c r="W171" s="1080">
        <f t="shared" si="113"/>
        <v>46.419730980267232</v>
      </c>
      <c r="X171" s="1080">
        <f t="shared" si="113"/>
        <v>46.631059323825987</v>
      </c>
      <c r="Y171" s="1080">
        <f t="shared" si="113"/>
        <v>46.839924523073165</v>
      </c>
      <c r="Z171" s="1080">
        <f t="shared" si="113"/>
        <v>47.054043906757286</v>
      </c>
      <c r="AA171" s="1080">
        <f t="shared" si="113"/>
        <v>47.263106384197172</v>
      </c>
      <c r="AB171" s="1080">
        <f t="shared" si="113"/>
        <v>47.363169268373781</v>
      </c>
      <c r="AC171" s="1080">
        <f t="shared" si="113"/>
        <v>47.463048827686151</v>
      </c>
      <c r="AD171" s="1080">
        <f t="shared" si="113"/>
        <v>47.562746231205452</v>
      </c>
      <c r="AE171" s="1080">
        <f t="shared" si="113"/>
        <v>47.662262629564232</v>
      </c>
      <c r="AF171" s="1080">
        <f t="shared" si="113"/>
        <v>47.761599155151828</v>
      </c>
      <c r="AG171" s="1080">
        <f t="shared" si="113"/>
        <v>47.861557709026719</v>
      </c>
      <c r="AH171" s="1080">
        <f t="shared" si="113"/>
        <v>47.961224086497161</v>
      </c>
      <c r="AI171" s="1080">
        <f t="shared" si="113"/>
        <v>48.06060022028862</v>
      </c>
      <c r="AJ171" s="1080">
        <f t="shared" si="113"/>
        <v>48.159688016832391</v>
      </c>
      <c r="AK171" s="1080">
        <f t="shared" si="113"/>
        <v>48.258489356547372</v>
      </c>
      <c r="AL171" s="1080">
        <f t="shared" si="113"/>
        <v>48.37762671431922</v>
      </c>
      <c r="AM171" s="1080">
        <f t="shared" si="113"/>
        <v>48.496315696545963</v>
      </c>
      <c r="AN171" s="1080">
        <f t="shared" si="113"/>
        <v>48.614559135690349</v>
      </c>
      <c r="AO171" s="1080">
        <f t="shared" si="113"/>
        <v>48.73235982855357</v>
      </c>
      <c r="AP171" s="1080">
        <f t="shared" si="113"/>
        <v>48.849720536660548</v>
      </c>
      <c r="AQ171" s="1080">
        <f t="shared" si="113"/>
        <v>49.024574818868821</v>
      </c>
      <c r="AR171" s="1080">
        <f t="shared" si="113"/>
        <v>49.198719487894593</v>
      </c>
      <c r="AS171" s="1080">
        <f t="shared" si="113"/>
        <v>49.372158440659689</v>
      </c>
      <c r="AT171" s="1080">
        <f t="shared" si="113"/>
        <v>49.544895527221009</v>
      </c>
      <c r="AU171" s="1080">
        <f t="shared" si="113"/>
        <v>49.716934551280723</v>
      </c>
      <c r="AV171" s="602"/>
      <c r="AW171" s="602"/>
      <c r="AX171" s="602"/>
      <c r="AY171" s="602"/>
      <c r="AZ171" s="602"/>
      <c r="BA171" s="602"/>
    </row>
    <row r="172" spans="2:53">
      <c r="B172" s="602"/>
      <c r="C172" s="602"/>
      <c r="D172" s="1077"/>
      <c r="E172" s="1077" t="s">
        <v>784</v>
      </c>
      <c r="F172" s="1046" t="s">
        <v>868</v>
      </c>
      <c r="G172" s="1080">
        <f t="shared" ref="G172:AU172" si="114">$E$197*G122</f>
        <v>11.55</v>
      </c>
      <c r="H172" s="1080">
        <f t="shared" si="114"/>
        <v>13.85</v>
      </c>
      <c r="I172" s="1080">
        <f t="shared" si="114"/>
        <v>11.95</v>
      </c>
      <c r="J172" s="1080">
        <f t="shared" si="114"/>
        <v>10.15</v>
      </c>
      <c r="K172" s="1080">
        <f t="shared" si="114"/>
        <v>8.6</v>
      </c>
      <c r="L172" s="1080">
        <f t="shared" si="114"/>
        <v>7.85</v>
      </c>
      <c r="M172" s="1080">
        <f t="shared" si="114"/>
        <v>6.1</v>
      </c>
      <c r="N172" s="1080">
        <f t="shared" si="114"/>
        <v>5.85</v>
      </c>
      <c r="O172" s="1080">
        <f t="shared" si="114"/>
        <v>11.467898064011884</v>
      </c>
      <c r="P172" s="1080">
        <f t="shared" si="114"/>
        <v>7.7663830030950765</v>
      </c>
      <c r="Q172" s="1080">
        <f t="shared" si="114"/>
        <v>6.4647759447939386</v>
      </c>
      <c r="R172" s="1080">
        <f t="shared" si="114"/>
        <v>6.5830294771624471</v>
      </c>
      <c r="S172" s="1080">
        <f t="shared" si="114"/>
        <v>6.8367367407151214</v>
      </c>
      <c r="T172" s="1080">
        <f t="shared" si="114"/>
        <v>7.0869633419431945</v>
      </c>
      <c r="U172" s="1080">
        <f t="shared" si="114"/>
        <v>7.3237003604902249</v>
      </c>
      <c r="V172" s="1080">
        <f t="shared" si="114"/>
        <v>7.2904494140519214</v>
      </c>
      <c r="W172" s="1080">
        <f t="shared" si="114"/>
        <v>7.2658292469417001</v>
      </c>
      <c r="X172" s="1080">
        <f t="shared" si="114"/>
        <v>7.2386152965441681</v>
      </c>
      <c r="Y172" s="1080">
        <f t="shared" si="114"/>
        <v>7.2065953240946836</v>
      </c>
      <c r="Z172" s="1080">
        <f t="shared" si="114"/>
        <v>7.1719818027432378</v>
      </c>
      <c r="AA172" s="1080">
        <f t="shared" si="114"/>
        <v>7.1332515760414905</v>
      </c>
      <c r="AB172" s="1080">
        <f t="shared" si="114"/>
        <v>7.1153465320667548</v>
      </c>
      <c r="AC172" s="1080">
        <f t="shared" si="114"/>
        <v>7.097518632127068</v>
      </c>
      <c r="AD172" s="1080">
        <f t="shared" si="114"/>
        <v>7.0795572350830023</v>
      </c>
      <c r="AE172" s="1080">
        <f t="shared" si="114"/>
        <v>7.0616767132396783</v>
      </c>
      <c r="AF172" s="1080">
        <f t="shared" si="114"/>
        <v>7.0437860033118742</v>
      </c>
      <c r="AG172" s="1080">
        <f t="shared" si="114"/>
        <v>7.0259928453493545</v>
      </c>
      <c r="AH172" s="1080">
        <f t="shared" si="114"/>
        <v>7.0080856252282011</v>
      </c>
      <c r="AI172" s="1080">
        <f t="shared" si="114"/>
        <v>6.990255369175598</v>
      </c>
      <c r="AJ172" s="1080">
        <f t="shared" si="114"/>
        <v>6.9723272493975728</v>
      </c>
      <c r="AK172" s="1080">
        <f t="shared" si="114"/>
        <v>6.9544309358125274</v>
      </c>
      <c r="AL172" s="1080">
        <f t="shared" si="114"/>
        <v>6.9365345690910853</v>
      </c>
      <c r="AM172" s="1080">
        <f t="shared" si="114"/>
        <v>6.9183052264039517</v>
      </c>
      <c r="AN172" s="1080">
        <f t="shared" si="114"/>
        <v>6.900075278683218</v>
      </c>
      <c r="AO172" s="1080">
        <f t="shared" si="114"/>
        <v>6.8818447251553092</v>
      </c>
      <c r="AP172" s="1080">
        <f t="shared" si="114"/>
        <v>6.8636135650456671</v>
      </c>
      <c r="AQ172" s="1080">
        <f t="shared" si="114"/>
        <v>6.8453817975787317</v>
      </c>
      <c r="AR172" s="1080">
        <f t="shared" si="114"/>
        <v>6.8271494219779587</v>
      </c>
      <c r="AS172" s="1080">
        <f t="shared" si="114"/>
        <v>6.808916437465812</v>
      </c>
      <c r="AT172" s="1080">
        <f t="shared" si="114"/>
        <v>6.7906828432637569</v>
      </c>
      <c r="AU172" s="1080">
        <f t="shared" si="114"/>
        <v>6.7724486385922678</v>
      </c>
      <c r="AV172" s="602"/>
      <c r="AW172" s="602"/>
      <c r="AX172" s="602"/>
      <c r="AY172" s="602"/>
      <c r="AZ172" s="602"/>
      <c r="BA172" s="602"/>
    </row>
    <row r="173" spans="2:53">
      <c r="B173" s="602"/>
      <c r="C173" s="602"/>
      <c r="D173" s="1077"/>
      <c r="E173" s="1077" t="s">
        <v>788</v>
      </c>
      <c r="F173" s="1046" t="s">
        <v>868</v>
      </c>
      <c r="G173" s="1080">
        <f>$E$199</f>
        <v>4.1805555555555554</v>
      </c>
      <c r="H173" s="1080">
        <f t="shared" ref="H173:AU173" si="115">$E$199</f>
        <v>4.1805555555555554</v>
      </c>
      <c r="I173" s="1080">
        <f t="shared" si="115"/>
        <v>4.1805555555555554</v>
      </c>
      <c r="J173" s="1080">
        <f t="shared" si="115"/>
        <v>4.1805555555555554</v>
      </c>
      <c r="K173" s="1080">
        <f t="shared" si="115"/>
        <v>4.1805555555555554</v>
      </c>
      <c r="L173" s="1080">
        <f t="shared" si="115"/>
        <v>4.1805555555555554</v>
      </c>
      <c r="M173" s="1080">
        <f t="shared" si="115"/>
        <v>4.1805555555555554</v>
      </c>
      <c r="N173" s="1080">
        <f t="shared" si="115"/>
        <v>4.1805555555555554</v>
      </c>
      <c r="O173" s="1080">
        <f t="shared" si="115"/>
        <v>4.1805555555555554</v>
      </c>
      <c r="P173" s="1080">
        <f t="shared" si="115"/>
        <v>4.1805555555555554</v>
      </c>
      <c r="Q173" s="1080">
        <f t="shared" si="115"/>
        <v>4.1805555555555554</v>
      </c>
      <c r="R173" s="1080">
        <f t="shared" si="115"/>
        <v>4.1805555555555554</v>
      </c>
      <c r="S173" s="1080">
        <f t="shared" si="115"/>
        <v>4.1805555555555554</v>
      </c>
      <c r="T173" s="1080">
        <f t="shared" si="115"/>
        <v>4.1805555555555554</v>
      </c>
      <c r="U173" s="1080">
        <f t="shared" si="115"/>
        <v>4.1805555555555554</v>
      </c>
      <c r="V173" s="1080">
        <f t="shared" si="115"/>
        <v>4.1805555555555554</v>
      </c>
      <c r="W173" s="1080">
        <f t="shared" si="115"/>
        <v>4.1805555555555554</v>
      </c>
      <c r="X173" s="1080">
        <f t="shared" si="115"/>
        <v>4.1805555555555554</v>
      </c>
      <c r="Y173" s="1080">
        <f t="shared" si="115"/>
        <v>4.1805555555555554</v>
      </c>
      <c r="Z173" s="1080">
        <f t="shared" si="115"/>
        <v>4.1805555555555554</v>
      </c>
      <c r="AA173" s="1080">
        <f t="shared" si="115"/>
        <v>4.1805555555555554</v>
      </c>
      <c r="AB173" s="1080">
        <f t="shared" si="115"/>
        <v>4.1805555555555554</v>
      </c>
      <c r="AC173" s="1080">
        <f t="shared" si="115"/>
        <v>4.1805555555555554</v>
      </c>
      <c r="AD173" s="1080">
        <f t="shared" si="115"/>
        <v>4.1805555555555554</v>
      </c>
      <c r="AE173" s="1080">
        <f t="shared" si="115"/>
        <v>4.1805555555555554</v>
      </c>
      <c r="AF173" s="1080">
        <f t="shared" si="115"/>
        <v>4.1805555555555554</v>
      </c>
      <c r="AG173" s="1080">
        <f t="shared" si="115"/>
        <v>4.1805555555555554</v>
      </c>
      <c r="AH173" s="1080">
        <f t="shared" si="115"/>
        <v>4.1805555555555554</v>
      </c>
      <c r="AI173" s="1080">
        <f t="shared" si="115"/>
        <v>4.1805555555555554</v>
      </c>
      <c r="AJ173" s="1080">
        <f t="shared" si="115"/>
        <v>4.1805555555555554</v>
      </c>
      <c r="AK173" s="1080">
        <f t="shared" si="115"/>
        <v>4.1805555555555554</v>
      </c>
      <c r="AL173" s="1080">
        <f t="shared" si="115"/>
        <v>4.1805555555555554</v>
      </c>
      <c r="AM173" s="1080">
        <f t="shared" si="115"/>
        <v>4.1805555555555554</v>
      </c>
      <c r="AN173" s="1080">
        <f t="shared" si="115"/>
        <v>4.1805555555555554</v>
      </c>
      <c r="AO173" s="1080">
        <f t="shared" si="115"/>
        <v>4.1805555555555554</v>
      </c>
      <c r="AP173" s="1080">
        <f t="shared" si="115"/>
        <v>4.1805555555555554</v>
      </c>
      <c r="AQ173" s="1080">
        <f t="shared" si="115"/>
        <v>4.1805555555555554</v>
      </c>
      <c r="AR173" s="1080">
        <f t="shared" si="115"/>
        <v>4.1805555555555554</v>
      </c>
      <c r="AS173" s="1080">
        <f t="shared" si="115"/>
        <v>4.1805555555555554</v>
      </c>
      <c r="AT173" s="1080">
        <f t="shared" si="115"/>
        <v>4.1805555555555554</v>
      </c>
      <c r="AU173" s="1080">
        <f t="shared" si="115"/>
        <v>4.1805555555555554</v>
      </c>
      <c r="AV173" s="602"/>
      <c r="AW173" s="602"/>
      <c r="AX173" s="602"/>
      <c r="AY173" s="602"/>
      <c r="AZ173" s="602"/>
      <c r="BA173" s="602"/>
    </row>
    <row r="174" spans="2:53">
      <c r="B174" s="602"/>
      <c r="C174" s="602"/>
      <c r="D174" s="1077" t="s">
        <v>870</v>
      </c>
      <c r="E174" s="1077" t="s">
        <v>790</v>
      </c>
      <c r="F174" s="1046" t="s">
        <v>868</v>
      </c>
      <c r="G174" s="1080">
        <f>$E$179</f>
        <v>0.1</v>
      </c>
      <c r="H174" s="1080">
        <f t="shared" ref="H174:AU174" si="116">$E$179</f>
        <v>0.1</v>
      </c>
      <c r="I174" s="1080">
        <f t="shared" si="116"/>
        <v>0.1</v>
      </c>
      <c r="J174" s="1080">
        <f t="shared" si="116"/>
        <v>0.1</v>
      </c>
      <c r="K174" s="1080">
        <f t="shared" si="116"/>
        <v>0.1</v>
      </c>
      <c r="L174" s="1080">
        <f t="shared" si="116"/>
        <v>0.1</v>
      </c>
      <c r="M174" s="1080">
        <f t="shared" si="116"/>
        <v>0.1</v>
      </c>
      <c r="N174" s="1080">
        <f t="shared" si="116"/>
        <v>0.1</v>
      </c>
      <c r="O174" s="1080">
        <f t="shared" si="116"/>
        <v>0.1</v>
      </c>
      <c r="P174" s="1080">
        <f t="shared" si="116"/>
        <v>0.1</v>
      </c>
      <c r="Q174" s="1080">
        <f t="shared" si="116"/>
        <v>0.1</v>
      </c>
      <c r="R174" s="1080">
        <f t="shared" si="116"/>
        <v>0.1</v>
      </c>
      <c r="S174" s="1080">
        <f t="shared" si="116"/>
        <v>0.1</v>
      </c>
      <c r="T174" s="1080">
        <f t="shared" si="116"/>
        <v>0.1</v>
      </c>
      <c r="U174" s="1080">
        <f t="shared" si="116"/>
        <v>0.1</v>
      </c>
      <c r="V174" s="1080">
        <f t="shared" si="116"/>
        <v>0.1</v>
      </c>
      <c r="W174" s="1080">
        <f t="shared" si="116"/>
        <v>0.1</v>
      </c>
      <c r="X174" s="1080">
        <f t="shared" si="116"/>
        <v>0.1</v>
      </c>
      <c r="Y174" s="1080">
        <f t="shared" si="116"/>
        <v>0.1</v>
      </c>
      <c r="Z174" s="1080">
        <f t="shared" si="116"/>
        <v>0.1</v>
      </c>
      <c r="AA174" s="1080">
        <f t="shared" si="116"/>
        <v>0.1</v>
      </c>
      <c r="AB174" s="1080">
        <f t="shared" si="116"/>
        <v>0.1</v>
      </c>
      <c r="AC174" s="1080">
        <f t="shared" si="116"/>
        <v>0.1</v>
      </c>
      <c r="AD174" s="1080">
        <f t="shared" si="116"/>
        <v>0.1</v>
      </c>
      <c r="AE174" s="1080">
        <f t="shared" si="116"/>
        <v>0.1</v>
      </c>
      <c r="AF174" s="1080">
        <f t="shared" si="116"/>
        <v>0.1</v>
      </c>
      <c r="AG174" s="1080">
        <f t="shared" si="116"/>
        <v>0.1</v>
      </c>
      <c r="AH174" s="1080">
        <f t="shared" si="116"/>
        <v>0.1</v>
      </c>
      <c r="AI174" s="1080">
        <f t="shared" si="116"/>
        <v>0.1</v>
      </c>
      <c r="AJ174" s="1080">
        <f t="shared" si="116"/>
        <v>0.1</v>
      </c>
      <c r="AK174" s="1080">
        <f t="shared" si="116"/>
        <v>0.1</v>
      </c>
      <c r="AL174" s="1080">
        <f t="shared" si="116"/>
        <v>0.1</v>
      </c>
      <c r="AM174" s="1080">
        <f t="shared" si="116"/>
        <v>0.1</v>
      </c>
      <c r="AN174" s="1080">
        <f t="shared" si="116"/>
        <v>0.1</v>
      </c>
      <c r="AO174" s="1080">
        <f t="shared" si="116"/>
        <v>0.1</v>
      </c>
      <c r="AP174" s="1080">
        <f t="shared" si="116"/>
        <v>0.1</v>
      </c>
      <c r="AQ174" s="1080">
        <f t="shared" si="116"/>
        <v>0.1</v>
      </c>
      <c r="AR174" s="1080">
        <f t="shared" si="116"/>
        <v>0.1</v>
      </c>
      <c r="AS174" s="1080">
        <f t="shared" si="116"/>
        <v>0.1</v>
      </c>
      <c r="AT174" s="1080">
        <f t="shared" si="116"/>
        <v>0.1</v>
      </c>
      <c r="AU174" s="1080">
        <f t="shared" si="116"/>
        <v>0.1</v>
      </c>
      <c r="AV174" s="602"/>
      <c r="AW174" s="602"/>
      <c r="AX174" s="602"/>
      <c r="AY174" s="602"/>
      <c r="AZ174" s="602"/>
      <c r="BA174" s="602"/>
    </row>
    <row r="175" spans="2:53">
      <c r="B175" s="602"/>
      <c r="C175" s="602"/>
      <c r="D175" s="1077"/>
      <c r="E175" s="1077" t="s">
        <v>1607</v>
      </c>
      <c r="F175" s="1046" t="s">
        <v>206</v>
      </c>
      <c r="G175" s="1080">
        <f>G164</f>
        <v>10</v>
      </c>
      <c r="H175" s="1080">
        <f t="shared" ref="H175:AU175" si="117">H164</f>
        <v>10</v>
      </c>
      <c r="I175" s="1080">
        <f t="shared" si="117"/>
        <v>10</v>
      </c>
      <c r="J175" s="1080">
        <f t="shared" si="117"/>
        <v>10</v>
      </c>
      <c r="K175" s="1080">
        <f t="shared" si="117"/>
        <v>10</v>
      </c>
      <c r="L175" s="1080">
        <f t="shared" si="117"/>
        <v>10</v>
      </c>
      <c r="M175" s="1080">
        <f t="shared" si="117"/>
        <v>10</v>
      </c>
      <c r="N175" s="1080">
        <f t="shared" si="117"/>
        <v>10</v>
      </c>
      <c r="O175" s="1080">
        <f t="shared" si="117"/>
        <v>10</v>
      </c>
      <c r="P175" s="1080">
        <f t="shared" si="117"/>
        <v>10</v>
      </c>
      <c r="Q175" s="1080">
        <f t="shared" si="117"/>
        <v>10</v>
      </c>
      <c r="R175" s="1080">
        <f t="shared" si="117"/>
        <v>10</v>
      </c>
      <c r="S175" s="1080">
        <f t="shared" si="117"/>
        <v>10</v>
      </c>
      <c r="T175" s="1080">
        <f t="shared" si="117"/>
        <v>10</v>
      </c>
      <c r="U175" s="1080">
        <f t="shared" si="117"/>
        <v>10</v>
      </c>
      <c r="V175" s="1080">
        <f t="shared" si="117"/>
        <v>10</v>
      </c>
      <c r="W175" s="1080">
        <f t="shared" si="117"/>
        <v>10</v>
      </c>
      <c r="X175" s="1080">
        <f t="shared" si="117"/>
        <v>10</v>
      </c>
      <c r="Y175" s="1080">
        <f t="shared" si="117"/>
        <v>10</v>
      </c>
      <c r="Z175" s="1080">
        <f t="shared" si="117"/>
        <v>10</v>
      </c>
      <c r="AA175" s="1080">
        <f t="shared" si="117"/>
        <v>10</v>
      </c>
      <c r="AB175" s="1080">
        <f t="shared" si="117"/>
        <v>10</v>
      </c>
      <c r="AC175" s="1080">
        <f t="shared" si="117"/>
        <v>10</v>
      </c>
      <c r="AD175" s="1080">
        <f t="shared" si="117"/>
        <v>10</v>
      </c>
      <c r="AE175" s="1080">
        <f t="shared" si="117"/>
        <v>10</v>
      </c>
      <c r="AF175" s="1080">
        <f t="shared" si="117"/>
        <v>10</v>
      </c>
      <c r="AG175" s="1080">
        <f t="shared" si="117"/>
        <v>10</v>
      </c>
      <c r="AH175" s="1080">
        <f t="shared" si="117"/>
        <v>10</v>
      </c>
      <c r="AI175" s="1080">
        <f t="shared" si="117"/>
        <v>10</v>
      </c>
      <c r="AJ175" s="1080">
        <f t="shared" si="117"/>
        <v>10</v>
      </c>
      <c r="AK175" s="1080">
        <f t="shared" si="117"/>
        <v>10</v>
      </c>
      <c r="AL175" s="1080">
        <f t="shared" si="117"/>
        <v>10</v>
      </c>
      <c r="AM175" s="1080">
        <f t="shared" si="117"/>
        <v>10</v>
      </c>
      <c r="AN175" s="1080">
        <f t="shared" si="117"/>
        <v>10</v>
      </c>
      <c r="AO175" s="1080">
        <f t="shared" si="117"/>
        <v>10</v>
      </c>
      <c r="AP175" s="1080">
        <f t="shared" si="117"/>
        <v>10</v>
      </c>
      <c r="AQ175" s="1080">
        <f t="shared" si="117"/>
        <v>10</v>
      </c>
      <c r="AR175" s="1080">
        <f t="shared" si="117"/>
        <v>10</v>
      </c>
      <c r="AS175" s="1080">
        <f t="shared" si="117"/>
        <v>10</v>
      </c>
      <c r="AT175" s="1080">
        <f t="shared" si="117"/>
        <v>10</v>
      </c>
      <c r="AU175" s="1080">
        <f t="shared" si="117"/>
        <v>10</v>
      </c>
      <c r="AV175" s="602"/>
      <c r="AW175" s="602"/>
      <c r="AX175" s="602"/>
      <c r="AY175" s="602"/>
      <c r="AZ175" s="602"/>
      <c r="BA175" s="602"/>
    </row>
    <row r="176" spans="2:53">
      <c r="B176" s="602"/>
      <c r="C176" s="602"/>
      <c r="D176" s="1077"/>
      <c r="E176" s="1077"/>
      <c r="F176" s="1046"/>
      <c r="G176" s="1077"/>
      <c r="H176" s="588"/>
      <c r="I176" s="602"/>
      <c r="J176" s="602"/>
      <c r="K176" s="602"/>
      <c r="L176" s="602"/>
      <c r="M176" s="602"/>
      <c r="N176" s="602"/>
      <c r="O176" s="602"/>
      <c r="P176" s="602"/>
      <c r="Q176" s="602"/>
      <c r="R176" s="602"/>
      <c r="S176" s="602"/>
      <c r="T176" s="602"/>
      <c r="U176" s="602"/>
      <c r="V176" s="602"/>
      <c r="W176" s="602"/>
      <c r="X176" s="602"/>
      <c r="Y176" s="602"/>
      <c r="Z176" s="602"/>
      <c r="AA176" s="602"/>
      <c r="AB176" s="602"/>
      <c r="AC176" s="602"/>
      <c r="AD176" s="602"/>
      <c r="AE176" s="602"/>
      <c r="AF176" s="602"/>
      <c r="AG176" s="602"/>
      <c r="AH176" s="602"/>
      <c r="AI176" s="602"/>
      <c r="AJ176" s="602"/>
      <c r="AK176" s="602"/>
      <c r="AL176" s="602"/>
      <c r="AM176" s="602"/>
      <c r="AN176" s="602"/>
      <c r="AO176" s="602"/>
      <c r="AP176" s="602"/>
      <c r="AQ176" s="602"/>
      <c r="AR176" s="602"/>
      <c r="AS176" s="602"/>
      <c r="AT176" s="602"/>
      <c r="AU176" s="602"/>
      <c r="AV176" s="602"/>
      <c r="AW176" s="602"/>
      <c r="AX176" s="602"/>
      <c r="AY176" s="602"/>
      <c r="AZ176" s="602"/>
      <c r="BA176" s="602"/>
    </row>
    <row r="177" spans="2:53" ht="14" thickBot="1">
      <c r="B177" s="602"/>
      <c r="C177" s="602"/>
      <c r="D177" s="1077"/>
      <c r="E177" s="1077"/>
      <c r="F177" s="1046"/>
      <c r="G177" s="1077"/>
      <c r="H177" s="588"/>
      <c r="I177" s="602"/>
      <c r="J177" s="602"/>
      <c r="K177" s="602"/>
      <c r="L177" s="602"/>
      <c r="M177" s="602"/>
      <c r="N177" s="602"/>
      <c r="O177" s="602"/>
      <c r="P177" s="602"/>
      <c r="Q177" s="602"/>
      <c r="R177" s="602"/>
      <c r="S177" s="602"/>
      <c r="T177" s="602"/>
      <c r="U177" s="602"/>
      <c r="V177" s="602"/>
      <c r="W177" s="602"/>
      <c r="X177" s="602"/>
      <c r="Y177" s="602"/>
      <c r="Z177" s="602"/>
      <c r="AA177" s="602"/>
      <c r="AB177" s="602"/>
      <c r="AC177" s="602"/>
      <c r="AD177" s="602"/>
      <c r="AE177" s="602"/>
      <c r="AF177" s="602"/>
      <c r="AG177" s="602"/>
      <c r="AH177" s="602"/>
      <c r="AI177" s="602"/>
      <c r="AJ177" s="602"/>
      <c r="AK177" s="602"/>
      <c r="AL177" s="602"/>
      <c r="AM177" s="602"/>
      <c r="AN177" s="602"/>
      <c r="AO177" s="602"/>
      <c r="AP177" s="602"/>
      <c r="AQ177" s="602"/>
      <c r="AR177" s="602"/>
      <c r="AS177" s="602"/>
      <c r="AT177" s="602"/>
      <c r="AU177" s="602"/>
      <c r="AV177" s="602"/>
      <c r="AW177" s="602"/>
      <c r="AX177" s="602"/>
      <c r="AY177" s="602"/>
      <c r="AZ177" s="602"/>
      <c r="BA177" s="602"/>
    </row>
    <row r="178" spans="2:53" ht="14" thickBot="1">
      <c r="B178" s="602"/>
      <c r="C178" s="220" t="s">
        <v>325</v>
      </c>
      <c r="D178" s="221" t="s">
        <v>318</v>
      </c>
      <c r="E178" s="221"/>
      <c r="F178" s="221" t="s">
        <v>328</v>
      </c>
      <c r="G178" s="221" t="s">
        <v>319</v>
      </c>
      <c r="H178" s="221" t="s">
        <v>429</v>
      </c>
      <c r="I178" s="222" t="s">
        <v>173</v>
      </c>
      <c r="J178" s="602"/>
      <c r="K178" s="602"/>
      <c r="L178" s="602"/>
      <c r="M178" s="602"/>
      <c r="N178" s="602"/>
      <c r="O178" s="602"/>
      <c r="P178" s="602"/>
      <c r="Q178" s="602"/>
      <c r="R178" s="602"/>
      <c r="S178" s="602"/>
      <c r="T178" s="602"/>
      <c r="U178" s="602"/>
      <c r="V178" s="602"/>
      <c r="W178" s="602"/>
      <c r="X178" s="602"/>
      <c r="Y178" s="602"/>
      <c r="Z178" s="602"/>
      <c r="AA178" s="602"/>
      <c r="AB178" s="602"/>
      <c r="AC178" s="602"/>
      <c r="AD178" s="602"/>
      <c r="AE178" s="602"/>
      <c r="AF178" s="602"/>
      <c r="AG178" s="602"/>
      <c r="AH178" s="602"/>
      <c r="AI178" s="602"/>
      <c r="AJ178" s="602"/>
      <c r="AK178" s="602"/>
      <c r="AL178" s="602"/>
      <c r="AM178" s="602"/>
      <c r="AN178" s="602"/>
      <c r="AO178" s="602"/>
      <c r="AP178" s="602"/>
      <c r="AQ178" s="602"/>
      <c r="AR178" s="602"/>
      <c r="AS178" s="602"/>
      <c r="AT178" s="602"/>
      <c r="AU178" s="602"/>
      <c r="AV178" s="602"/>
      <c r="AW178" s="602"/>
      <c r="AX178" s="602"/>
      <c r="AY178" s="602"/>
      <c r="AZ178" s="602"/>
      <c r="BA178" s="602"/>
    </row>
    <row r="179" spans="2:53">
      <c r="B179" s="602"/>
      <c r="C179" s="219" t="s">
        <v>329</v>
      </c>
      <c r="D179" s="602" t="s">
        <v>330</v>
      </c>
      <c r="E179" s="602">
        <v>0.1</v>
      </c>
      <c r="F179" s="602" t="s">
        <v>322</v>
      </c>
      <c r="G179" s="602" t="s">
        <v>331</v>
      </c>
      <c r="H179" s="602"/>
      <c r="I179" s="210"/>
      <c r="J179" s="602"/>
      <c r="K179" s="602"/>
      <c r="L179" s="602"/>
      <c r="M179" s="602"/>
      <c r="N179" s="602"/>
      <c r="O179" s="602"/>
      <c r="P179" s="602"/>
      <c r="Q179" s="602"/>
      <c r="R179" s="602"/>
      <c r="S179" s="602"/>
      <c r="T179" s="602"/>
      <c r="U179" s="602"/>
      <c r="V179" s="602"/>
      <c r="W179" s="602"/>
      <c r="X179" s="602"/>
      <c r="Y179" s="602"/>
      <c r="Z179" s="602"/>
      <c r="AA179" s="602"/>
      <c r="AB179" s="602"/>
      <c r="AC179" s="602"/>
      <c r="AD179" s="602"/>
      <c r="AE179" s="602"/>
      <c r="AF179" s="602"/>
      <c r="AG179" s="602"/>
      <c r="AH179" s="602"/>
      <c r="AI179" s="602"/>
      <c r="AJ179" s="602"/>
      <c r="AK179" s="602"/>
      <c r="AL179" s="602"/>
      <c r="AM179" s="602"/>
      <c r="AN179" s="602"/>
      <c r="AO179" s="602"/>
      <c r="AP179" s="602"/>
      <c r="AQ179" s="602"/>
      <c r="AR179" s="602"/>
      <c r="AS179" s="602"/>
      <c r="AT179" s="602"/>
      <c r="AU179" s="602"/>
      <c r="AV179" s="602"/>
      <c r="AW179" s="602"/>
      <c r="AX179" s="602"/>
      <c r="AY179" s="602"/>
      <c r="AZ179" s="602"/>
      <c r="BA179" s="602"/>
    </row>
    <row r="180" spans="2:53">
      <c r="B180" s="602"/>
      <c r="C180" s="219" t="s">
        <v>312</v>
      </c>
      <c r="D180" s="602" t="s">
        <v>1616</v>
      </c>
      <c r="E180" s="957">
        <v>3</v>
      </c>
      <c r="F180" s="602" t="s">
        <v>323</v>
      </c>
      <c r="G180" s="602" t="s">
        <v>320</v>
      </c>
      <c r="H180" s="602"/>
      <c r="I180" s="210"/>
      <c r="J180" s="602"/>
      <c r="K180" s="602"/>
      <c r="L180" s="602"/>
      <c r="M180" s="602"/>
      <c r="N180" s="602"/>
      <c r="O180" s="602"/>
      <c r="P180" s="602"/>
      <c r="Q180" s="602"/>
      <c r="R180" s="602"/>
      <c r="S180" s="602"/>
      <c r="T180" s="602"/>
      <c r="U180" s="602"/>
      <c r="V180" s="602"/>
      <c r="W180" s="602"/>
      <c r="X180" s="602"/>
      <c r="Y180" s="602"/>
      <c r="Z180" s="602"/>
      <c r="AA180" s="602"/>
      <c r="AB180" s="602"/>
      <c r="AC180" s="602"/>
      <c r="AD180" s="602"/>
      <c r="AE180" s="602"/>
      <c r="AF180" s="602"/>
      <c r="AG180" s="602"/>
      <c r="AH180" s="602"/>
      <c r="AI180" s="602"/>
      <c r="AJ180" s="602"/>
      <c r="AK180" s="602"/>
      <c r="AL180" s="602"/>
      <c r="AM180" s="602"/>
      <c r="AN180" s="602"/>
      <c r="AO180" s="602"/>
      <c r="AP180" s="602"/>
      <c r="AQ180" s="602"/>
      <c r="AR180" s="602"/>
      <c r="AS180" s="602"/>
      <c r="AT180" s="602"/>
      <c r="AU180" s="602"/>
      <c r="AV180" s="602"/>
      <c r="AW180" s="602"/>
      <c r="AX180" s="602"/>
      <c r="AY180" s="602"/>
      <c r="AZ180" s="602"/>
      <c r="BA180" s="602"/>
    </row>
    <row r="181" spans="2:53">
      <c r="B181" s="602"/>
      <c r="C181" s="219" t="s">
        <v>313</v>
      </c>
      <c r="D181" s="602" t="s">
        <v>1617</v>
      </c>
      <c r="E181" s="602">
        <v>3</v>
      </c>
      <c r="F181" s="602" t="s">
        <v>323</v>
      </c>
      <c r="G181" s="602" t="s">
        <v>320</v>
      </c>
      <c r="H181" s="602"/>
      <c r="I181" s="210"/>
      <c r="J181" s="602"/>
      <c r="K181" s="602"/>
      <c r="L181" s="602"/>
      <c r="M181" s="602"/>
      <c r="N181" s="602"/>
      <c r="O181" s="602"/>
      <c r="P181" s="602"/>
      <c r="Q181" s="602"/>
      <c r="R181" s="602"/>
      <c r="S181" s="602"/>
      <c r="T181" s="602"/>
      <c r="U181" s="602"/>
      <c r="V181" s="602"/>
      <c r="W181" s="602"/>
      <c r="X181" s="602"/>
      <c r="Y181" s="602"/>
      <c r="Z181" s="602"/>
      <c r="AA181" s="602"/>
      <c r="AB181" s="602"/>
      <c r="AC181" s="602"/>
      <c r="AD181" s="602"/>
      <c r="AE181" s="602"/>
      <c r="AF181" s="602"/>
      <c r="AG181" s="602"/>
      <c r="AH181" s="602"/>
      <c r="AI181" s="602"/>
      <c r="AJ181" s="602"/>
      <c r="AK181" s="602"/>
      <c r="AL181" s="602"/>
      <c r="AM181" s="602"/>
      <c r="AN181" s="602"/>
      <c r="AO181" s="602"/>
      <c r="AP181" s="602"/>
      <c r="AQ181" s="602"/>
      <c r="AR181" s="602"/>
      <c r="AS181" s="602"/>
      <c r="AT181" s="602"/>
      <c r="AU181" s="602"/>
      <c r="AV181" s="602"/>
      <c r="AW181" s="602"/>
      <c r="AX181" s="602"/>
      <c r="AY181" s="602"/>
      <c r="AZ181" s="602"/>
      <c r="BA181" s="602"/>
    </row>
    <row r="182" spans="2:53">
      <c r="B182" s="602"/>
      <c r="C182" s="219" t="s">
        <v>317</v>
      </c>
      <c r="D182" s="602" t="s">
        <v>1617</v>
      </c>
      <c r="E182" s="602">
        <v>3</v>
      </c>
      <c r="F182" s="602" t="s">
        <v>323</v>
      </c>
      <c r="G182" s="588" t="s">
        <v>320</v>
      </c>
      <c r="H182" s="588"/>
      <c r="I182" s="210"/>
      <c r="J182" s="602"/>
      <c r="K182" s="602"/>
      <c r="L182" s="602"/>
      <c r="M182" s="602"/>
      <c r="N182" s="602"/>
      <c r="O182" s="602"/>
      <c r="P182" s="602"/>
      <c r="Q182" s="602"/>
      <c r="R182" s="602"/>
      <c r="S182" s="602"/>
      <c r="T182" s="602"/>
      <c r="U182" s="602"/>
      <c r="V182" s="602"/>
      <c r="W182" s="602"/>
      <c r="X182" s="602"/>
      <c r="Y182" s="602"/>
      <c r="Z182" s="602"/>
      <c r="AA182" s="602"/>
      <c r="AB182" s="602"/>
      <c r="AC182" s="602"/>
      <c r="AD182" s="602"/>
      <c r="AE182" s="602"/>
      <c r="AF182" s="602"/>
      <c r="AG182" s="602"/>
      <c r="AH182" s="602"/>
      <c r="AI182" s="602"/>
      <c r="AJ182" s="602"/>
      <c r="AK182" s="602"/>
      <c r="AL182" s="602"/>
      <c r="AM182" s="602"/>
      <c r="AN182" s="602"/>
      <c r="AO182" s="602"/>
      <c r="AP182" s="602"/>
      <c r="AQ182" s="602"/>
      <c r="AR182" s="602"/>
      <c r="AS182" s="602"/>
      <c r="AT182" s="602"/>
      <c r="AU182" s="602"/>
      <c r="AV182" s="602"/>
      <c r="AW182" s="602"/>
      <c r="AX182" s="602"/>
      <c r="AY182" s="602"/>
      <c r="AZ182" s="602"/>
      <c r="BA182" s="602"/>
    </row>
    <row r="183" spans="2:53">
      <c r="B183" s="602"/>
      <c r="C183" s="219" t="s">
        <v>689</v>
      </c>
      <c r="D183" s="1074" t="s">
        <v>690</v>
      </c>
      <c r="E183" s="602">
        <v>1.1000000000000001</v>
      </c>
      <c r="F183" s="602" t="s">
        <v>323</v>
      </c>
      <c r="G183" s="602" t="s">
        <v>320</v>
      </c>
      <c r="H183" s="588"/>
      <c r="I183" s="602"/>
      <c r="J183" s="602"/>
      <c r="K183" s="602"/>
      <c r="L183" s="602"/>
      <c r="M183" s="602"/>
      <c r="N183" s="602"/>
      <c r="O183" s="602"/>
      <c r="P183" s="602"/>
      <c r="Q183" s="602"/>
      <c r="R183" s="602"/>
      <c r="S183" s="602"/>
      <c r="T183" s="602"/>
      <c r="U183" s="602"/>
      <c r="V183" s="602"/>
      <c r="W183" s="602"/>
      <c r="X183" s="602"/>
      <c r="Y183" s="602"/>
      <c r="Z183" s="602"/>
      <c r="AA183" s="602"/>
      <c r="AB183" s="602"/>
      <c r="AC183" s="602"/>
      <c r="AD183" s="602"/>
      <c r="AE183" s="602"/>
      <c r="AF183" s="602"/>
      <c r="AG183" s="602"/>
      <c r="AH183" s="602"/>
      <c r="AI183" s="602"/>
      <c r="AJ183" s="602"/>
      <c r="AK183" s="602"/>
      <c r="AL183" s="602"/>
      <c r="AM183" s="602"/>
      <c r="AN183" s="602"/>
      <c r="AO183" s="602"/>
      <c r="AP183" s="602"/>
      <c r="AQ183" s="602"/>
      <c r="AR183" s="602"/>
      <c r="AS183" s="602"/>
      <c r="AT183" s="602"/>
      <c r="AU183" s="602"/>
      <c r="AV183" s="602"/>
      <c r="AW183" s="602"/>
      <c r="AX183" s="602"/>
      <c r="AY183" s="602"/>
      <c r="AZ183" s="602"/>
      <c r="BA183" s="602"/>
    </row>
    <row r="184" spans="2:53">
      <c r="B184" s="602"/>
      <c r="C184" s="219" t="s">
        <v>314</v>
      </c>
      <c r="D184" s="588" t="s">
        <v>567</v>
      </c>
      <c r="E184" s="1075">
        <v>63.673753033597997</v>
      </c>
      <c r="F184" s="602" t="s">
        <v>322</v>
      </c>
      <c r="G184" s="602" t="s">
        <v>321</v>
      </c>
      <c r="H184" s="602"/>
      <c r="I184" s="1083">
        <v>41640</v>
      </c>
      <c r="J184" s="602"/>
      <c r="K184" s="602"/>
      <c r="L184" s="602"/>
      <c r="M184" s="602"/>
      <c r="N184" s="602"/>
      <c r="O184" s="602"/>
      <c r="P184" s="602"/>
      <c r="Q184" s="602"/>
      <c r="R184" s="602"/>
      <c r="S184" s="602"/>
      <c r="T184" s="602"/>
      <c r="U184" s="602"/>
      <c r="V184" s="602"/>
      <c r="W184" s="602"/>
      <c r="X184" s="602"/>
      <c r="Y184" s="602"/>
      <c r="Z184" s="602"/>
      <c r="AA184" s="602"/>
      <c r="AB184" s="602"/>
      <c r="AC184" s="602"/>
      <c r="AD184" s="602"/>
      <c r="AE184" s="602"/>
      <c r="AF184" s="602"/>
      <c r="AG184" s="602"/>
      <c r="AH184" s="602"/>
      <c r="AI184" s="602"/>
      <c r="AJ184" s="602"/>
      <c r="AK184" s="602"/>
      <c r="AL184" s="602"/>
      <c r="AM184" s="602"/>
      <c r="AN184" s="602"/>
      <c r="AO184" s="602"/>
      <c r="AP184" s="602"/>
      <c r="AQ184" s="602"/>
      <c r="AR184" s="602"/>
      <c r="AS184" s="602"/>
      <c r="AT184" s="602"/>
      <c r="AU184" s="602"/>
      <c r="AV184" s="602"/>
      <c r="AW184" s="602"/>
      <c r="AX184" s="602"/>
      <c r="AY184" s="602"/>
      <c r="AZ184" s="602"/>
      <c r="BA184" s="602"/>
    </row>
    <row r="185" spans="2:53">
      <c r="B185" s="602"/>
      <c r="C185" s="219" t="s">
        <v>315</v>
      </c>
      <c r="D185" s="588" t="s">
        <v>568</v>
      </c>
      <c r="E185" s="1075">
        <v>99.186998923418699</v>
      </c>
      <c r="F185" s="602" t="s">
        <v>322</v>
      </c>
      <c r="G185" s="602" t="s">
        <v>321</v>
      </c>
      <c r="H185" s="602"/>
      <c r="I185" s="1083">
        <v>41640</v>
      </c>
      <c r="J185" s="602"/>
      <c r="K185" s="602"/>
      <c r="L185" s="602"/>
      <c r="M185" s="602"/>
      <c r="N185" s="602"/>
      <c r="O185" s="602"/>
      <c r="P185" s="602"/>
      <c r="Q185" s="602"/>
      <c r="R185" s="602"/>
      <c r="S185" s="602"/>
      <c r="T185" s="602"/>
      <c r="U185" s="602"/>
      <c r="V185" s="602"/>
      <c r="W185" s="602"/>
      <c r="X185" s="602"/>
      <c r="Y185" s="602"/>
      <c r="Z185" s="602"/>
      <c r="AA185" s="602"/>
      <c r="AB185" s="602"/>
      <c r="AC185" s="602"/>
      <c r="AD185" s="602"/>
      <c r="AE185" s="602"/>
      <c r="AF185" s="602"/>
      <c r="AG185" s="602"/>
      <c r="AH185" s="602"/>
      <c r="AI185" s="602"/>
      <c r="AJ185" s="602"/>
      <c r="AK185" s="602"/>
      <c r="AL185" s="602"/>
      <c r="AM185" s="602"/>
      <c r="AN185" s="602"/>
      <c r="AO185" s="602"/>
      <c r="AP185" s="602"/>
      <c r="AQ185" s="602"/>
      <c r="AR185" s="602"/>
      <c r="AS185" s="602"/>
      <c r="AT185" s="602"/>
      <c r="AU185" s="602"/>
      <c r="AV185" s="602"/>
      <c r="AW185" s="602"/>
      <c r="AX185" s="602"/>
      <c r="AY185" s="602"/>
      <c r="AZ185" s="602"/>
      <c r="BA185" s="602"/>
    </row>
    <row r="186" spans="2:53">
      <c r="B186" s="602"/>
      <c r="C186" s="219" t="s">
        <v>316</v>
      </c>
      <c r="D186" s="602" t="s">
        <v>324</v>
      </c>
      <c r="E186" s="602"/>
      <c r="F186" s="602"/>
      <c r="G186" s="602" t="s">
        <v>320</v>
      </c>
      <c r="H186" s="602"/>
      <c r="I186" s="210"/>
      <c r="J186" s="602"/>
      <c r="K186" s="602"/>
      <c r="L186" s="602"/>
      <c r="M186" s="602"/>
      <c r="N186" s="602"/>
      <c r="O186" s="602"/>
      <c r="P186" s="602"/>
      <c r="Q186" s="602"/>
      <c r="R186" s="602"/>
      <c r="S186" s="602"/>
      <c r="T186" s="602"/>
      <c r="U186" s="602"/>
      <c r="V186" s="602"/>
      <c r="W186" s="602"/>
      <c r="X186" s="602"/>
      <c r="Y186" s="602"/>
      <c r="Z186" s="602"/>
      <c r="AA186" s="602"/>
      <c r="AB186" s="602"/>
      <c r="AC186" s="602"/>
      <c r="AD186" s="602"/>
      <c r="AE186" s="602"/>
      <c r="AF186" s="602"/>
      <c r="AG186" s="602"/>
      <c r="AH186" s="602"/>
      <c r="AI186" s="602"/>
      <c r="AJ186" s="602"/>
      <c r="AK186" s="602"/>
      <c r="AL186" s="602"/>
      <c r="AM186" s="602"/>
      <c r="AN186" s="602"/>
      <c r="AO186" s="602"/>
      <c r="AP186" s="602"/>
      <c r="AQ186" s="602"/>
      <c r="AR186" s="602"/>
      <c r="AS186" s="602"/>
      <c r="AT186" s="602"/>
      <c r="AU186" s="602"/>
      <c r="AV186" s="602"/>
      <c r="AW186" s="602"/>
      <c r="AX186" s="602"/>
      <c r="AY186" s="602"/>
      <c r="AZ186" s="602"/>
      <c r="BA186" s="602"/>
    </row>
    <row r="187" spans="2:53">
      <c r="B187" s="602"/>
      <c r="C187" s="439" t="s">
        <v>847</v>
      </c>
      <c r="D187" s="602" t="s">
        <v>1618</v>
      </c>
      <c r="E187" s="602">
        <v>1.5</v>
      </c>
      <c r="F187" s="602" t="s">
        <v>848</v>
      </c>
      <c r="G187" s="588" t="s">
        <v>849</v>
      </c>
      <c r="H187" s="602"/>
      <c r="I187" s="210"/>
      <c r="J187" s="602"/>
      <c r="K187" s="602"/>
      <c r="L187" s="602"/>
      <c r="M187" s="602"/>
      <c r="N187" s="602"/>
      <c r="O187" s="602"/>
      <c r="P187" s="602"/>
      <c r="Q187" s="602"/>
      <c r="R187" s="602"/>
      <c r="S187" s="602"/>
      <c r="T187" s="602"/>
      <c r="U187" s="602"/>
      <c r="V187" s="602"/>
      <c r="W187" s="602"/>
      <c r="X187" s="602"/>
      <c r="Y187" s="602"/>
      <c r="Z187" s="602"/>
      <c r="AA187" s="602"/>
      <c r="AB187" s="602"/>
      <c r="AC187" s="602"/>
      <c r="AD187" s="602"/>
      <c r="AE187" s="602"/>
      <c r="AF187" s="602"/>
      <c r="AG187" s="602"/>
      <c r="AH187" s="602"/>
      <c r="AI187" s="602"/>
      <c r="AJ187" s="602"/>
      <c r="AK187" s="602"/>
      <c r="AL187" s="602"/>
      <c r="AM187" s="602"/>
      <c r="AN187" s="602"/>
      <c r="AO187" s="602"/>
      <c r="AP187" s="602"/>
      <c r="AQ187" s="602"/>
      <c r="AR187" s="602"/>
      <c r="AS187" s="602"/>
      <c r="AT187" s="602"/>
      <c r="AU187" s="602"/>
      <c r="AV187" s="602"/>
      <c r="AW187" s="602"/>
      <c r="AX187" s="602"/>
      <c r="AY187" s="602"/>
      <c r="AZ187" s="602"/>
      <c r="BA187" s="602"/>
    </row>
    <row r="188" spans="2:53" s="602" customFormat="1">
      <c r="C188" s="219" t="s">
        <v>1872</v>
      </c>
      <c r="D188" s="588" t="str">
        <f>E188*100&amp;"% of imported biomass"</f>
        <v>95% of imported biomass</v>
      </c>
      <c r="E188" s="1238">
        <v>0.95</v>
      </c>
      <c r="F188" s="557"/>
      <c r="G188" s="557" t="s">
        <v>605</v>
      </c>
      <c r="H188" s="588"/>
      <c r="I188" s="210"/>
    </row>
    <row r="189" spans="2:53">
      <c r="B189" s="602"/>
      <c r="C189" s="219" t="s">
        <v>326</v>
      </c>
      <c r="D189" s="588" t="str">
        <f>E189*100&amp;"% of imported crude oil cost"</f>
        <v>50% of imported crude oil cost</v>
      </c>
      <c r="E189" s="1238">
        <v>0.5</v>
      </c>
      <c r="F189" s="557"/>
      <c r="G189" s="557" t="s">
        <v>605</v>
      </c>
      <c r="H189" s="588" t="s">
        <v>606</v>
      </c>
      <c r="I189" s="210"/>
      <c r="J189" s="602"/>
      <c r="K189" s="602"/>
      <c r="L189" s="602"/>
      <c r="M189" s="602"/>
      <c r="N189" s="602"/>
      <c r="O189" s="602"/>
      <c r="P189" s="602"/>
      <c r="Q189" s="602"/>
      <c r="R189" s="602"/>
      <c r="S189" s="602"/>
      <c r="T189" s="602"/>
      <c r="U189" s="602"/>
      <c r="V189" s="602"/>
      <c r="W189" s="602"/>
      <c r="X189" s="602"/>
      <c r="Y189" s="602"/>
      <c r="Z189" s="602"/>
      <c r="AA189" s="602"/>
      <c r="AB189" s="602"/>
      <c r="AC189" s="602"/>
      <c r="AD189" s="602"/>
      <c r="AE189" s="602"/>
      <c r="AF189" s="602"/>
      <c r="AG189" s="602"/>
      <c r="AH189" s="602"/>
      <c r="AI189" s="602"/>
      <c r="AJ189" s="602"/>
      <c r="AK189" s="602"/>
      <c r="AL189" s="602"/>
      <c r="AM189" s="602"/>
      <c r="AN189" s="602"/>
      <c r="AO189" s="602"/>
      <c r="AP189" s="602"/>
      <c r="AQ189" s="602"/>
      <c r="AR189" s="602"/>
      <c r="AS189" s="602"/>
      <c r="AT189" s="602"/>
      <c r="AU189" s="602"/>
      <c r="AV189" s="602"/>
      <c r="AW189" s="602"/>
      <c r="AX189" s="602"/>
      <c r="AY189" s="602"/>
      <c r="AZ189" s="602"/>
      <c r="BA189" s="602"/>
    </row>
    <row r="190" spans="2:53">
      <c r="B190" s="602"/>
      <c r="C190" s="219" t="s">
        <v>310</v>
      </c>
      <c r="D190" s="602" t="str">
        <f>E190*100&amp;"% of imported natural gas cost"</f>
        <v>50% of imported natural gas cost</v>
      </c>
      <c r="E190" s="1238">
        <v>0.5</v>
      </c>
      <c r="F190" s="557"/>
      <c r="G190" s="557" t="s">
        <v>605</v>
      </c>
      <c r="H190" s="602" t="s">
        <v>606</v>
      </c>
      <c r="I190" s="210"/>
      <c r="J190" s="602"/>
      <c r="K190" s="602"/>
      <c r="L190" s="602"/>
      <c r="M190" s="602"/>
      <c r="N190" s="602"/>
      <c r="O190" s="602"/>
      <c r="P190" s="602"/>
      <c r="Q190" s="602"/>
      <c r="R190" s="602"/>
      <c r="S190" s="602"/>
      <c r="T190" s="602"/>
      <c r="U190" s="602"/>
      <c r="V190" s="602"/>
      <c r="W190" s="602"/>
      <c r="X190" s="602"/>
      <c r="Y190" s="602"/>
      <c r="Z190" s="602"/>
      <c r="AA190" s="602"/>
      <c r="AB190" s="602"/>
      <c r="AC190" s="602"/>
      <c r="AD190" s="602"/>
      <c r="AE190" s="602"/>
      <c r="AF190" s="602"/>
      <c r="AG190" s="602"/>
      <c r="AH190" s="602"/>
      <c r="AI190" s="602"/>
      <c r="AJ190" s="602"/>
      <c r="AK190" s="602"/>
      <c r="AL190" s="602"/>
      <c r="AM190" s="602"/>
      <c r="AN190" s="602"/>
      <c r="AO190" s="602"/>
      <c r="AP190" s="602"/>
      <c r="AQ190" s="602"/>
      <c r="AR190" s="602"/>
      <c r="AS190" s="602"/>
      <c r="AT190" s="602"/>
      <c r="AU190" s="602"/>
      <c r="AV190" s="602"/>
      <c r="AW190" s="602"/>
      <c r="AX190" s="602"/>
      <c r="AY190" s="602"/>
      <c r="AZ190" s="602"/>
      <c r="BA190" s="602"/>
    </row>
    <row r="191" spans="2:53">
      <c r="B191" s="602"/>
      <c r="C191" s="439" t="s">
        <v>563</v>
      </c>
      <c r="D191" s="602" t="str">
        <f>E191*100&amp;"% of imported crude oil cost"</f>
        <v>95% of imported crude oil cost</v>
      </c>
      <c r="E191" s="223">
        <v>0.95</v>
      </c>
      <c r="F191" s="602"/>
      <c r="G191" s="602" t="s">
        <v>320</v>
      </c>
      <c r="H191" s="602"/>
      <c r="I191" s="210"/>
      <c r="J191" s="602"/>
      <c r="K191" s="602"/>
      <c r="L191" s="602"/>
      <c r="M191" s="602"/>
      <c r="N191" s="602"/>
      <c r="O191" s="602"/>
      <c r="P191" s="602"/>
      <c r="Q191" s="602"/>
      <c r="R191" s="602"/>
      <c r="S191" s="602"/>
      <c r="T191" s="602"/>
      <c r="U191" s="602"/>
      <c r="V191" s="602"/>
      <c r="W191" s="602"/>
      <c r="X191" s="602"/>
      <c r="Y191" s="602"/>
      <c r="Z191" s="602"/>
      <c r="AA191" s="602"/>
      <c r="AB191" s="602"/>
      <c r="AC191" s="602"/>
      <c r="AD191" s="602"/>
      <c r="AE191" s="602"/>
      <c r="AF191" s="602"/>
      <c r="AG191" s="602"/>
      <c r="AH191" s="602"/>
      <c r="AI191" s="602"/>
      <c r="AJ191" s="602"/>
      <c r="AK191" s="602"/>
      <c r="AL191" s="602"/>
      <c r="AM191" s="602"/>
      <c r="AN191" s="602"/>
      <c r="AO191" s="602"/>
      <c r="AP191" s="602"/>
      <c r="AQ191" s="602"/>
      <c r="AR191" s="602"/>
      <c r="AS191" s="602"/>
      <c r="AT191" s="602"/>
      <c r="AU191" s="602"/>
      <c r="AV191" s="602"/>
      <c r="AW191" s="602"/>
      <c r="AX191" s="602"/>
      <c r="AY191" s="602"/>
      <c r="AZ191" s="602"/>
      <c r="BA191" s="602"/>
    </row>
    <row r="192" spans="2:53">
      <c r="B192" s="602"/>
      <c r="C192" s="439" t="s">
        <v>562</v>
      </c>
      <c r="D192" s="602" t="str">
        <f>E192*100&amp;"% of imported natural gas cost"</f>
        <v>95% of imported natural gas cost</v>
      </c>
      <c r="E192" s="223">
        <v>0.95</v>
      </c>
      <c r="F192" s="602"/>
      <c r="G192" s="602" t="s">
        <v>320</v>
      </c>
      <c r="H192" s="602"/>
      <c r="I192" s="210"/>
      <c r="J192" s="602"/>
      <c r="K192" s="602"/>
      <c r="L192" s="602"/>
      <c r="M192" s="602"/>
      <c r="N192" s="602"/>
      <c r="O192" s="602"/>
      <c r="P192" s="602"/>
      <c r="Q192" s="602"/>
      <c r="R192" s="602"/>
      <c r="S192" s="602"/>
      <c r="T192" s="602"/>
      <c r="U192" s="602"/>
      <c r="V192" s="602"/>
      <c r="W192" s="602"/>
      <c r="X192" s="602"/>
      <c r="Y192" s="602"/>
      <c r="Z192" s="602"/>
      <c r="AA192" s="602"/>
      <c r="AB192" s="602"/>
      <c r="AC192" s="602"/>
      <c r="AD192" s="602"/>
      <c r="AE192" s="602"/>
      <c r="AF192" s="602"/>
      <c r="AG192" s="602"/>
      <c r="AH192" s="602"/>
      <c r="AI192" s="602"/>
      <c r="AJ192" s="602"/>
      <c r="AK192" s="602"/>
      <c r="AL192" s="602"/>
      <c r="AM192" s="602"/>
      <c r="AN192" s="602"/>
      <c r="AO192" s="602"/>
      <c r="AP192" s="602"/>
      <c r="AQ192" s="602"/>
      <c r="AR192" s="602"/>
      <c r="AS192" s="602"/>
      <c r="AT192" s="602"/>
      <c r="AU192" s="602"/>
      <c r="AV192" s="602"/>
      <c r="AW192" s="602"/>
      <c r="AX192" s="602"/>
      <c r="AY192" s="602"/>
      <c r="AZ192" s="602"/>
      <c r="BA192" s="602"/>
    </row>
    <row r="193" spans="2:53">
      <c r="B193" s="602"/>
      <c r="C193" s="439" t="s">
        <v>626</v>
      </c>
      <c r="D193" s="588" t="s">
        <v>840</v>
      </c>
      <c r="E193" s="578" t="s">
        <v>839</v>
      </c>
      <c r="F193" s="602"/>
      <c r="G193" s="602" t="s">
        <v>605</v>
      </c>
      <c r="H193" s="602"/>
      <c r="I193" s="210"/>
      <c r="J193" s="602"/>
      <c r="K193" s="602"/>
      <c r="L193" s="602"/>
      <c r="M193" s="602"/>
      <c r="N193" s="602"/>
      <c r="O193" s="602"/>
      <c r="P193" s="602"/>
      <c r="Q193" s="602"/>
      <c r="R193" s="602"/>
      <c r="S193" s="602"/>
      <c r="T193" s="602"/>
      <c r="U193" s="602"/>
      <c r="V193" s="602"/>
      <c r="W193" s="602"/>
      <c r="X193" s="602"/>
      <c r="Y193" s="602"/>
      <c r="Z193" s="602"/>
      <c r="AA193" s="602"/>
      <c r="AB193" s="602"/>
      <c r="AC193" s="602"/>
      <c r="AD193" s="602"/>
      <c r="AE193" s="602"/>
      <c r="AF193" s="602"/>
      <c r="AG193" s="602"/>
      <c r="AH193" s="602"/>
      <c r="AI193" s="602"/>
      <c r="AJ193" s="602"/>
      <c r="AK193" s="602"/>
      <c r="AL193" s="602"/>
      <c r="AM193" s="602"/>
      <c r="AN193" s="602"/>
      <c r="AO193" s="602"/>
      <c r="AP193" s="602"/>
      <c r="AQ193" s="602"/>
      <c r="AR193" s="602"/>
      <c r="AS193" s="602"/>
      <c r="AT193" s="602"/>
      <c r="AU193" s="602"/>
      <c r="AV193" s="602"/>
      <c r="AW193" s="602"/>
      <c r="AX193" s="602"/>
      <c r="AY193" s="602"/>
      <c r="AZ193" s="602"/>
      <c r="BA193" s="602"/>
    </row>
    <row r="194" spans="2:53" ht="14" thickBot="1">
      <c r="B194" s="602"/>
      <c r="C194" s="1084" t="s">
        <v>327</v>
      </c>
      <c r="D194" s="1085" t="str">
        <f>E194*100&amp;"% of import technology price (set low to avoid export)"</f>
        <v>95% of import technology price (set low to avoid export)</v>
      </c>
      <c r="E194" s="1086">
        <v>0.95</v>
      </c>
      <c r="F194" s="1087"/>
      <c r="G194" s="1087" t="s">
        <v>605</v>
      </c>
      <c r="H194" s="1087"/>
      <c r="I194" s="1088"/>
      <c r="J194" s="602"/>
      <c r="K194" s="602"/>
      <c r="L194" s="602"/>
      <c r="M194" s="602"/>
      <c r="N194" s="602"/>
      <c r="O194" s="602"/>
      <c r="P194" s="602"/>
      <c r="Q194" s="602"/>
      <c r="R194" s="602"/>
      <c r="S194" s="602"/>
      <c r="T194" s="602"/>
      <c r="U194" s="602"/>
      <c r="V194" s="602"/>
      <c r="W194" s="602"/>
      <c r="X194" s="602"/>
      <c r="Y194" s="602"/>
      <c r="Z194" s="602"/>
      <c r="AA194" s="602"/>
      <c r="AB194" s="602"/>
      <c r="AC194" s="602"/>
      <c r="AD194" s="602"/>
      <c r="AE194" s="602"/>
      <c r="AF194" s="602"/>
      <c r="AG194" s="602"/>
      <c r="AH194" s="602"/>
      <c r="AI194" s="602"/>
      <c r="AJ194" s="602"/>
      <c r="AK194" s="602"/>
      <c r="AL194" s="602"/>
      <c r="AM194" s="602"/>
      <c r="AN194" s="602"/>
      <c r="AO194" s="602"/>
      <c r="AP194" s="602"/>
      <c r="AQ194" s="602"/>
      <c r="AR194" s="602"/>
      <c r="AS194" s="602"/>
      <c r="AT194" s="602"/>
      <c r="AU194" s="602"/>
      <c r="AV194" s="602"/>
      <c r="AW194" s="602"/>
      <c r="AX194" s="602"/>
      <c r="AY194" s="602"/>
      <c r="AZ194" s="602"/>
      <c r="BA194" s="602"/>
    </row>
    <row r="195" spans="2:53" s="588" customFormat="1">
      <c r="C195" s="588" t="str">
        <f>C211</f>
        <v>Export technology - Bio Naphtha (Petroleoum)</v>
      </c>
      <c r="D195" s="588" t="s">
        <v>862</v>
      </c>
      <c r="E195" s="591">
        <v>1</v>
      </c>
      <c r="G195" s="588" t="s">
        <v>863</v>
      </c>
    </row>
    <row r="196" spans="2:53" s="588" customFormat="1">
      <c r="C196" s="588" t="str">
        <f t="shared" ref="C196:C200" si="118">C212</f>
        <v>Export technology - Rape Cake</v>
      </c>
      <c r="E196" s="588">
        <f>E179</f>
        <v>0.1</v>
      </c>
      <c r="G196" s="588" t="s">
        <v>864</v>
      </c>
    </row>
    <row r="197" spans="2:53" s="588" customFormat="1">
      <c r="C197" s="588" t="str">
        <f t="shared" si="118"/>
        <v>Export technology - Sugar Beet Pulp</v>
      </c>
      <c r="D197" s="588" t="s">
        <v>865</v>
      </c>
      <c r="E197" s="591">
        <v>0.5</v>
      </c>
      <c r="G197" s="588" t="s">
        <v>320</v>
      </c>
    </row>
    <row r="198" spans="2:53" s="588" customFormat="1">
      <c r="C198" s="588">
        <f t="shared" si="118"/>
        <v>0</v>
      </c>
      <c r="E198" s="588">
        <v>0</v>
      </c>
      <c r="G198" s="588" t="s">
        <v>866</v>
      </c>
      <c r="Z198" s="592"/>
      <c r="AB198" s="592"/>
    </row>
    <row r="199" spans="2:53" s="588" customFormat="1">
      <c r="C199" s="588" t="str">
        <f t="shared" si="118"/>
        <v>Fossile fuel prices (CIF import price)</v>
      </c>
      <c r="E199" s="588">
        <f>43*0.35/3.6</f>
        <v>4.1805555555555554</v>
      </c>
      <c r="G199" s="588" t="s">
        <v>867</v>
      </c>
    </row>
    <row r="200" spans="2:53" s="588" customFormat="1">
      <c r="C200" s="588">
        <f t="shared" si="118"/>
        <v>0</v>
      </c>
      <c r="E200" s="588">
        <f>E179</f>
        <v>0.1</v>
      </c>
      <c r="G200" s="588" t="s">
        <v>864</v>
      </c>
    </row>
    <row r="201" spans="2:53">
      <c r="B201" s="602"/>
      <c r="C201" s="602"/>
      <c r="D201" s="588"/>
      <c r="E201" s="223"/>
      <c r="F201" s="602"/>
      <c r="G201" s="602"/>
      <c r="H201" s="602"/>
      <c r="I201" s="602"/>
      <c r="J201" s="602"/>
      <c r="K201" s="602"/>
      <c r="L201" s="602"/>
      <c r="M201" s="602"/>
      <c r="N201" s="602"/>
      <c r="O201" s="602"/>
      <c r="P201" s="602"/>
      <c r="Q201" s="602"/>
      <c r="R201" s="602"/>
      <c r="S201" s="602"/>
      <c r="T201" s="602"/>
      <c r="U201" s="602"/>
      <c r="V201" s="602"/>
      <c r="W201" s="602"/>
      <c r="X201" s="602"/>
      <c r="Y201" s="602"/>
      <c r="Z201" s="602"/>
      <c r="AA201" s="602"/>
      <c r="AB201" s="602"/>
      <c r="AC201" s="602"/>
      <c r="AD201" s="602"/>
      <c r="AE201" s="602"/>
      <c r="AF201" s="602"/>
      <c r="AG201" s="602"/>
      <c r="AH201" s="602"/>
      <c r="AI201" s="602"/>
      <c r="AJ201" s="602"/>
      <c r="AK201" s="602"/>
      <c r="AL201" s="602"/>
      <c r="AM201" s="602"/>
      <c r="AN201" s="602"/>
      <c r="AO201" s="602"/>
      <c r="AP201" s="602"/>
      <c r="AQ201" s="602"/>
      <c r="AR201" s="602"/>
      <c r="AS201" s="602"/>
      <c r="AT201" s="602"/>
      <c r="AU201" s="602"/>
      <c r="AV201" s="602"/>
      <c r="AW201" s="602"/>
      <c r="AX201" s="602"/>
      <c r="AY201" s="602"/>
      <c r="AZ201" s="602"/>
      <c r="BA201" s="602"/>
    </row>
    <row r="202" spans="2:53" ht="18" thickBot="1">
      <c r="B202" s="1077"/>
      <c r="C202" s="197" t="s">
        <v>569</v>
      </c>
      <c r="D202" s="1046"/>
      <c r="E202" s="1077"/>
      <c r="F202" s="588"/>
      <c r="G202" s="602"/>
      <c r="H202" s="602"/>
      <c r="I202" s="602"/>
      <c r="J202" s="602"/>
      <c r="K202" s="602"/>
      <c r="L202" s="602"/>
      <c r="M202" s="602"/>
      <c r="N202" s="602"/>
      <c r="O202" s="602"/>
      <c r="P202" s="602"/>
      <c r="Q202" s="602"/>
      <c r="R202" s="602"/>
      <c r="S202" s="602"/>
      <c r="T202" s="602"/>
      <c r="U202" s="602"/>
      <c r="V202" s="602"/>
      <c r="W202" s="602"/>
      <c r="X202" s="602"/>
      <c r="Y202" s="602"/>
      <c r="Z202" s="602"/>
      <c r="AA202" s="602"/>
      <c r="AB202" s="602"/>
      <c r="AC202" s="602"/>
      <c r="AD202" s="602"/>
      <c r="AE202" s="602"/>
      <c r="AF202" s="602"/>
      <c r="AG202" s="602"/>
      <c r="AH202" s="602"/>
      <c r="AI202" s="602"/>
      <c r="AJ202" s="602"/>
      <c r="AK202" s="602"/>
      <c r="AL202" s="602"/>
      <c r="AM202" s="602"/>
      <c r="AN202" s="602"/>
      <c r="AO202" s="602"/>
      <c r="AP202" s="602"/>
      <c r="AQ202" s="602"/>
      <c r="AR202" s="602"/>
      <c r="AS202" s="602"/>
      <c r="AT202" s="602"/>
      <c r="AU202" s="602"/>
      <c r="AV202" s="602"/>
      <c r="AW202" s="602"/>
      <c r="AX202" s="602"/>
      <c r="AY202" s="602"/>
      <c r="AZ202" s="602"/>
      <c r="BA202" s="602"/>
    </row>
    <row r="203" spans="2:53" ht="15" thickTop="1" thickBot="1">
      <c r="B203" s="1077"/>
      <c r="C203" s="220" t="s">
        <v>325</v>
      </c>
      <c r="D203" s="221" t="s">
        <v>318</v>
      </c>
      <c r="E203" s="221"/>
      <c r="F203" s="221" t="s">
        <v>328</v>
      </c>
      <c r="G203" s="221" t="s">
        <v>319</v>
      </c>
      <c r="H203" s="222" t="s">
        <v>173</v>
      </c>
      <c r="I203" s="602"/>
      <c r="J203" s="602"/>
      <c r="K203" s="602"/>
      <c r="L203" s="602"/>
      <c r="M203" s="602"/>
      <c r="N203" s="602"/>
      <c r="O203" s="602"/>
      <c r="P203" s="602"/>
      <c r="Q203" s="602"/>
      <c r="R203" s="602"/>
      <c r="S203" s="602"/>
      <c r="T203" s="602"/>
      <c r="U203" s="602"/>
      <c r="V203" s="602"/>
      <c r="W203" s="602"/>
      <c r="X203" s="602"/>
      <c r="Y203" s="602"/>
      <c r="Z203" s="602"/>
      <c r="AA203" s="602"/>
      <c r="AB203" s="602"/>
      <c r="AC203" s="602"/>
      <c r="AD203" s="602"/>
      <c r="AE203" s="602"/>
      <c r="AF203" s="602"/>
      <c r="AG203" s="602"/>
      <c r="AH203" s="602"/>
      <c r="AI203" s="602"/>
      <c r="AJ203" s="602"/>
      <c r="AK203" s="602"/>
      <c r="AL203" s="602"/>
      <c r="AM203" s="602"/>
      <c r="AN203" s="602"/>
      <c r="AO203" s="602"/>
      <c r="AP203" s="602"/>
      <c r="AQ203" s="602"/>
      <c r="AR203" s="602"/>
      <c r="AS203" s="602"/>
      <c r="AT203" s="602"/>
      <c r="AU203" s="602"/>
      <c r="AV203" s="602"/>
      <c r="AW203" s="602"/>
      <c r="AX203" s="602"/>
      <c r="AY203" s="602"/>
      <c r="AZ203" s="602"/>
      <c r="BA203" s="602"/>
    </row>
    <row r="204" spans="2:53">
      <c r="B204" s="1077"/>
      <c r="C204" s="1089" t="s">
        <v>370</v>
      </c>
      <c r="D204" s="588" t="s">
        <v>498</v>
      </c>
      <c r="E204" s="1090">
        <f>[21]BiomassCost!G30</f>
        <v>72.400000000000006</v>
      </c>
      <c r="F204" s="602" t="s">
        <v>564</v>
      </c>
      <c r="G204" s="602"/>
      <c r="H204" s="210"/>
      <c r="I204" s="602"/>
      <c r="J204" s="602"/>
      <c r="K204" s="602"/>
      <c r="L204" s="602"/>
      <c r="M204" s="602"/>
      <c r="N204" s="602"/>
      <c r="O204" s="602"/>
      <c r="P204" s="602"/>
      <c r="Q204" s="602"/>
      <c r="R204" s="602"/>
      <c r="S204" s="602"/>
      <c r="T204" s="602"/>
      <c r="U204" s="602"/>
      <c r="V204" s="602"/>
      <c r="W204" s="602"/>
      <c r="X204" s="602"/>
      <c r="Y204" s="602"/>
      <c r="Z204" s="602"/>
      <c r="AA204" s="602"/>
      <c r="AB204" s="602"/>
      <c r="AC204" s="602"/>
      <c r="AD204" s="602"/>
      <c r="AE204" s="602"/>
      <c r="AF204" s="602"/>
      <c r="AG204" s="602"/>
      <c r="AH204" s="602"/>
      <c r="AI204" s="602"/>
      <c r="AJ204" s="602"/>
      <c r="AK204" s="602"/>
      <c r="AL204" s="602"/>
      <c r="AM204" s="602"/>
      <c r="AN204" s="602"/>
      <c r="AO204" s="602"/>
      <c r="AP204" s="602"/>
      <c r="AQ204" s="602"/>
      <c r="AR204" s="602"/>
      <c r="AS204" s="602"/>
      <c r="AT204" s="602"/>
      <c r="AU204" s="602"/>
      <c r="AV204" s="602"/>
      <c r="AW204" s="602"/>
      <c r="AX204" s="602"/>
      <c r="AY204" s="602"/>
      <c r="AZ204" s="602"/>
      <c r="BA204" s="602"/>
    </row>
    <row r="205" spans="2:53">
      <c r="B205" s="1077"/>
      <c r="C205" s="1089" t="s">
        <v>371</v>
      </c>
      <c r="D205" s="588" t="s">
        <v>499</v>
      </c>
      <c r="E205" s="1090">
        <f>[21]BiomassCost!G33</f>
        <v>101.7</v>
      </c>
      <c r="F205" s="602" t="s">
        <v>564</v>
      </c>
      <c r="G205" s="602"/>
      <c r="H205" s="210"/>
      <c r="I205" s="602"/>
      <c r="J205" s="602"/>
      <c r="K205" s="602"/>
      <c r="L205" s="602"/>
      <c r="M205" s="602"/>
      <c r="N205" s="602"/>
      <c r="O205" s="602"/>
      <c r="P205" s="602"/>
      <c r="Q205" s="602"/>
      <c r="R205" s="602"/>
      <c r="S205" s="602"/>
      <c r="T205" s="602"/>
      <c r="U205" s="602"/>
      <c r="V205" s="602"/>
      <c r="W205" s="602"/>
      <c r="X205" s="602"/>
      <c r="Y205" s="602"/>
      <c r="Z205" s="602"/>
      <c r="AA205" s="602"/>
      <c r="AB205" s="602"/>
      <c r="AC205" s="602"/>
      <c r="AD205" s="602"/>
      <c r="AE205" s="602"/>
      <c r="AF205" s="602"/>
      <c r="AG205" s="602"/>
      <c r="AH205" s="602"/>
      <c r="AI205" s="602"/>
      <c r="AJ205" s="602"/>
      <c r="AK205" s="602"/>
      <c r="AL205" s="602"/>
      <c r="AM205" s="602"/>
      <c r="AN205" s="602"/>
      <c r="AO205" s="602"/>
      <c r="AP205" s="602"/>
      <c r="AQ205" s="602"/>
      <c r="AR205" s="602"/>
      <c r="AS205" s="602"/>
      <c r="AT205" s="602"/>
      <c r="AU205" s="602"/>
      <c r="AV205" s="602"/>
      <c r="AW205" s="602"/>
      <c r="AX205" s="602"/>
      <c r="AY205" s="602"/>
      <c r="AZ205" s="602"/>
      <c r="BA205" s="602"/>
    </row>
    <row r="206" spans="2:53">
      <c r="B206" s="1077"/>
      <c r="C206" s="1089" t="s">
        <v>372</v>
      </c>
      <c r="D206" s="588" t="s">
        <v>500</v>
      </c>
      <c r="E206" s="1090">
        <f>[21]BiomassCost!G31</f>
        <v>10.6</v>
      </c>
      <c r="F206" s="602" t="s">
        <v>564</v>
      </c>
      <c r="G206" s="602"/>
      <c r="H206" s="210"/>
      <c r="I206" s="602"/>
      <c r="J206" s="602"/>
      <c r="K206" s="602"/>
      <c r="L206" s="602"/>
      <c r="M206" s="602"/>
      <c r="N206" s="602"/>
      <c r="O206" s="602"/>
      <c r="P206" s="602"/>
      <c r="Q206" s="602"/>
      <c r="R206" s="602"/>
      <c r="S206" s="602"/>
      <c r="T206" s="602"/>
      <c r="U206" s="602"/>
      <c r="V206" s="602"/>
      <c r="W206" s="602"/>
      <c r="X206" s="602"/>
      <c r="Y206" s="602"/>
      <c r="Z206" s="602"/>
      <c r="AA206" s="602"/>
      <c r="AB206" s="602"/>
      <c r="AC206" s="602"/>
      <c r="AD206" s="602"/>
      <c r="AE206" s="602"/>
      <c r="AF206" s="602"/>
      <c r="AG206" s="602"/>
      <c r="AH206" s="602"/>
      <c r="AI206" s="602"/>
      <c r="AJ206" s="602"/>
      <c r="AK206" s="602"/>
      <c r="AL206" s="602"/>
      <c r="AM206" s="602"/>
      <c r="AN206" s="602"/>
      <c r="AO206" s="602"/>
      <c r="AP206" s="602"/>
      <c r="AQ206" s="602"/>
      <c r="AR206" s="602"/>
      <c r="AS206" s="602"/>
      <c r="AT206" s="602"/>
      <c r="AU206" s="602"/>
      <c r="AV206" s="602"/>
      <c r="AW206" s="602"/>
      <c r="AX206" s="602"/>
      <c r="AY206" s="602"/>
      <c r="AZ206" s="602"/>
      <c r="BA206" s="602"/>
    </row>
    <row r="207" spans="2:53">
      <c r="B207" s="1077"/>
      <c r="C207" s="1089" t="s">
        <v>373</v>
      </c>
      <c r="D207" s="588" t="s">
        <v>501</v>
      </c>
      <c r="E207" s="1090">
        <f>[21]BiomassCost!$G$43</f>
        <v>207.6</v>
      </c>
      <c r="F207" s="602" t="s">
        <v>564</v>
      </c>
      <c r="G207" s="602"/>
      <c r="H207" s="210"/>
      <c r="I207" s="602"/>
      <c r="J207" s="602"/>
      <c r="K207" s="602"/>
      <c r="L207" s="602"/>
      <c r="M207" s="602"/>
      <c r="N207" s="602"/>
      <c r="O207" s="602"/>
      <c r="P207" s="602"/>
      <c r="Q207" s="602"/>
      <c r="R207" s="602"/>
      <c r="S207" s="602"/>
      <c r="T207" s="602"/>
      <c r="U207" s="602"/>
      <c r="V207" s="602"/>
      <c r="W207" s="602"/>
      <c r="X207" s="602"/>
      <c r="Y207" s="602"/>
      <c r="Z207" s="602"/>
      <c r="AA207" s="602"/>
      <c r="AB207" s="602"/>
      <c r="AC207" s="602"/>
      <c r="AD207" s="602"/>
      <c r="AE207" s="602"/>
      <c r="AF207" s="602"/>
      <c r="AG207" s="602"/>
      <c r="AH207" s="602"/>
      <c r="AI207" s="602"/>
      <c r="AJ207" s="602"/>
      <c r="AK207" s="602"/>
      <c r="AL207" s="602"/>
      <c r="AM207" s="602"/>
      <c r="AN207" s="602"/>
      <c r="AO207" s="602"/>
      <c r="AP207" s="602"/>
      <c r="AQ207" s="602"/>
      <c r="AR207" s="602"/>
      <c r="AS207" s="602"/>
      <c r="AT207" s="602"/>
      <c r="AU207" s="602"/>
      <c r="AV207" s="602"/>
      <c r="AW207" s="602"/>
      <c r="AX207" s="602"/>
      <c r="AY207" s="602"/>
      <c r="AZ207" s="602"/>
      <c r="BA207" s="602"/>
    </row>
    <row r="208" spans="2:53">
      <c r="B208" s="1077"/>
      <c r="C208" s="1089" t="s">
        <v>374</v>
      </c>
      <c r="D208" s="588" t="s">
        <v>501</v>
      </c>
      <c r="E208" s="1090">
        <f>[21]BiomassCost!$G$43</f>
        <v>207.6</v>
      </c>
      <c r="F208" s="602" t="s">
        <v>564</v>
      </c>
      <c r="G208" s="602"/>
      <c r="H208" s="210"/>
      <c r="I208" s="602"/>
      <c r="J208" s="602"/>
      <c r="K208" s="602"/>
      <c r="L208" s="602"/>
      <c r="M208" s="602"/>
      <c r="N208" s="602"/>
      <c r="O208" s="602"/>
      <c r="P208" s="602"/>
      <c r="Q208" s="602"/>
      <c r="R208" s="602"/>
      <c r="S208" s="602"/>
      <c r="T208" s="602"/>
      <c r="U208" s="602"/>
      <c r="V208" s="602"/>
      <c r="W208" s="602"/>
      <c r="X208" s="602"/>
      <c r="Y208" s="602"/>
      <c r="Z208" s="602"/>
      <c r="AA208" s="602"/>
      <c r="AB208" s="602"/>
      <c r="AC208" s="602"/>
      <c r="AD208" s="602"/>
      <c r="AE208" s="602"/>
      <c r="AF208" s="602"/>
      <c r="AG208" s="602"/>
      <c r="AH208" s="602"/>
      <c r="AI208" s="602"/>
      <c r="AJ208" s="602"/>
      <c r="AK208" s="602"/>
      <c r="AL208" s="602"/>
      <c r="AM208" s="602"/>
      <c r="AN208" s="602"/>
      <c r="AO208" s="602"/>
      <c r="AP208" s="602"/>
      <c r="AQ208" s="602"/>
      <c r="AR208" s="602"/>
      <c r="AS208" s="602"/>
      <c r="AT208" s="602"/>
      <c r="AU208" s="602"/>
      <c r="AV208" s="602"/>
      <c r="AW208" s="602"/>
      <c r="AX208" s="602"/>
      <c r="AY208" s="602"/>
      <c r="AZ208" s="602"/>
      <c r="BA208" s="602"/>
    </row>
    <row r="209" spans="2:53">
      <c r="B209" s="1077"/>
      <c r="C209" s="1089" t="s">
        <v>557</v>
      </c>
      <c r="D209" s="588" t="s">
        <v>565</v>
      </c>
      <c r="E209" s="1090">
        <v>10</v>
      </c>
      <c r="F209" s="602" t="s">
        <v>564</v>
      </c>
      <c r="G209" s="602"/>
      <c r="H209" s="210"/>
      <c r="I209" s="602"/>
      <c r="J209" s="602"/>
      <c r="K209" s="602"/>
      <c r="L209" s="602"/>
      <c r="M209" s="602"/>
      <c r="N209" s="602"/>
      <c r="O209" s="602"/>
      <c r="P209" s="602"/>
      <c r="Q209" s="602"/>
      <c r="R209" s="602"/>
      <c r="S209" s="602"/>
      <c r="T209" s="602"/>
      <c r="U209" s="602"/>
      <c r="V209" s="602"/>
      <c r="W209" s="602"/>
      <c r="X209" s="602"/>
      <c r="Y209" s="602"/>
      <c r="Z209" s="602"/>
      <c r="AA209" s="602"/>
      <c r="AB209" s="602"/>
      <c r="AC209" s="602"/>
      <c r="AD209" s="602"/>
      <c r="AE209" s="602"/>
      <c r="AF209" s="602"/>
      <c r="AG209" s="602"/>
      <c r="AH209" s="602"/>
      <c r="AI209" s="602"/>
      <c r="AJ209" s="602"/>
      <c r="AK209" s="602"/>
      <c r="AL209" s="602"/>
      <c r="AM209" s="602"/>
      <c r="AN209" s="602"/>
      <c r="AO209" s="602"/>
      <c r="AP209" s="602"/>
      <c r="AQ209" s="602"/>
      <c r="AR209" s="602"/>
      <c r="AS209" s="602"/>
      <c r="AT209" s="602"/>
      <c r="AU209" s="602"/>
      <c r="AV209" s="602"/>
      <c r="AW209" s="602"/>
      <c r="AX209" s="602"/>
      <c r="AY209" s="602"/>
      <c r="AZ209" s="602"/>
      <c r="BA209" s="602"/>
    </row>
    <row r="210" spans="2:53">
      <c r="B210" s="1077"/>
      <c r="C210" s="1089" t="s">
        <v>558</v>
      </c>
      <c r="D210" s="588" t="s">
        <v>565</v>
      </c>
      <c r="E210" s="1090">
        <v>10</v>
      </c>
      <c r="F210" s="602" t="s">
        <v>564</v>
      </c>
      <c r="G210" s="602"/>
      <c r="H210" s="210"/>
      <c r="I210" s="602"/>
      <c r="J210" s="602"/>
      <c r="K210" s="602"/>
      <c r="L210" s="602"/>
      <c r="M210" s="602"/>
      <c r="N210" s="602"/>
      <c r="O210" s="602"/>
      <c r="P210" s="602"/>
      <c r="Q210" s="602"/>
      <c r="R210" s="602"/>
      <c r="S210" s="602"/>
      <c r="T210" s="602"/>
      <c r="U210" s="602"/>
      <c r="V210" s="602"/>
      <c r="W210" s="602"/>
      <c r="X210" s="602"/>
      <c r="Y210" s="602"/>
      <c r="Z210" s="602"/>
      <c r="AA210" s="602"/>
      <c r="AB210" s="602"/>
      <c r="AC210" s="602"/>
      <c r="AD210" s="602"/>
      <c r="AE210" s="602"/>
      <c r="AF210" s="602"/>
      <c r="AG210" s="602"/>
      <c r="AH210" s="602"/>
      <c r="AI210" s="602"/>
      <c r="AJ210" s="602"/>
      <c r="AK210" s="602"/>
      <c r="AL210" s="602"/>
      <c r="AM210" s="602"/>
      <c r="AN210" s="602"/>
      <c r="AO210" s="602"/>
      <c r="AP210" s="602"/>
      <c r="AQ210" s="602"/>
      <c r="AR210" s="602"/>
      <c r="AS210" s="602"/>
      <c r="AT210" s="602"/>
      <c r="AU210" s="602"/>
      <c r="AV210" s="602"/>
      <c r="AW210" s="602"/>
      <c r="AX210" s="602"/>
      <c r="AY210" s="602"/>
      <c r="AZ210" s="602"/>
      <c r="BA210" s="602"/>
    </row>
    <row r="211" spans="2:53">
      <c r="B211" s="1077"/>
      <c r="C211" s="1089" t="s">
        <v>559</v>
      </c>
      <c r="D211" s="588" t="s">
        <v>565</v>
      </c>
      <c r="E211" s="1090">
        <v>10</v>
      </c>
      <c r="F211" s="602" t="s">
        <v>564</v>
      </c>
      <c r="G211" s="602"/>
      <c r="H211" s="210"/>
      <c r="I211" s="602"/>
      <c r="J211" s="602"/>
      <c r="K211" s="602"/>
      <c r="L211" s="602"/>
      <c r="M211" s="602"/>
      <c r="N211" s="602"/>
      <c r="O211" s="602"/>
      <c r="P211" s="602"/>
      <c r="Q211" s="602"/>
      <c r="R211" s="602"/>
      <c r="S211" s="602"/>
      <c r="T211" s="602"/>
      <c r="U211" s="602"/>
      <c r="V211" s="602"/>
      <c r="W211" s="602"/>
      <c r="X211" s="602"/>
      <c r="Y211" s="602"/>
      <c r="Z211" s="602"/>
      <c r="AA211" s="602"/>
      <c r="AB211" s="602"/>
      <c r="AC211" s="602"/>
      <c r="AD211" s="602"/>
      <c r="AE211" s="602"/>
      <c r="AF211" s="602"/>
      <c r="AG211" s="602"/>
      <c r="AH211" s="602"/>
      <c r="AI211" s="602"/>
      <c r="AJ211" s="602"/>
      <c r="AK211" s="602"/>
      <c r="AL211" s="602"/>
      <c r="AM211" s="602"/>
      <c r="AN211" s="602"/>
      <c r="AO211" s="602"/>
      <c r="AP211" s="602"/>
      <c r="AQ211" s="602"/>
      <c r="AR211" s="602"/>
      <c r="AS211" s="602"/>
      <c r="AT211" s="602"/>
      <c r="AU211" s="602"/>
      <c r="AV211" s="602"/>
      <c r="AW211" s="602"/>
      <c r="AX211" s="602"/>
      <c r="AY211" s="602"/>
      <c r="AZ211" s="602"/>
      <c r="BA211" s="602"/>
    </row>
    <row r="212" spans="2:53">
      <c r="B212" s="1077"/>
      <c r="C212" s="1089" t="s">
        <v>560</v>
      </c>
      <c r="D212" s="588" t="s">
        <v>565</v>
      </c>
      <c r="E212" s="1090">
        <v>10</v>
      </c>
      <c r="F212" s="602" t="s">
        <v>564</v>
      </c>
      <c r="G212" s="602"/>
      <c r="H212" s="210"/>
      <c r="I212" s="602"/>
      <c r="J212" s="602"/>
      <c r="K212" s="602"/>
      <c r="L212" s="602"/>
      <c r="M212" s="602"/>
      <c r="N212" s="602"/>
      <c r="O212" s="602"/>
      <c r="P212" s="602"/>
      <c r="Q212" s="602"/>
      <c r="R212" s="602"/>
      <c r="S212" s="602"/>
      <c r="T212" s="602"/>
      <c r="U212" s="602"/>
      <c r="V212" s="602"/>
      <c r="W212" s="602"/>
      <c r="X212" s="602"/>
      <c r="Y212" s="602"/>
      <c r="Z212" s="602"/>
      <c r="AA212" s="602"/>
      <c r="AB212" s="602"/>
      <c r="AC212" s="602"/>
      <c r="AD212" s="602"/>
      <c r="AE212" s="602"/>
      <c r="AF212" s="602"/>
      <c r="AG212" s="602"/>
      <c r="AH212" s="602"/>
      <c r="AI212" s="602"/>
      <c r="AJ212" s="602"/>
      <c r="AK212" s="602"/>
      <c r="AL212" s="602"/>
      <c r="AM212" s="602"/>
      <c r="AN212" s="602"/>
      <c r="AO212" s="602"/>
      <c r="AP212" s="602"/>
      <c r="AQ212" s="602"/>
      <c r="AR212" s="602"/>
      <c r="AS212" s="602"/>
      <c r="AT212" s="602"/>
      <c r="AU212" s="602"/>
      <c r="AV212" s="602"/>
      <c r="AW212" s="602"/>
      <c r="AX212" s="602"/>
      <c r="AY212" s="602"/>
      <c r="AZ212" s="602"/>
      <c r="BA212" s="602"/>
    </row>
    <row r="213" spans="2:53" ht="14" thickBot="1">
      <c r="B213" s="602"/>
      <c r="C213" s="1091" t="s">
        <v>561</v>
      </c>
      <c r="D213" s="1085" t="s">
        <v>565</v>
      </c>
      <c r="E213" s="1092">
        <v>10</v>
      </c>
      <c r="F213" s="1087" t="s">
        <v>564</v>
      </c>
      <c r="G213" s="1087"/>
      <c r="H213" s="1088"/>
      <c r="I213" s="602"/>
      <c r="J213" s="602"/>
      <c r="K213" s="602"/>
      <c r="L213" s="602"/>
      <c r="M213" s="602"/>
      <c r="N213" s="602"/>
      <c r="O213" s="602"/>
      <c r="P213" s="602"/>
      <c r="Q213" s="602"/>
      <c r="R213" s="602"/>
      <c r="S213" s="602"/>
      <c r="T213" s="602"/>
      <c r="U213" s="602"/>
      <c r="V213" s="602"/>
      <c r="W213" s="602"/>
      <c r="X213" s="602"/>
      <c r="Y213" s="602"/>
      <c r="Z213" s="602"/>
      <c r="AA213" s="602"/>
      <c r="AB213" s="602"/>
      <c r="AC213" s="602"/>
      <c r="AD213" s="602"/>
      <c r="AE213" s="602"/>
      <c r="AF213" s="602"/>
      <c r="AG213" s="602"/>
      <c r="AH213" s="602"/>
      <c r="AI213" s="602"/>
      <c r="AJ213" s="602"/>
      <c r="AK213" s="602"/>
      <c r="AL213" s="602"/>
      <c r="AM213" s="602"/>
      <c r="AN213" s="602"/>
      <c r="AO213" s="602"/>
      <c r="AP213" s="602"/>
      <c r="AQ213" s="602"/>
      <c r="AR213" s="602"/>
      <c r="AS213" s="602"/>
      <c r="AT213" s="602"/>
      <c r="AU213" s="602"/>
      <c r="AV213" s="602"/>
      <c r="AW213" s="602"/>
      <c r="AX213" s="602"/>
      <c r="AY213" s="602"/>
      <c r="AZ213" s="602"/>
      <c r="BA213" s="602"/>
    </row>
    <row r="214" spans="2:53">
      <c r="B214" s="602"/>
      <c r="C214" s="602"/>
      <c r="D214" s="602"/>
      <c r="G214" s="602"/>
      <c r="H214" s="602"/>
      <c r="I214" s="602"/>
      <c r="J214" s="602"/>
      <c r="K214" s="602"/>
      <c r="L214" s="602"/>
      <c r="M214" s="602"/>
      <c r="N214" s="602"/>
      <c r="O214" s="602"/>
      <c r="P214" s="602"/>
      <c r="Q214" s="602"/>
      <c r="R214" s="602"/>
      <c r="S214" s="602"/>
      <c r="T214" s="602"/>
      <c r="U214" s="602"/>
      <c r="V214" s="602"/>
      <c r="W214" s="602"/>
      <c r="X214" s="602"/>
      <c r="Y214" s="602"/>
      <c r="Z214" s="602"/>
      <c r="AA214" s="602"/>
      <c r="AB214" s="602"/>
      <c r="AC214" s="602"/>
      <c r="AD214" s="602"/>
      <c r="AE214" s="602"/>
      <c r="AF214" s="602"/>
      <c r="AG214" s="602"/>
      <c r="AH214" s="602"/>
      <c r="AI214" s="602"/>
      <c r="AJ214" s="602"/>
      <c r="AK214" s="602"/>
      <c r="AL214" s="602"/>
      <c r="AM214" s="602"/>
      <c r="AN214" s="602"/>
      <c r="AO214" s="602"/>
      <c r="AP214" s="602"/>
      <c r="AQ214" s="602"/>
      <c r="AR214" s="602"/>
      <c r="AS214" s="602"/>
      <c r="AT214" s="602"/>
      <c r="AU214" s="602"/>
      <c r="AV214" s="602"/>
      <c r="AW214" s="602"/>
      <c r="AX214" s="602"/>
      <c r="AY214" s="602"/>
      <c r="AZ214" s="602"/>
      <c r="BA214" s="602"/>
    </row>
    <row r="215" spans="2:53" ht="18" thickBot="1">
      <c r="B215" s="1093"/>
      <c r="C215" s="197" t="s">
        <v>307</v>
      </c>
      <c r="D215" s="197"/>
      <c r="E215" s="197"/>
      <c r="F215" s="197"/>
      <c r="G215" s="197"/>
      <c r="H215" s="197"/>
      <c r="I215" s="197"/>
      <c r="J215" s="197"/>
      <c r="K215" s="197"/>
      <c r="L215" s="197"/>
      <c r="M215" s="197"/>
      <c r="N215" s="197"/>
      <c r="O215" s="197"/>
      <c r="P215" s="197"/>
      <c r="Q215" s="197"/>
      <c r="R215" s="197"/>
      <c r="S215" s="197"/>
      <c r="T215" s="197"/>
      <c r="U215" s="197"/>
      <c r="V215" s="197"/>
      <c r="W215" s="197"/>
      <c r="X215" s="197"/>
      <c r="Y215" s="197"/>
      <c r="Z215" s="197"/>
      <c r="AA215" s="197"/>
      <c r="AB215" s="197"/>
      <c r="AC215" s="197"/>
      <c r="AD215" s="197"/>
      <c r="AE215" s="197"/>
      <c r="AF215" s="197"/>
      <c r="AG215" s="197"/>
      <c r="AH215" s="197"/>
      <c r="AI215" s="197"/>
      <c r="AJ215" s="197"/>
      <c r="AK215" s="197"/>
      <c r="AL215" s="197"/>
      <c r="AM215" s="197"/>
      <c r="AN215" s="197"/>
      <c r="AO215" s="197"/>
      <c r="AP215" s="197"/>
      <c r="AQ215" s="197"/>
      <c r="AR215" s="197"/>
      <c r="AS215" s="197"/>
      <c r="AT215" s="197"/>
      <c r="AU215" s="197"/>
      <c r="AV215" s="602"/>
      <c r="AW215" s="602"/>
      <c r="AX215" s="602"/>
      <c r="AY215" s="602"/>
      <c r="AZ215" s="602"/>
      <c r="BA215" s="602"/>
    </row>
    <row r="216" spans="2:53" ht="16" thickTop="1">
      <c r="B216" s="1093"/>
      <c r="C216" s="1094"/>
      <c r="D216" s="1095"/>
      <c r="E216" s="1095"/>
      <c r="F216" s="1095"/>
      <c r="G216" s="1094">
        <v>2010</v>
      </c>
      <c r="H216" s="1094">
        <v>2011</v>
      </c>
      <c r="I216" s="1094">
        <v>2012</v>
      </c>
      <c r="J216" s="1094">
        <v>2013</v>
      </c>
      <c r="K216" s="1094">
        <v>2014</v>
      </c>
      <c r="L216" s="1094">
        <v>2015</v>
      </c>
      <c r="M216" s="1094">
        <v>2016</v>
      </c>
      <c r="N216" s="1094">
        <v>2017</v>
      </c>
      <c r="O216" s="1094">
        <v>2018</v>
      </c>
      <c r="P216" s="1094">
        <v>2019</v>
      </c>
      <c r="Q216" s="1094">
        <v>2020</v>
      </c>
      <c r="R216" s="1094">
        <v>2021</v>
      </c>
      <c r="S216" s="1094">
        <v>2022</v>
      </c>
      <c r="T216" s="1094">
        <v>2023</v>
      </c>
      <c r="U216" s="1094">
        <v>2024</v>
      </c>
      <c r="V216" s="1094">
        <v>2025</v>
      </c>
      <c r="W216" s="1094">
        <v>2026</v>
      </c>
      <c r="X216" s="1094">
        <v>2027</v>
      </c>
      <c r="Y216" s="1094">
        <v>2028</v>
      </c>
      <c r="Z216" s="1094">
        <v>2029</v>
      </c>
      <c r="AA216" s="1094">
        <v>2030</v>
      </c>
      <c r="AB216" s="1094">
        <v>2031</v>
      </c>
      <c r="AC216" s="1094">
        <v>2032</v>
      </c>
      <c r="AD216" s="1094">
        <v>2033</v>
      </c>
      <c r="AE216" s="1094">
        <v>2034</v>
      </c>
      <c r="AF216" s="1094">
        <v>2035</v>
      </c>
      <c r="AG216" s="1094">
        <v>2036</v>
      </c>
      <c r="AH216" s="1094">
        <v>2037</v>
      </c>
      <c r="AI216" s="1094">
        <v>2038</v>
      </c>
      <c r="AJ216" s="1094">
        <v>2039</v>
      </c>
      <c r="AK216" s="1094">
        <v>2040</v>
      </c>
      <c r="AL216" s="1094">
        <v>2041</v>
      </c>
      <c r="AM216" s="1094">
        <v>2042</v>
      </c>
      <c r="AN216" s="1094">
        <v>2043</v>
      </c>
      <c r="AO216" s="1094">
        <v>2044</v>
      </c>
      <c r="AP216" s="1094">
        <v>2045</v>
      </c>
      <c r="AQ216" s="1094">
        <v>2046</v>
      </c>
      <c r="AR216" s="1094">
        <v>2047</v>
      </c>
      <c r="AS216" s="1094">
        <v>2048</v>
      </c>
      <c r="AT216" s="1094">
        <v>2049</v>
      </c>
      <c r="AU216" s="1094">
        <v>2050</v>
      </c>
      <c r="AV216" s="602"/>
      <c r="AW216" s="602"/>
      <c r="AX216" s="602"/>
      <c r="AY216" s="602"/>
      <c r="AZ216" s="602"/>
      <c r="BA216" s="602"/>
    </row>
    <row r="217" spans="2:53" ht="15">
      <c r="B217" s="1093"/>
      <c r="C217" s="208" t="s">
        <v>302</v>
      </c>
      <c r="D217" s="209"/>
      <c r="E217" s="1096" t="s">
        <v>303</v>
      </c>
      <c r="F217" s="1096" t="s">
        <v>194</v>
      </c>
      <c r="G217" s="1097">
        <v>23.1</v>
      </c>
      <c r="H217" s="1097">
        <v>27.7</v>
      </c>
      <c r="I217" s="1097">
        <v>23.9</v>
      </c>
      <c r="J217" s="1097">
        <v>20.3</v>
      </c>
      <c r="K217" s="1097">
        <v>17.2</v>
      </c>
      <c r="L217" s="1097">
        <v>15.7</v>
      </c>
      <c r="M217" s="1097">
        <v>12.2</v>
      </c>
      <c r="N217" s="1097">
        <v>11.7</v>
      </c>
      <c r="O217" s="1097">
        <v>12.8</v>
      </c>
      <c r="P217" s="572">
        <v>23.406929880021178</v>
      </c>
      <c r="Q217" s="572">
        <v>22.320750500826144</v>
      </c>
      <c r="R217" s="572">
        <v>22.415233779280271</v>
      </c>
      <c r="S217" s="572">
        <v>21.958696459631067</v>
      </c>
      <c r="T217" s="572">
        <v>21.264781225277929</v>
      </c>
      <c r="U217" s="572">
        <v>20.867962592605565</v>
      </c>
      <c r="V217" s="572">
        <v>20.782407107600484</v>
      </c>
      <c r="W217" s="572">
        <v>20.995445244296899</v>
      </c>
      <c r="X217" s="572">
        <v>21.195931843995432</v>
      </c>
      <c r="Y217" s="572">
        <v>21.376250794374826</v>
      </c>
      <c r="Z217" s="572">
        <v>21.548170886437006</v>
      </c>
      <c r="AA217" s="572">
        <v>21.695318201462513</v>
      </c>
      <c r="AB217" s="572">
        <v>21.767199086953433</v>
      </c>
      <c r="AC217" s="572">
        <v>21.825017030148729</v>
      </c>
      <c r="AD217" s="572">
        <v>21.878276139633737</v>
      </c>
      <c r="AE217" s="572">
        <v>21.917992887383534</v>
      </c>
      <c r="AF217" s="572">
        <v>21.9556878669204</v>
      </c>
      <c r="AG217" s="572">
        <v>22.029714738820417</v>
      </c>
      <c r="AH217" s="572">
        <v>22.099296654325173</v>
      </c>
      <c r="AI217" s="572">
        <v>22.153632116105896</v>
      </c>
      <c r="AJ217" s="572">
        <v>22.203402762241502</v>
      </c>
      <c r="AK217" s="572">
        <v>22.241349337329673</v>
      </c>
      <c r="AL217" s="575">
        <f>($AK$217-$AB$217)/10+AK217</f>
        <v>22.288764362367296</v>
      </c>
      <c r="AM217" s="575">
        <f t="shared" ref="AM217:AU221" si="119">($AK$217-$AB$217)/10+AL217</f>
        <v>22.336179387404918</v>
      </c>
      <c r="AN217" s="575">
        <f t="shared" si="119"/>
        <v>22.383594412442541</v>
      </c>
      <c r="AO217" s="575">
        <f t="shared" si="119"/>
        <v>22.431009437480164</v>
      </c>
      <c r="AP217" s="575">
        <f t="shared" si="119"/>
        <v>22.478424462517786</v>
      </c>
      <c r="AQ217" s="575">
        <f t="shared" si="119"/>
        <v>22.525839487555409</v>
      </c>
      <c r="AR217" s="575">
        <f t="shared" si="119"/>
        <v>22.573254512593032</v>
      </c>
      <c r="AS217" s="575">
        <f t="shared" si="119"/>
        <v>22.620669537630654</v>
      </c>
      <c r="AT217" s="575">
        <f t="shared" si="119"/>
        <v>22.668084562668277</v>
      </c>
      <c r="AU217" s="575">
        <f t="shared" si="119"/>
        <v>22.715499587705899</v>
      </c>
      <c r="AV217" s="602"/>
      <c r="AW217" s="602"/>
      <c r="AX217" s="602"/>
      <c r="AY217" s="602"/>
      <c r="AZ217" s="602"/>
      <c r="BA217" s="602"/>
    </row>
    <row r="218" spans="2:53" ht="15">
      <c r="B218" s="1093"/>
      <c r="C218" s="1094" t="s">
        <v>142</v>
      </c>
      <c r="D218" s="1098"/>
      <c r="E218" s="1099" t="s">
        <v>303</v>
      </c>
      <c r="F218" s="1099" t="s">
        <v>194</v>
      </c>
      <c r="G218" s="1095">
        <v>76.2</v>
      </c>
      <c r="H218" s="1095">
        <v>106.1</v>
      </c>
      <c r="I218" s="1095">
        <v>112.9</v>
      </c>
      <c r="J218" s="1095">
        <v>100.3</v>
      </c>
      <c r="K218" s="1095">
        <v>97.3</v>
      </c>
      <c r="L218" s="1095">
        <v>62.7</v>
      </c>
      <c r="M218" s="1095">
        <v>59.9</v>
      </c>
      <c r="N218" s="1095">
        <v>63.9</v>
      </c>
      <c r="O218" s="1095">
        <v>63.7</v>
      </c>
      <c r="P218" s="570">
        <v>73.880467131059874</v>
      </c>
      <c r="Q218" s="570">
        <v>75.931459523916047</v>
      </c>
      <c r="R218" s="570">
        <v>77.701364104651802</v>
      </c>
      <c r="S218" s="570">
        <v>79.289025348102882</v>
      </c>
      <c r="T218" s="570">
        <v>81.023644009316811</v>
      </c>
      <c r="U218" s="570">
        <v>82.712910272747436</v>
      </c>
      <c r="V218" s="570">
        <v>84.053105996878713</v>
      </c>
      <c r="W218" s="570">
        <v>86.676571233184688</v>
      </c>
      <c r="X218" s="570">
        <v>88.186071195293991</v>
      </c>
      <c r="Y218" s="570">
        <v>89.586356147981405</v>
      </c>
      <c r="Z218" s="570">
        <v>90.92803677830058</v>
      </c>
      <c r="AA218" s="570">
        <v>92.141387034323401</v>
      </c>
      <c r="AB218" s="570">
        <v>93.692750413107319</v>
      </c>
      <c r="AC218" s="570">
        <v>95.558328708367895</v>
      </c>
      <c r="AD218" s="570">
        <v>97.341047888333435</v>
      </c>
      <c r="AE218" s="570">
        <v>99.002693402790925</v>
      </c>
      <c r="AF218" s="570">
        <v>100.59799469913287</v>
      </c>
      <c r="AG218" s="570">
        <v>102.09020115332861</v>
      </c>
      <c r="AH218" s="570">
        <v>103.53602848432692</v>
      </c>
      <c r="AI218" s="570">
        <v>104.86648319780612</v>
      </c>
      <c r="AJ218" s="570">
        <v>106.13404097693454</v>
      </c>
      <c r="AK218" s="570">
        <v>107.30502693993807</v>
      </c>
      <c r="AL218" s="1100">
        <f>($AK$217-$AB$217)/10+AK218</f>
        <v>107.3524419649757</v>
      </c>
      <c r="AM218" s="1100">
        <f t="shared" si="119"/>
        <v>107.39985699001332</v>
      </c>
      <c r="AN218" s="1100">
        <f t="shared" si="119"/>
        <v>107.44727201505094</v>
      </c>
      <c r="AO218" s="1100">
        <f t="shared" si="119"/>
        <v>107.49468704008856</v>
      </c>
      <c r="AP218" s="1100">
        <f t="shared" si="119"/>
        <v>107.54210206512619</v>
      </c>
      <c r="AQ218" s="1100">
        <f t="shared" si="119"/>
        <v>107.58951709016381</v>
      </c>
      <c r="AR218" s="1100">
        <f t="shared" si="119"/>
        <v>107.63693211520143</v>
      </c>
      <c r="AS218" s="1100">
        <f t="shared" si="119"/>
        <v>107.68434714023905</v>
      </c>
      <c r="AT218" s="1100">
        <f t="shared" si="119"/>
        <v>107.73176216527668</v>
      </c>
      <c r="AU218" s="1100">
        <f t="shared" si="119"/>
        <v>107.7791771903143</v>
      </c>
      <c r="AV218" s="602"/>
      <c r="AW218" s="602"/>
      <c r="AX218" s="602"/>
      <c r="AY218" s="602"/>
      <c r="AZ218" s="602"/>
      <c r="BA218" s="602"/>
    </row>
    <row r="219" spans="2:53" ht="15">
      <c r="B219" s="1093"/>
      <c r="C219" s="1094" t="s">
        <v>304</v>
      </c>
      <c r="D219" s="1098"/>
      <c r="E219" s="1099" t="s">
        <v>303</v>
      </c>
      <c r="F219" s="1099" t="s">
        <v>194</v>
      </c>
      <c r="G219" s="1095">
        <v>92.8</v>
      </c>
      <c r="H219" s="1095">
        <v>122.9</v>
      </c>
      <c r="I219" s="1095">
        <v>136.69999999999999</v>
      </c>
      <c r="J219" s="1095">
        <v>122</v>
      </c>
      <c r="K219" s="1095">
        <v>114.8</v>
      </c>
      <c r="L219" s="1095">
        <v>78.2</v>
      </c>
      <c r="M219" s="1095">
        <v>75.3</v>
      </c>
      <c r="N219" s="1095">
        <v>79.400000000000006</v>
      </c>
      <c r="O219" s="1095">
        <v>79.3</v>
      </c>
      <c r="P219" s="573">
        <v>95.583697574109408</v>
      </c>
      <c r="Q219" s="573">
        <v>97.634689966965581</v>
      </c>
      <c r="R219" s="573">
        <v>99.404594547701336</v>
      </c>
      <c r="S219" s="573">
        <v>100.99225579115242</v>
      </c>
      <c r="T219" s="573">
        <v>102.72687445236635</v>
      </c>
      <c r="U219" s="573">
        <v>104.41614071579697</v>
      </c>
      <c r="V219" s="573">
        <v>105.75633643992825</v>
      </c>
      <c r="W219" s="573">
        <v>108.37980167623422</v>
      </c>
      <c r="X219" s="573">
        <v>109.88930163834353</v>
      </c>
      <c r="Y219" s="573">
        <v>111.28958659103094</v>
      </c>
      <c r="Z219" s="573">
        <v>112.63126722135011</v>
      </c>
      <c r="AA219" s="573">
        <v>113.84461747737294</v>
      </c>
      <c r="AB219" s="573">
        <v>115.39598085615685</v>
      </c>
      <c r="AC219" s="573">
        <v>117.26155915141743</v>
      </c>
      <c r="AD219" s="573">
        <v>119.04427833138297</v>
      </c>
      <c r="AE219" s="573">
        <v>120.70592384584046</v>
      </c>
      <c r="AF219" s="573">
        <v>122.3012251421824</v>
      </c>
      <c r="AG219" s="573">
        <v>123.79343159637814</v>
      </c>
      <c r="AH219" s="573">
        <v>125.23925892737645</v>
      </c>
      <c r="AI219" s="573">
        <v>126.56971364085565</v>
      </c>
      <c r="AJ219" s="573">
        <v>127.83727141998408</v>
      </c>
      <c r="AK219" s="573">
        <v>129.00825738298761</v>
      </c>
      <c r="AL219" s="576">
        <f>($AK$217-$AB$217)/10+AK219</f>
        <v>129.05567240802523</v>
      </c>
      <c r="AM219" s="576">
        <f t="shared" si="119"/>
        <v>129.10308743306285</v>
      </c>
      <c r="AN219" s="576">
        <f t="shared" si="119"/>
        <v>129.15050245810048</v>
      </c>
      <c r="AO219" s="576">
        <f t="shared" si="119"/>
        <v>129.1979174831381</v>
      </c>
      <c r="AP219" s="576">
        <f t="shared" si="119"/>
        <v>129.24533250817572</v>
      </c>
      <c r="AQ219" s="576">
        <f t="shared" si="119"/>
        <v>129.29274753321334</v>
      </c>
      <c r="AR219" s="576">
        <f t="shared" si="119"/>
        <v>129.34016255825097</v>
      </c>
      <c r="AS219" s="576">
        <f t="shared" si="119"/>
        <v>129.38757758328859</v>
      </c>
      <c r="AT219" s="576">
        <f t="shared" si="119"/>
        <v>129.43499260832621</v>
      </c>
      <c r="AU219" s="576">
        <f t="shared" si="119"/>
        <v>129.48240763336383</v>
      </c>
      <c r="AV219" s="602"/>
      <c r="AW219" s="602"/>
      <c r="AX219" s="602"/>
      <c r="AY219" s="602"/>
      <c r="AZ219" s="602"/>
      <c r="BA219" s="602"/>
    </row>
    <row r="220" spans="2:53" ht="15">
      <c r="B220" s="1093"/>
      <c r="C220" s="1094" t="s">
        <v>51</v>
      </c>
      <c r="D220" s="1098"/>
      <c r="E220" s="1099" t="s">
        <v>303</v>
      </c>
      <c r="F220" s="1099" t="s">
        <v>194</v>
      </c>
      <c r="G220" s="1095">
        <v>105.4</v>
      </c>
      <c r="H220" s="1095">
        <v>117.4</v>
      </c>
      <c r="I220" s="1095">
        <v>134.19999999999999</v>
      </c>
      <c r="J220" s="1095">
        <v>123.2</v>
      </c>
      <c r="K220" s="1095">
        <v>113.5</v>
      </c>
      <c r="L220" s="1095">
        <v>77</v>
      </c>
      <c r="M220" s="1095">
        <v>74</v>
      </c>
      <c r="N220" s="1095">
        <v>78.2</v>
      </c>
      <c r="O220" s="1095">
        <v>78</v>
      </c>
      <c r="P220" s="573">
        <v>93.420285058277415</v>
      </c>
      <c r="Q220" s="573">
        <v>95.471277451133588</v>
      </c>
      <c r="R220" s="573">
        <v>97.241182031869343</v>
      </c>
      <c r="S220" s="573">
        <v>98.828843275320423</v>
      </c>
      <c r="T220" s="573">
        <v>100.56346193653435</v>
      </c>
      <c r="U220" s="573">
        <v>102.25272819996498</v>
      </c>
      <c r="V220" s="573">
        <v>103.59292392409625</v>
      </c>
      <c r="W220" s="573">
        <v>106.21638916040223</v>
      </c>
      <c r="X220" s="573">
        <v>107.72588912251153</v>
      </c>
      <c r="Y220" s="573">
        <v>109.12617407519895</v>
      </c>
      <c r="Z220" s="573">
        <v>110.46785470551812</v>
      </c>
      <c r="AA220" s="573">
        <v>111.68120496154094</v>
      </c>
      <c r="AB220" s="573">
        <v>113.23256834032486</v>
      </c>
      <c r="AC220" s="573">
        <v>115.09814663558544</v>
      </c>
      <c r="AD220" s="573">
        <v>116.88086581555098</v>
      </c>
      <c r="AE220" s="573">
        <v>118.54251133000847</v>
      </c>
      <c r="AF220" s="573">
        <v>120.13781262635041</v>
      </c>
      <c r="AG220" s="573">
        <v>121.63001908054615</v>
      </c>
      <c r="AH220" s="573">
        <v>123.07584641154446</v>
      </c>
      <c r="AI220" s="573">
        <v>124.40630112502366</v>
      </c>
      <c r="AJ220" s="573">
        <v>125.67385890415208</v>
      </c>
      <c r="AK220" s="573">
        <v>126.84484486715562</v>
      </c>
      <c r="AL220" s="576">
        <f>($AK$217-$AB$217)/10+AK220</f>
        <v>126.89225989219324</v>
      </c>
      <c r="AM220" s="576">
        <f t="shared" si="119"/>
        <v>126.93967491723086</v>
      </c>
      <c r="AN220" s="576">
        <f t="shared" si="119"/>
        <v>126.98708994226848</v>
      </c>
      <c r="AO220" s="576">
        <f t="shared" si="119"/>
        <v>127.03450496730611</v>
      </c>
      <c r="AP220" s="576">
        <f t="shared" si="119"/>
        <v>127.08191999234373</v>
      </c>
      <c r="AQ220" s="576">
        <f t="shared" si="119"/>
        <v>127.12933501738135</v>
      </c>
      <c r="AR220" s="576">
        <f t="shared" si="119"/>
        <v>127.17675004241897</v>
      </c>
      <c r="AS220" s="576">
        <f t="shared" si="119"/>
        <v>127.2241650674566</v>
      </c>
      <c r="AT220" s="576">
        <f t="shared" si="119"/>
        <v>127.27158009249422</v>
      </c>
      <c r="AU220" s="576">
        <f t="shared" si="119"/>
        <v>127.31899511753184</v>
      </c>
      <c r="AV220" s="602"/>
      <c r="AW220" s="602"/>
      <c r="AX220" s="602"/>
      <c r="AY220" s="602"/>
      <c r="AZ220" s="602"/>
      <c r="BA220" s="602"/>
    </row>
    <row r="221" spans="2:53" ht="15">
      <c r="B221" s="1093"/>
      <c r="C221" s="1094" t="s">
        <v>195</v>
      </c>
      <c r="D221" s="1098"/>
      <c r="E221" s="1099" t="s">
        <v>303</v>
      </c>
      <c r="F221" s="1099" t="s">
        <v>194</v>
      </c>
      <c r="G221" s="1095">
        <v>76.5</v>
      </c>
      <c r="H221" s="1095">
        <v>112.4</v>
      </c>
      <c r="I221" s="1095">
        <v>116.3</v>
      </c>
      <c r="J221" s="1095">
        <v>118.6</v>
      </c>
      <c r="K221" s="1095">
        <v>110.1</v>
      </c>
      <c r="L221" s="1095">
        <v>73.5</v>
      </c>
      <c r="M221" s="1095">
        <v>70.599999999999994</v>
      </c>
      <c r="N221" s="1095">
        <v>74.7</v>
      </c>
      <c r="O221" s="1095">
        <v>74.599999999999994</v>
      </c>
      <c r="P221" s="573">
        <v>90.831954056376134</v>
      </c>
      <c r="Q221" s="573">
        <v>92.882946449232307</v>
      </c>
      <c r="R221" s="573">
        <v>94.652851029968062</v>
      </c>
      <c r="S221" s="573">
        <v>96.240512273419142</v>
      </c>
      <c r="T221" s="573">
        <v>97.975130934633071</v>
      </c>
      <c r="U221" s="573">
        <v>99.664397198063696</v>
      </c>
      <c r="V221" s="573">
        <v>101.00459292219497</v>
      </c>
      <c r="W221" s="573">
        <v>103.62805815850095</v>
      </c>
      <c r="X221" s="573">
        <v>105.13755812061025</v>
      </c>
      <c r="Y221" s="573">
        <v>106.53784307329767</v>
      </c>
      <c r="Z221" s="573">
        <v>107.87952370361684</v>
      </c>
      <c r="AA221" s="573">
        <v>109.09287395963966</v>
      </c>
      <c r="AB221" s="573">
        <v>110.64423733842358</v>
      </c>
      <c r="AC221" s="573">
        <v>112.50981563368416</v>
      </c>
      <c r="AD221" s="573">
        <v>114.2925348136497</v>
      </c>
      <c r="AE221" s="573">
        <v>115.95418032810719</v>
      </c>
      <c r="AF221" s="573">
        <v>117.54948162444913</v>
      </c>
      <c r="AG221" s="573">
        <v>119.04168807864487</v>
      </c>
      <c r="AH221" s="573">
        <v>120.48751540964318</v>
      </c>
      <c r="AI221" s="573">
        <v>121.81797012312238</v>
      </c>
      <c r="AJ221" s="573">
        <v>123.0855279022508</v>
      </c>
      <c r="AK221" s="573">
        <v>124.25651386525433</v>
      </c>
      <c r="AL221" s="576">
        <f>($AK$217-$AB$217)/10+AK221</f>
        <v>124.30392889029196</v>
      </c>
      <c r="AM221" s="576">
        <f t="shared" si="119"/>
        <v>124.35134391532958</v>
      </c>
      <c r="AN221" s="576">
        <f t="shared" si="119"/>
        <v>124.3987589403672</v>
      </c>
      <c r="AO221" s="576">
        <f t="shared" si="119"/>
        <v>124.44617396540482</v>
      </c>
      <c r="AP221" s="576">
        <f t="shared" si="119"/>
        <v>124.49358899044245</v>
      </c>
      <c r="AQ221" s="576">
        <f t="shared" si="119"/>
        <v>124.54100401548007</v>
      </c>
      <c r="AR221" s="576">
        <f t="shared" si="119"/>
        <v>124.58841904051769</v>
      </c>
      <c r="AS221" s="576">
        <f t="shared" si="119"/>
        <v>124.63583406555531</v>
      </c>
      <c r="AT221" s="576">
        <f t="shared" si="119"/>
        <v>124.68324909059294</v>
      </c>
      <c r="AU221" s="576">
        <f t="shared" si="119"/>
        <v>124.73066411563056</v>
      </c>
      <c r="AV221" s="602"/>
      <c r="AW221" s="602"/>
      <c r="AX221" s="602"/>
      <c r="AY221" s="602"/>
      <c r="AZ221" s="602"/>
      <c r="BA221" s="602"/>
    </row>
    <row r="222" spans="2:53" ht="15">
      <c r="B222" s="1093"/>
      <c r="C222" s="1094" t="s">
        <v>196</v>
      </c>
      <c r="D222" s="1098"/>
      <c r="E222" s="1099" t="s">
        <v>303</v>
      </c>
      <c r="F222" s="1099" t="s">
        <v>194</v>
      </c>
      <c r="G222" s="1095">
        <v>110.4</v>
      </c>
      <c r="H222" s="1095">
        <v>120.9</v>
      </c>
      <c r="I222" s="1095">
        <v>127.5</v>
      </c>
      <c r="J222" s="1095">
        <v>123.2</v>
      </c>
      <c r="K222" s="1095">
        <v>113.5</v>
      </c>
      <c r="L222" s="1095">
        <v>77</v>
      </c>
      <c r="M222" s="1095">
        <v>74</v>
      </c>
      <c r="N222" s="1095">
        <v>78.2</v>
      </c>
      <c r="O222" s="1095">
        <v>78</v>
      </c>
      <c r="P222" s="1095">
        <v>76.400000000000006</v>
      </c>
      <c r="Q222" s="1095">
        <v>74.2</v>
      </c>
      <c r="R222" s="1095">
        <v>74.099999999999994</v>
      </c>
      <c r="S222" s="1095">
        <v>74.599999999999994</v>
      </c>
      <c r="T222" s="1095">
        <v>76.3</v>
      </c>
      <c r="U222" s="1095">
        <v>77.900000000000006</v>
      </c>
      <c r="V222" s="1095">
        <v>79.5</v>
      </c>
      <c r="W222" s="1095">
        <v>81</v>
      </c>
      <c r="X222" s="1095">
        <v>82.4</v>
      </c>
      <c r="Y222" s="1095">
        <v>83.7</v>
      </c>
      <c r="Z222" s="1095">
        <v>84.9</v>
      </c>
      <c r="AA222" s="1095">
        <v>86.1</v>
      </c>
      <c r="AB222" s="1095">
        <v>88</v>
      </c>
      <c r="AC222" s="1095">
        <v>89.9</v>
      </c>
      <c r="AD222" s="1095">
        <v>91.6</v>
      </c>
      <c r="AE222" s="1095">
        <v>93.2</v>
      </c>
      <c r="AF222" s="1095">
        <v>94.8</v>
      </c>
      <c r="AG222" s="1095">
        <v>96.2</v>
      </c>
      <c r="AH222" s="1095">
        <v>97.6</v>
      </c>
      <c r="AI222" s="1095">
        <v>98.9</v>
      </c>
      <c r="AJ222" s="1095">
        <v>100.2</v>
      </c>
      <c r="AK222" s="1095">
        <v>101.3</v>
      </c>
      <c r="AL222" s="1095">
        <v>103</v>
      </c>
      <c r="AM222" s="1095">
        <v>104.6</v>
      </c>
      <c r="AN222" s="1095">
        <v>106.1</v>
      </c>
      <c r="AO222" s="1095">
        <v>107.5</v>
      </c>
      <c r="AP222" s="1095">
        <v>108.8</v>
      </c>
      <c r="AQ222" s="1095">
        <v>110.4</v>
      </c>
      <c r="AR222" s="1095">
        <v>111.9</v>
      </c>
      <c r="AS222" s="1095">
        <v>113.3</v>
      </c>
      <c r="AT222" s="1095">
        <v>114.6</v>
      </c>
      <c r="AU222" s="1095">
        <v>115.8</v>
      </c>
      <c r="AV222" s="602"/>
      <c r="AW222" s="602"/>
      <c r="AX222" s="602"/>
      <c r="AY222" s="602"/>
      <c r="AZ222" s="602"/>
      <c r="BA222" s="602"/>
    </row>
    <row r="223" spans="2:53" ht="15">
      <c r="B223" s="1093"/>
      <c r="C223" s="1094" t="s">
        <v>197</v>
      </c>
      <c r="D223" s="1098"/>
      <c r="E223" s="1099" t="s">
        <v>303</v>
      </c>
      <c r="F223" s="1099" t="s">
        <v>194</v>
      </c>
      <c r="G223" s="1095">
        <v>105.4</v>
      </c>
      <c r="H223" s="1095">
        <v>117.4</v>
      </c>
      <c r="I223" s="1095">
        <v>134.19999999999999</v>
      </c>
      <c r="J223" s="1095">
        <v>123.2</v>
      </c>
      <c r="K223" s="1095">
        <v>113.5</v>
      </c>
      <c r="L223" s="1095">
        <v>77</v>
      </c>
      <c r="M223" s="1095">
        <v>74</v>
      </c>
      <c r="N223" s="1095">
        <v>78.2</v>
      </c>
      <c r="O223" s="1095">
        <v>78</v>
      </c>
      <c r="P223" s="1095">
        <v>76.400000000000006</v>
      </c>
      <c r="Q223" s="1095">
        <v>74.2</v>
      </c>
      <c r="R223" s="1095">
        <v>74.099999999999994</v>
      </c>
      <c r="S223" s="1095">
        <v>74.599999999999994</v>
      </c>
      <c r="T223" s="1095">
        <v>76.3</v>
      </c>
      <c r="U223" s="1095">
        <v>77.900000000000006</v>
      </c>
      <c r="V223" s="1095">
        <v>79.5</v>
      </c>
      <c r="W223" s="1095">
        <v>81</v>
      </c>
      <c r="X223" s="1095">
        <v>82.4</v>
      </c>
      <c r="Y223" s="1095">
        <v>83.7</v>
      </c>
      <c r="Z223" s="1095">
        <v>84.9</v>
      </c>
      <c r="AA223" s="1095">
        <v>86.1</v>
      </c>
      <c r="AB223" s="1095">
        <v>88</v>
      </c>
      <c r="AC223" s="1095">
        <v>89.9</v>
      </c>
      <c r="AD223" s="1095">
        <v>91.6</v>
      </c>
      <c r="AE223" s="1095">
        <v>93.2</v>
      </c>
      <c r="AF223" s="1095">
        <v>94.8</v>
      </c>
      <c r="AG223" s="1095">
        <v>96.2</v>
      </c>
      <c r="AH223" s="1095">
        <v>97.6</v>
      </c>
      <c r="AI223" s="1095">
        <v>98.9</v>
      </c>
      <c r="AJ223" s="1095">
        <v>100.2</v>
      </c>
      <c r="AK223" s="1095">
        <v>101.3</v>
      </c>
      <c r="AL223" s="1095">
        <v>103</v>
      </c>
      <c r="AM223" s="1095">
        <v>104.6</v>
      </c>
      <c r="AN223" s="1095">
        <v>106.1</v>
      </c>
      <c r="AO223" s="1095">
        <v>107.5</v>
      </c>
      <c r="AP223" s="1095">
        <v>108.8</v>
      </c>
      <c r="AQ223" s="1095">
        <v>110.4</v>
      </c>
      <c r="AR223" s="1095">
        <v>111.9</v>
      </c>
      <c r="AS223" s="1095">
        <v>113.3</v>
      </c>
      <c r="AT223" s="1095">
        <v>114.6</v>
      </c>
      <c r="AU223" s="1095">
        <v>115.8</v>
      </c>
      <c r="AV223" s="602"/>
      <c r="AW223" s="602"/>
      <c r="AX223" s="602"/>
      <c r="AY223" s="602"/>
      <c r="AZ223" s="602"/>
      <c r="BA223" s="602"/>
    </row>
    <row r="224" spans="2:53" ht="15">
      <c r="B224" s="1093"/>
      <c r="C224" s="207" t="s">
        <v>99</v>
      </c>
      <c r="D224" s="206"/>
      <c r="E224" s="1101" t="s">
        <v>303</v>
      </c>
      <c r="F224" s="1101" t="s">
        <v>194</v>
      </c>
      <c r="G224" s="1102">
        <v>68.2</v>
      </c>
      <c r="H224" s="1102">
        <v>102</v>
      </c>
      <c r="I224" s="1102">
        <v>96.2</v>
      </c>
      <c r="J224" s="1102">
        <v>91.7</v>
      </c>
      <c r="K224" s="1102">
        <v>84</v>
      </c>
      <c r="L224" s="1102">
        <v>47.5</v>
      </c>
      <c r="M224" s="1102">
        <v>44.5</v>
      </c>
      <c r="N224" s="1102">
        <v>48.7</v>
      </c>
      <c r="O224" s="1102">
        <v>48.5</v>
      </c>
      <c r="P224" s="1102">
        <v>46.9</v>
      </c>
      <c r="Q224" s="1102">
        <v>44.7</v>
      </c>
      <c r="R224" s="1102">
        <v>44.6</v>
      </c>
      <c r="S224" s="1102">
        <v>45.1</v>
      </c>
      <c r="T224" s="1102">
        <v>46.8</v>
      </c>
      <c r="U224" s="1102">
        <v>48.4</v>
      </c>
      <c r="V224" s="1102">
        <v>50</v>
      </c>
      <c r="W224" s="1102">
        <v>51.5</v>
      </c>
      <c r="X224" s="1102">
        <v>52.9</v>
      </c>
      <c r="Y224" s="1102">
        <v>54.2</v>
      </c>
      <c r="Z224" s="1102">
        <v>55.4</v>
      </c>
      <c r="AA224" s="1102">
        <v>56.6</v>
      </c>
      <c r="AB224" s="1102">
        <v>58.5</v>
      </c>
      <c r="AC224" s="1102">
        <v>60.4</v>
      </c>
      <c r="AD224" s="1102">
        <v>62.1</v>
      </c>
      <c r="AE224" s="1102">
        <v>63.7</v>
      </c>
      <c r="AF224" s="1102">
        <v>65.3</v>
      </c>
      <c r="AG224" s="1102">
        <v>66.7</v>
      </c>
      <c r="AH224" s="1102">
        <v>68.099999999999994</v>
      </c>
      <c r="AI224" s="1102">
        <v>69.400000000000006</v>
      </c>
      <c r="AJ224" s="1102">
        <v>70.7</v>
      </c>
      <c r="AK224" s="1102">
        <v>71.8</v>
      </c>
      <c r="AL224" s="1102">
        <v>73.5</v>
      </c>
      <c r="AM224" s="1102">
        <v>75.099999999999994</v>
      </c>
      <c r="AN224" s="1102">
        <v>76.599999999999994</v>
      </c>
      <c r="AO224" s="1102">
        <v>78</v>
      </c>
      <c r="AP224" s="1102">
        <v>79.3</v>
      </c>
      <c r="AQ224" s="1102">
        <v>80.900000000000006</v>
      </c>
      <c r="AR224" s="1102">
        <v>82.4</v>
      </c>
      <c r="AS224" s="1102">
        <v>83.8</v>
      </c>
      <c r="AT224" s="1102">
        <v>85.1</v>
      </c>
      <c r="AU224" s="1102">
        <v>86.3</v>
      </c>
      <c r="AV224" s="602"/>
      <c r="AW224" s="602"/>
      <c r="AX224" s="602"/>
      <c r="AY224" s="602"/>
      <c r="AZ224" s="602"/>
      <c r="BA224" s="602"/>
    </row>
    <row r="225" spans="2:53" ht="15">
      <c r="B225" s="1093"/>
      <c r="C225" s="207" t="s">
        <v>305</v>
      </c>
      <c r="D225" s="206"/>
      <c r="E225" s="1101" t="s">
        <v>303</v>
      </c>
      <c r="F225" s="1101" t="s">
        <v>194</v>
      </c>
      <c r="G225" s="1102">
        <v>44.4</v>
      </c>
      <c r="H225" s="1102">
        <v>46.1</v>
      </c>
      <c r="I225" s="1102">
        <v>55.1</v>
      </c>
      <c r="J225" s="1102">
        <v>54.2</v>
      </c>
      <c r="K225" s="1102">
        <v>45.7</v>
      </c>
      <c r="L225" s="1102">
        <v>44</v>
      </c>
      <c r="M225" s="1102">
        <v>36.799999999999997</v>
      </c>
      <c r="N225" s="1102">
        <v>36.9</v>
      </c>
      <c r="O225" s="1102">
        <v>35.1</v>
      </c>
      <c r="P225" s="571">
        <v>53.94529046338949</v>
      </c>
      <c r="Q225" s="571">
        <v>48.049648253621314</v>
      </c>
      <c r="R225" s="571">
        <v>40.610335042675715</v>
      </c>
      <c r="S225" s="571">
        <v>40.251302428954361</v>
      </c>
      <c r="T225" s="571">
        <v>41.309391764519106</v>
      </c>
      <c r="U225" s="571">
        <v>42.384105929912252</v>
      </c>
      <c r="V225" s="571">
        <v>43.418156429745736</v>
      </c>
      <c r="W225" s="571">
        <v>44.641031928073701</v>
      </c>
      <c r="X225" s="571">
        <v>45.825085716990088</v>
      </c>
      <c r="Y225" s="571">
        <v>46.950294651080164</v>
      </c>
      <c r="Z225" s="571">
        <v>48.047984271449039</v>
      </c>
      <c r="AA225" s="571">
        <v>49.074729484141251</v>
      </c>
      <c r="AB225" s="571">
        <v>50.22027708112531</v>
      </c>
      <c r="AC225" s="571">
        <v>51.310437783572709</v>
      </c>
      <c r="AD225" s="571">
        <v>52.371455269436716</v>
      </c>
      <c r="AE225" s="571">
        <v>53.379487378305292</v>
      </c>
      <c r="AF225" s="571">
        <v>54.366646432213557</v>
      </c>
      <c r="AG225" s="571">
        <v>56.021566478043873</v>
      </c>
      <c r="AH225" s="571">
        <v>56.643484305507364</v>
      </c>
      <c r="AI225" s="571">
        <v>57.206292482675018</v>
      </c>
      <c r="AJ225" s="571">
        <v>57.740541471904386</v>
      </c>
      <c r="AK225" s="571">
        <v>58.226230553747364</v>
      </c>
      <c r="AL225" s="577">
        <f>($AK$217-$AB$217)/10+AK225</f>
        <v>58.273645578784986</v>
      </c>
      <c r="AM225" s="577">
        <f t="shared" ref="AM225:AU225" si="120">($AK$217-$AB$217)/10+AL225</f>
        <v>58.321060603822609</v>
      </c>
      <c r="AN225" s="577">
        <f t="shared" si="120"/>
        <v>58.368475628860232</v>
      </c>
      <c r="AO225" s="577">
        <f t="shared" si="120"/>
        <v>58.415890653897854</v>
      </c>
      <c r="AP225" s="577">
        <f t="shared" si="120"/>
        <v>58.463305678935477</v>
      </c>
      <c r="AQ225" s="577">
        <f t="shared" si="120"/>
        <v>58.510720703973099</v>
      </c>
      <c r="AR225" s="577">
        <f t="shared" si="120"/>
        <v>58.558135729010722</v>
      </c>
      <c r="AS225" s="577">
        <f t="shared" si="120"/>
        <v>58.605550754048345</v>
      </c>
      <c r="AT225" s="577">
        <f t="shared" si="120"/>
        <v>58.652965779085967</v>
      </c>
      <c r="AU225" s="577">
        <f t="shared" si="120"/>
        <v>58.70038080412359</v>
      </c>
      <c r="AV225" s="602"/>
      <c r="AW225" s="602"/>
      <c r="AX225" s="602"/>
      <c r="AY225" s="602"/>
      <c r="AZ225" s="602"/>
      <c r="BA225" s="602"/>
    </row>
    <row r="226" spans="2:53">
      <c r="B226" s="1093"/>
      <c r="C226" s="1103" t="s">
        <v>627</v>
      </c>
      <c r="D226" s="1093"/>
      <c r="E226" s="1093"/>
      <c r="F226" s="1093"/>
      <c r="G226" s="1093"/>
      <c r="H226" s="1093"/>
      <c r="I226" s="1093"/>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602"/>
      <c r="AW226" s="602"/>
      <c r="AX226" s="602"/>
      <c r="AY226" s="602"/>
      <c r="AZ226" s="602"/>
      <c r="BA226" s="602"/>
    </row>
    <row r="227" spans="2:53">
      <c r="B227" s="1093"/>
      <c r="C227" s="1103" t="s">
        <v>632</v>
      </c>
      <c r="D227" s="1093"/>
      <c r="E227" s="1093"/>
      <c r="F227" s="1093"/>
      <c r="G227" s="1093"/>
      <c r="H227" s="1093"/>
      <c r="I227" s="1093"/>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602"/>
      <c r="AW227" s="602"/>
      <c r="AX227" s="602"/>
      <c r="AY227" s="602"/>
      <c r="AZ227" s="602"/>
      <c r="BA227" s="602"/>
    </row>
    <row r="228" spans="2:53">
      <c r="B228" s="1093"/>
      <c r="C228" s="1103" t="s">
        <v>631</v>
      </c>
      <c r="D228" s="1093"/>
      <c r="E228" s="1093"/>
      <c r="F228" s="1093"/>
      <c r="G228" s="1093"/>
      <c r="H228" s="1093"/>
      <c r="I228" s="1093"/>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602"/>
      <c r="AW228" s="602"/>
      <c r="AX228" s="602"/>
      <c r="AY228" s="602"/>
      <c r="AZ228" s="602"/>
      <c r="BA228" s="602"/>
    </row>
    <row r="229" spans="2:53">
      <c r="B229" s="602"/>
      <c r="C229" s="602"/>
      <c r="D229" s="602"/>
      <c r="G229" s="602"/>
      <c r="H229" s="602"/>
      <c r="I229" s="602"/>
      <c r="J229" s="602"/>
      <c r="K229" s="602"/>
      <c r="L229" s="602"/>
      <c r="M229" s="602"/>
      <c r="N229" s="602"/>
      <c r="O229" s="602"/>
      <c r="P229" s="602"/>
      <c r="Q229" s="602"/>
      <c r="R229" s="602"/>
      <c r="S229" s="602"/>
      <c r="T229" s="602"/>
      <c r="U229" s="602"/>
      <c r="V229" s="602"/>
      <c r="W229" s="602"/>
      <c r="X229" s="602"/>
      <c r="Y229" s="602"/>
      <c r="Z229" s="602"/>
      <c r="AA229" s="602"/>
      <c r="AB229" s="602"/>
      <c r="AC229" s="602"/>
      <c r="AD229" s="602"/>
      <c r="AE229" s="602"/>
      <c r="AF229" s="602"/>
      <c r="AG229" s="602"/>
      <c r="AH229" s="602"/>
      <c r="AI229" s="602"/>
      <c r="AJ229" s="602"/>
      <c r="AK229" s="602"/>
      <c r="AL229" s="602"/>
      <c r="AM229" s="602"/>
      <c r="AN229" s="602"/>
      <c r="AO229" s="602"/>
      <c r="AP229" s="602"/>
      <c r="AQ229" s="602"/>
      <c r="AR229" s="602"/>
      <c r="AS229" s="602"/>
      <c r="AT229" s="602"/>
      <c r="AU229" s="602"/>
      <c r="AV229" s="602"/>
      <c r="AW229" s="602"/>
      <c r="AX229" s="602"/>
      <c r="AY229" s="602"/>
      <c r="AZ229" s="602"/>
      <c r="BA229" s="602"/>
    </row>
    <row r="230" spans="2:53" ht="21" thickBot="1">
      <c r="B230" s="602"/>
      <c r="C230" s="200" t="s">
        <v>273</v>
      </c>
      <c r="D230" s="200"/>
      <c r="E230" s="200"/>
      <c r="F230" s="200"/>
      <c r="G230" s="200"/>
      <c r="H230" s="200"/>
      <c r="I230" s="200"/>
      <c r="J230" s="200"/>
      <c r="K230" s="200"/>
      <c r="L230" s="200"/>
      <c r="M230" s="200"/>
      <c r="N230" s="200"/>
      <c r="O230" s="200"/>
      <c r="P230" s="200"/>
      <c r="Q230" s="200"/>
      <c r="R230" s="200"/>
      <c r="S230" s="200"/>
      <c r="T230" s="200"/>
      <c r="U230" s="200"/>
      <c r="V230" s="200"/>
      <c r="W230" s="200"/>
      <c r="X230" s="200"/>
      <c r="Y230" s="200"/>
      <c r="Z230" s="200"/>
      <c r="AA230" s="200"/>
      <c r="AB230" s="200"/>
      <c r="AC230" s="200"/>
      <c r="AD230" s="200"/>
      <c r="AE230" s="200"/>
      <c r="AF230" s="200"/>
      <c r="AG230" s="200"/>
      <c r="AH230" s="200"/>
      <c r="AI230" s="200"/>
      <c r="AJ230" s="200"/>
      <c r="AK230" s="200"/>
      <c r="AL230" s="200"/>
      <c r="AM230" s="200"/>
      <c r="AN230" s="200"/>
      <c r="AO230" s="200"/>
      <c r="AP230" s="200"/>
      <c r="AQ230" s="200"/>
      <c r="AR230" s="200"/>
      <c r="AS230" s="200"/>
      <c r="AT230" s="200"/>
      <c r="AU230" s="200"/>
      <c r="AV230" s="602"/>
      <c r="AW230" s="602"/>
      <c r="AX230" s="602"/>
      <c r="AY230" s="602"/>
      <c r="AZ230" s="602"/>
      <c r="BA230" s="602"/>
    </row>
    <row r="231" spans="2:53" ht="19" thickTop="1" thickBot="1">
      <c r="B231" s="602"/>
      <c r="C231" s="197" t="s">
        <v>259</v>
      </c>
      <c r="D231" s="197"/>
      <c r="E231" s="197"/>
      <c r="F231" s="197"/>
      <c r="G231" s="197"/>
      <c r="H231" s="197"/>
      <c r="I231" s="197"/>
      <c r="J231" s="197"/>
      <c r="K231" s="197"/>
      <c r="L231" s="197"/>
      <c r="M231" s="197"/>
      <c r="N231" s="197"/>
      <c r="O231" s="197"/>
      <c r="P231" s="197"/>
      <c r="Q231" s="197"/>
      <c r="R231" s="197"/>
      <c r="S231" s="197"/>
      <c r="T231" s="197"/>
      <c r="U231" s="197"/>
      <c r="V231" s="197"/>
      <c r="W231" s="197"/>
      <c r="X231" s="197"/>
      <c r="Y231" s="197"/>
      <c r="Z231" s="197"/>
      <c r="AA231" s="197"/>
      <c r="AB231" s="197"/>
      <c r="AC231" s="197"/>
      <c r="AD231" s="197"/>
      <c r="AE231" s="197"/>
      <c r="AF231" s="197"/>
      <c r="AG231" s="197"/>
      <c r="AH231" s="197"/>
      <c r="AI231" s="197"/>
      <c r="AJ231" s="197"/>
      <c r="AK231" s="197"/>
      <c r="AL231" s="197"/>
      <c r="AM231" s="197"/>
      <c r="AN231" s="197"/>
      <c r="AO231" s="197"/>
      <c r="AP231" s="197"/>
      <c r="AQ231" s="197"/>
      <c r="AR231" s="197"/>
      <c r="AS231" s="197"/>
      <c r="AT231" s="197"/>
      <c r="AU231" s="197"/>
      <c r="AV231" s="602"/>
      <c r="AW231" s="602"/>
      <c r="AX231" s="602"/>
      <c r="AY231" s="602"/>
      <c r="AZ231" s="602"/>
      <c r="BA231" s="602"/>
    </row>
    <row r="232" spans="2:53" ht="16" thickTop="1">
      <c r="B232" s="602"/>
      <c r="C232" s="198" t="s">
        <v>260</v>
      </c>
      <c r="D232" s="198"/>
      <c r="E232" s="198"/>
      <c r="F232" s="198"/>
      <c r="G232" s="563">
        <v>2010</v>
      </c>
      <c r="H232" s="563">
        <v>2011</v>
      </c>
      <c r="I232" s="199">
        <v>2012</v>
      </c>
      <c r="J232" s="199">
        <v>2013</v>
      </c>
      <c r="K232" s="199">
        <v>2014</v>
      </c>
      <c r="L232" s="199">
        <v>2015</v>
      </c>
      <c r="M232" s="199">
        <v>2016</v>
      </c>
      <c r="N232" s="199">
        <v>2017</v>
      </c>
      <c r="O232" s="199">
        <v>2018</v>
      </c>
      <c r="P232" s="199">
        <v>2019</v>
      </c>
      <c r="Q232" s="199">
        <v>2020</v>
      </c>
      <c r="R232" s="199">
        <v>2021</v>
      </c>
      <c r="S232" s="199">
        <v>2022</v>
      </c>
      <c r="T232" s="199">
        <v>2023</v>
      </c>
      <c r="U232" s="199">
        <v>2024</v>
      </c>
      <c r="V232" s="199">
        <v>2025</v>
      </c>
      <c r="W232" s="199">
        <v>2026</v>
      </c>
      <c r="X232" s="199">
        <v>2027</v>
      </c>
      <c r="Y232" s="199">
        <v>2028</v>
      </c>
      <c r="Z232" s="199">
        <v>2029</v>
      </c>
      <c r="AA232" s="199">
        <v>2030</v>
      </c>
      <c r="AB232" s="199">
        <v>2031</v>
      </c>
      <c r="AC232" s="199">
        <v>2032</v>
      </c>
      <c r="AD232" s="199">
        <v>2033</v>
      </c>
      <c r="AE232" s="199">
        <v>2034</v>
      </c>
      <c r="AF232" s="199">
        <v>2035</v>
      </c>
      <c r="AG232" s="199">
        <v>2036</v>
      </c>
      <c r="AH232" s="199">
        <v>2037</v>
      </c>
      <c r="AI232" s="199">
        <v>2038</v>
      </c>
      <c r="AJ232" s="199">
        <v>2039</v>
      </c>
      <c r="AK232" s="199">
        <v>2040</v>
      </c>
      <c r="AL232" s="199">
        <v>2041</v>
      </c>
      <c r="AM232" s="199">
        <v>2042</v>
      </c>
      <c r="AN232" s="199">
        <v>2043</v>
      </c>
      <c r="AO232" s="199">
        <v>2044</v>
      </c>
      <c r="AP232" s="199">
        <v>2045</v>
      </c>
      <c r="AQ232" s="199">
        <v>2046</v>
      </c>
      <c r="AR232" s="199">
        <v>2047</v>
      </c>
      <c r="AS232" s="199">
        <v>2048</v>
      </c>
      <c r="AT232" s="199">
        <v>2049</v>
      </c>
      <c r="AU232" s="199">
        <v>2050</v>
      </c>
      <c r="AV232" s="602"/>
      <c r="AW232" s="602"/>
      <c r="AX232" s="602"/>
      <c r="AY232" s="602"/>
      <c r="AZ232" s="602"/>
      <c r="BA232" s="602"/>
    </row>
    <row r="233" spans="2:53" ht="15">
      <c r="B233" s="588"/>
      <c r="C233" s="602"/>
      <c r="D233" s="602" t="s">
        <v>261</v>
      </c>
      <c r="E233" s="201">
        <v>2014</v>
      </c>
      <c r="F233" s="485" t="s">
        <v>379</v>
      </c>
      <c r="G233" s="564">
        <f>I233</f>
        <v>46</v>
      </c>
      <c r="H233" s="564">
        <f>I233</f>
        <v>46</v>
      </c>
      <c r="I233" s="202">
        <v>46</v>
      </c>
      <c r="J233" s="202">
        <v>45.7</v>
      </c>
      <c r="K233" s="202">
        <v>45.3</v>
      </c>
      <c r="L233" s="202">
        <v>44.9</v>
      </c>
      <c r="M233" s="202">
        <v>45.4</v>
      </c>
      <c r="N233" s="202">
        <v>45.9</v>
      </c>
      <c r="O233" s="202">
        <v>46.5</v>
      </c>
      <c r="P233" s="574">
        <v>43.426265623811808</v>
      </c>
      <c r="Q233" s="574">
        <v>43.65253654619243</v>
      </c>
      <c r="R233" s="574">
        <v>43.928999158791825</v>
      </c>
      <c r="S233" s="574">
        <v>44.205082849585672</v>
      </c>
      <c r="T233" s="574">
        <v>44.480789827031863</v>
      </c>
      <c r="U233" s="574">
        <v>44.75612229958827</v>
      </c>
      <c r="V233" s="574">
        <v>45.031082475712807</v>
      </c>
      <c r="W233" s="574">
        <v>45.279976467601358</v>
      </c>
      <c r="X233" s="574">
        <v>45.528796659727412</v>
      </c>
      <c r="Y233" s="574">
        <v>45.777543052090969</v>
      </c>
      <c r="Z233" s="574">
        <v>46.02621564469203</v>
      </c>
      <c r="AA233" s="574">
        <v>46.274814437530587</v>
      </c>
      <c r="AB233" s="574">
        <v>46.428246784204831</v>
      </c>
      <c r="AC233" s="574">
        <v>46.581596106146264</v>
      </c>
      <c r="AD233" s="574">
        <v>46.73486240335491</v>
      </c>
      <c r="AE233" s="574">
        <v>46.888045675830739</v>
      </c>
      <c r="AF233" s="574">
        <v>47.041145923573744</v>
      </c>
      <c r="AG233" s="574">
        <v>47.184184641373889</v>
      </c>
      <c r="AH233" s="574">
        <v>47.327158784381858</v>
      </c>
      <c r="AI233" s="574">
        <v>47.470068352597629</v>
      </c>
      <c r="AJ233" s="574">
        <v>47.612913346021223</v>
      </c>
      <c r="AK233" s="574">
        <v>47.755693764652648</v>
      </c>
      <c r="AL233" s="576">
        <f>($AK$217-$AB$217)/10+AK233</f>
        <v>47.80310878969027</v>
      </c>
      <c r="AM233" s="576">
        <f t="shared" ref="AM233:AU233" si="121">($AK$217-$AB$217)/10+AL233</f>
        <v>47.850523814727893</v>
      </c>
      <c r="AN233" s="576">
        <f t="shared" si="121"/>
        <v>47.897938839765516</v>
      </c>
      <c r="AO233" s="576">
        <f t="shared" si="121"/>
        <v>47.945353864803138</v>
      </c>
      <c r="AP233" s="576">
        <f t="shared" si="121"/>
        <v>47.992768889840761</v>
      </c>
      <c r="AQ233" s="576">
        <f t="shared" si="121"/>
        <v>48.040183914878384</v>
      </c>
      <c r="AR233" s="576">
        <f t="shared" si="121"/>
        <v>48.087598939916006</v>
      </c>
      <c r="AS233" s="576">
        <f t="shared" si="121"/>
        <v>48.135013964953629</v>
      </c>
      <c r="AT233" s="576">
        <f t="shared" si="121"/>
        <v>48.182428989991251</v>
      </c>
      <c r="AU233" s="576">
        <f t="shared" si="121"/>
        <v>48.229844015028874</v>
      </c>
      <c r="AV233" s="602"/>
      <c r="AW233" s="602"/>
      <c r="AX233" s="602"/>
      <c r="AY233" s="602"/>
      <c r="AZ233" s="602"/>
      <c r="BA233" s="602"/>
    </row>
    <row r="234" spans="2:53" ht="15">
      <c r="B234" s="602"/>
      <c r="C234" s="602"/>
      <c r="D234" s="602" t="s">
        <v>308</v>
      </c>
      <c r="E234" s="201">
        <v>2014</v>
      </c>
      <c r="F234" s="485" t="s">
        <v>379</v>
      </c>
      <c r="G234" s="564">
        <f t="shared" ref="G234:G246" si="122">I234</f>
        <v>41</v>
      </c>
      <c r="H234" s="564">
        <f t="shared" ref="H234:H246" si="123">I234</f>
        <v>41</v>
      </c>
      <c r="I234" s="202">
        <v>41</v>
      </c>
      <c r="J234" s="202">
        <v>41.1</v>
      </c>
      <c r="K234" s="202">
        <v>41.2</v>
      </c>
      <c r="L234" s="202">
        <v>41.4</v>
      </c>
      <c r="M234" s="202">
        <v>41.6</v>
      </c>
      <c r="N234" s="202">
        <v>41.8</v>
      </c>
      <c r="O234" s="202">
        <v>42</v>
      </c>
      <c r="P234" s="202">
        <v>42.2</v>
      </c>
      <c r="Q234" s="202">
        <v>42.4</v>
      </c>
      <c r="R234" s="202">
        <v>42.7</v>
      </c>
      <c r="S234" s="202">
        <v>42.9</v>
      </c>
      <c r="T234" s="202">
        <v>43.2</v>
      </c>
      <c r="U234" s="202">
        <v>43.4</v>
      </c>
      <c r="V234" s="202">
        <v>43.7</v>
      </c>
      <c r="W234" s="202">
        <v>43.9</v>
      </c>
      <c r="X234" s="202">
        <v>44.1</v>
      </c>
      <c r="Y234" s="202">
        <v>44.4</v>
      </c>
      <c r="Z234" s="202">
        <v>44.6</v>
      </c>
      <c r="AA234" s="202">
        <v>44.8</v>
      </c>
      <c r="AB234" s="202">
        <v>45</v>
      </c>
      <c r="AC234" s="202">
        <v>45.1</v>
      </c>
      <c r="AD234" s="202">
        <v>45.2</v>
      </c>
      <c r="AE234" s="202">
        <v>45.4</v>
      </c>
      <c r="AF234" s="202">
        <v>45.5</v>
      </c>
      <c r="AG234" s="202">
        <v>45.6</v>
      </c>
      <c r="AH234" s="202">
        <v>45.8</v>
      </c>
      <c r="AI234" s="202">
        <v>45.9</v>
      </c>
      <c r="AJ234" s="202">
        <v>46</v>
      </c>
      <c r="AK234" s="202">
        <v>46.1</v>
      </c>
      <c r="AL234" s="202">
        <v>46.3</v>
      </c>
      <c r="AM234" s="202">
        <v>46.4</v>
      </c>
      <c r="AN234" s="202">
        <v>46.6</v>
      </c>
      <c r="AO234" s="202">
        <v>46.8</v>
      </c>
      <c r="AP234" s="202">
        <v>46.9</v>
      </c>
      <c r="AQ234" s="202">
        <v>47.1</v>
      </c>
      <c r="AR234" s="202">
        <v>47.4</v>
      </c>
      <c r="AS234" s="202">
        <v>47.6</v>
      </c>
      <c r="AT234" s="202">
        <v>47.8</v>
      </c>
      <c r="AU234" s="202">
        <v>48</v>
      </c>
      <c r="AV234" s="602"/>
      <c r="AW234" s="602"/>
      <c r="AX234" s="602"/>
      <c r="AY234" s="602"/>
      <c r="AZ234" s="602"/>
      <c r="BA234" s="602"/>
    </row>
    <row r="235" spans="2:53" ht="15">
      <c r="B235" s="602"/>
      <c r="C235" s="602"/>
      <c r="D235" s="602" t="s">
        <v>262</v>
      </c>
      <c r="E235" s="201">
        <v>2014</v>
      </c>
      <c r="F235" s="485" t="s">
        <v>379</v>
      </c>
      <c r="G235" s="564">
        <f t="shared" si="122"/>
        <v>48.5</v>
      </c>
      <c r="H235" s="564">
        <f t="shared" si="123"/>
        <v>48.5</v>
      </c>
      <c r="I235" s="202">
        <v>48.5</v>
      </c>
      <c r="J235" s="202">
        <v>48.1</v>
      </c>
      <c r="K235" s="202">
        <v>47.7</v>
      </c>
      <c r="L235" s="202">
        <v>47.3</v>
      </c>
      <c r="M235" s="202">
        <v>47.8</v>
      </c>
      <c r="N235" s="202">
        <v>48.3</v>
      </c>
      <c r="O235" s="202">
        <v>48.8</v>
      </c>
      <c r="P235" s="202">
        <v>49.4</v>
      </c>
      <c r="Q235" s="202">
        <v>49.9</v>
      </c>
      <c r="R235" s="202">
        <v>50.6</v>
      </c>
      <c r="S235" s="202">
        <v>51.3</v>
      </c>
      <c r="T235" s="202">
        <v>51.9</v>
      </c>
      <c r="U235" s="202">
        <v>52.6</v>
      </c>
      <c r="V235" s="202">
        <v>53.3</v>
      </c>
      <c r="W235" s="202">
        <v>53.9</v>
      </c>
      <c r="X235" s="202">
        <v>54.4</v>
      </c>
      <c r="Y235" s="202">
        <v>55</v>
      </c>
      <c r="Z235" s="202">
        <v>55.6</v>
      </c>
      <c r="AA235" s="202">
        <v>56.1</v>
      </c>
      <c r="AB235" s="202">
        <v>56.6</v>
      </c>
      <c r="AC235" s="202">
        <v>57.1</v>
      </c>
      <c r="AD235" s="202">
        <v>57.5</v>
      </c>
      <c r="AE235" s="202">
        <v>58</v>
      </c>
      <c r="AF235" s="202">
        <v>58.4</v>
      </c>
      <c r="AG235" s="202">
        <v>58.9</v>
      </c>
      <c r="AH235" s="202">
        <v>59.3</v>
      </c>
      <c r="AI235" s="202">
        <v>59.7</v>
      </c>
      <c r="AJ235" s="202">
        <v>60.1</v>
      </c>
      <c r="AK235" s="202">
        <v>60.6</v>
      </c>
      <c r="AL235" s="202">
        <v>61</v>
      </c>
      <c r="AM235" s="202">
        <v>61.4</v>
      </c>
      <c r="AN235" s="202">
        <v>61.8</v>
      </c>
      <c r="AO235" s="202">
        <v>62.3</v>
      </c>
      <c r="AP235" s="202">
        <v>62.7</v>
      </c>
      <c r="AQ235" s="202">
        <v>63.2</v>
      </c>
      <c r="AR235" s="202">
        <v>63.6</v>
      </c>
      <c r="AS235" s="202">
        <v>64.099999999999994</v>
      </c>
      <c r="AT235" s="202">
        <v>64.599999999999994</v>
      </c>
      <c r="AU235" s="202">
        <v>65</v>
      </c>
      <c r="AV235" s="602"/>
      <c r="AW235" s="602"/>
      <c r="AX235" s="602"/>
      <c r="AY235" s="602"/>
      <c r="AZ235" s="602"/>
      <c r="BA235" s="602"/>
    </row>
    <row r="236" spans="2:53" ht="15">
      <c r="B236" s="602"/>
      <c r="C236" s="602"/>
      <c r="D236" s="602" t="s">
        <v>263</v>
      </c>
      <c r="E236" s="201">
        <v>2014</v>
      </c>
      <c r="F236" s="485" t="s">
        <v>379</v>
      </c>
      <c r="G236" s="564">
        <f t="shared" si="122"/>
        <v>47.6</v>
      </c>
      <c r="H236" s="564">
        <f t="shared" si="123"/>
        <v>47.6</v>
      </c>
      <c r="I236" s="202">
        <v>47.6</v>
      </c>
      <c r="J236" s="202">
        <v>47.5</v>
      </c>
      <c r="K236" s="202">
        <v>47.5</v>
      </c>
      <c r="L236" s="202">
        <v>47.4</v>
      </c>
      <c r="M236" s="202">
        <v>47.7</v>
      </c>
      <c r="N236" s="202">
        <v>47.9</v>
      </c>
      <c r="O236" s="202">
        <v>48.2</v>
      </c>
      <c r="P236" s="202">
        <v>48.5</v>
      </c>
      <c r="Q236" s="202">
        <v>48.7</v>
      </c>
      <c r="R236" s="202">
        <v>49.1</v>
      </c>
      <c r="S236" s="202">
        <v>49.4</v>
      </c>
      <c r="T236" s="202">
        <v>49.7</v>
      </c>
      <c r="U236" s="202">
        <v>50.1</v>
      </c>
      <c r="V236" s="202">
        <v>50.4</v>
      </c>
      <c r="W236" s="202">
        <v>50.7</v>
      </c>
      <c r="X236" s="202">
        <v>51</v>
      </c>
      <c r="Y236" s="202">
        <v>51.3</v>
      </c>
      <c r="Z236" s="202">
        <v>51.7</v>
      </c>
      <c r="AA236" s="202">
        <v>52.2</v>
      </c>
      <c r="AB236" s="202">
        <v>52.6</v>
      </c>
      <c r="AC236" s="202">
        <v>53.1</v>
      </c>
      <c r="AD236" s="202">
        <v>53.5</v>
      </c>
      <c r="AE236" s="202">
        <v>53.9</v>
      </c>
      <c r="AF236" s="202">
        <v>54.4</v>
      </c>
      <c r="AG236" s="202">
        <v>54.8</v>
      </c>
      <c r="AH236" s="202">
        <v>55.1</v>
      </c>
      <c r="AI236" s="202">
        <v>55.5</v>
      </c>
      <c r="AJ236" s="202">
        <v>55.9</v>
      </c>
      <c r="AK236" s="202">
        <v>56.3</v>
      </c>
      <c r="AL236" s="202">
        <v>56.7</v>
      </c>
      <c r="AM236" s="202">
        <v>57.1</v>
      </c>
      <c r="AN236" s="202">
        <v>57.5</v>
      </c>
      <c r="AO236" s="202">
        <v>57.9</v>
      </c>
      <c r="AP236" s="202">
        <v>58.3</v>
      </c>
      <c r="AQ236" s="202">
        <v>58.8</v>
      </c>
      <c r="AR236" s="202">
        <v>59.2</v>
      </c>
      <c r="AS236" s="202">
        <v>59.6</v>
      </c>
      <c r="AT236" s="202">
        <v>60.1</v>
      </c>
      <c r="AU236" s="202">
        <v>60.5</v>
      </c>
      <c r="AV236" s="602"/>
      <c r="AW236" s="602"/>
      <c r="AX236" s="602"/>
      <c r="AY236" s="602"/>
      <c r="AZ236" s="602"/>
      <c r="BA236" s="602"/>
    </row>
    <row r="237" spans="2:53" ht="15">
      <c r="B237" s="602"/>
      <c r="C237" s="198" t="s">
        <v>264</v>
      </c>
      <c r="D237" s="602"/>
      <c r="E237" s="602"/>
      <c r="G237" s="564">
        <f t="shared" si="122"/>
        <v>0</v>
      </c>
      <c r="H237" s="564">
        <f t="shared" si="123"/>
        <v>0</v>
      </c>
      <c r="I237" s="485"/>
      <c r="J237" s="485"/>
      <c r="K237" s="485"/>
      <c r="L237" s="485"/>
      <c r="M237" s="485"/>
      <c r="N237" s="485"/>
      <c r="O237" s="485"/>
      <c r="P237" s="485"/>
      <c r="Q237" s="485"/>
      <c r="R237" s="485"/>
      <c r="S237" s="485"/>
      <c r="T237" s="485"/>
      <c r="U237" s="485"/>
      <c r="V237" s="485"/>
      <c r="W237" s="485"/>
      <c r="X237" s="485"/>
      <c r="Y237" s="485"/>
      <c r="Z237" s="485"/>
      <c r="AA237" s="485"/>
      <c r="AB237" s="485"/>
      <c r="AC237" s="485"/>
      <c r="AD237" s="485"/>
      <c r="AE237" s="485"/>
      <c r="AF237" s="485"/>
      <c r="AG237" s="485"/>
      <c r="AH237" s="485"/>
      <c r="AI237" s="485"/>
      <c r="AJ237" s="485"/>
      <c r="AK237" s="485"/>
      <c r="AL237" s="485"/>
      <c r="AM237" s="485"/>
      <c r="AN237" s="485"/>
      <c r="AO237" s="485"/>
      <c r="AP237" s="485"/>
      <c r="AQ237" s="485"/>
      <c r="AR237" s="485"/>
      <c r="AS237" s="485"/>
      <c r="AT237" s="485"/>
      <c r="AU237" s="485"/>
      <c r="AV237" s="602"/>
      <c r="AW237" s="602"/>
      <c r="AX237" s="602"/>
      <c r="AY237" s="602"/>
      <c r="AZ237" s="602"/>
      <c r="BA237" s="602"/>
    </row>
    <row r="238" spans="2:53" ht="15">
      <c r="B238" s="588"/>
      <c r="C238" s="602"/>
      <c r="D238" s="602" t="s">
        <v>265</v>
      </c>
      <c r="E238" s="201">
        <v>2014</v>
      </c>
      <c r="F238" s="485" t="s">
        <v>379</v>
      </c>
      <c r="G238" s="564">
        <f t="shared" si="122"/>
        <v>64.099999999999994</v>
      </c>
      <c r="H238" s="564">
        <f t="shared" si="123"/>
        <v>64.099999999999994</v>
      </c>
      <c r="I238" s="202">
        <v>64.099999999999994</v>
      </c>
      <c r="J238" s="202">
        <v>63.2</v>
      </c>
      <c r="K238" s="202">
        <v>62.4</v>
      </c>
      <c r="L238" s="202">
        <v>61.5</v>
      </c>
      <c r="M238" s="202">
        <v>61.9</v>
      </c>
      <c r="N238" s="202">
        <v>62.3</v>
      </c>
      <c r="O238" s="202">
        <v>62.7</v>
      </c>
      <c r="P238" s="573">
        <v>65.821840433738927</v>
      </c>
      <c r="Q238" s="573">
        <v>65.047767429918196</v>
      </c>
      <c r="R238" s="573">
        <v>64.835608715110197</v>
      </c>
      <c r="S238" s="573">
        <v>64.697208823830636</v>
      </c>
      <c r="T238" s="573">
        <v>64.59290976534399</v>
      </c>
      <c r="U238" s="573">
        <v>64.531892471531364</v>
      </c>
      <c r="V238" s="573">
        <v>64.464339558720255</v>
      </c>
      <c r="W238" s="573">
        <v>64.710015549840818</v>
      </c>
      <c r="X238" s="573">
        <v>64.955304437852263</v>
      </c>
      <c r="Y238" s="573">
        <v>65.200194985641772</v>
      </c>
      <c r="Z238" s="573">
        <v>65.444676055494327</v>
      </c>
      <c r="AA238" s="573">
        <v>65.688736608355271</v>
      </c>
      <c r="AB238" s="573">
        <v>65.884596633860156</v>
      </c>
      <c r="AC238" s="573">
        <v>66.08036338926722</v>
      </c>
      <c r="AD238" s="573">
        <v>66.276021603357506</v>
      </c>
      <c r="AE238" s="573">
        <v>66.471556138902102</v>
      </c>
      <c r="AF238" s="573">
        <v>66.66695199165018</v>
      </c>
      <c r="AG238" s="573">
        <v>66.829694828730965</v>
      </c>
      <c r="AH238" s="573">
        <v>66.992074665035901</v>
      </c>
      <c r="AI238" s="573">
        <v>67.154082323490499</v>
      </c>
      <c r="AJ238" s="573">
        <v>67.315708706874133</v>
      </c>
      <c r="AK238" s="573">
        <v>67.476944797280851</v>
      </c>
      <c r="AL238" s="576">
        <f>($AK$217-$AB$217)/10+AK238</f>
        <v>67.524359822318473</v>
      </c>
      <c r="AM238" s="576">
        <f t="shared" ref="AM238:AU238" si="124">($AK$217-$AB$217)/10+AL238</f>
        <v>67.571774847356096</v>
      </c>
      <c r="AN238" s="576">
        <f t="shared" si="124"/>
        <v>67.619189872393719</v>
      </c>
      <c r="AO238" s="576">
        <f t="shared" si="124"/>
        <v>67.666604897431341</v>
      </c>
      <c r="AP238" s="576">
        <f t="shared" si="124"/>
        <v>67.714019922468964</v>
      </c>
      <c r="AQ238" s="576">
        <f t="shared" si="124"/>
        <v>67.761434947506586</v>
      </c>
      <c r="AR238" s="576">
        <f t="shared" si="124"/>
        <v>67.808849972544209</v>
      </c>
      <c r="AS238" s="576">
        <f t="shared" si="124"/>
        <v>67.856264997581832</v>
      </c>
      <c r="AT238" s="576">
        <f t="shared" si="124"/>
        <v>67.903680022619454</v>
      </c>
      <c r="AU238" s="576">
        <f t="shared" si="124"/>
        <v>67.951095047657077</v>
      </c>
      <c r="AV238" s="602"/>
      <c r="AW238" s="602"/>
      <c r="AX238" s="602"/>
      <c r="AY238" s="602"/>
      <c r="AZ238" s="602"/>
      <c r="BA238" s="602"/>
    </row>
    <row r="239" spans="2:53" ht="15">
      <c r="B239" s="602"/>
      <c r="C239" s="602"/>
      <c r="D239" s="602" t="s">
        <v>266</v>
      </c>
      <c r="E239" s="201">
        <v>2014</v>
      </c>
      <c r="F239" s="485" t="s">
        <v>379</v>
      </c>
      <c r="G239" s="564">
        <f t="shared" si="122"/>
        <v>66.3</v>
      </c>
      <c r="H239" s="564">
        <f t="shared" si="123"/>
        <v>66.3</v>
      </c>
      <c r="I239" s="202">
        <v>66.3</v>
      </c>
      <c r="J239" s="202">
        <v>65.400000000000006</v>
      </c>
      <c r="K239" s="202">
        <v>64.5</v>
      </c>
      <c r="L239" s="202">
        <v>63.6</v>
      </c>
      <c r="M239" s="202">
        <v>64</v>
      </c>
      <c r="N239" s="202">
        <v>64.400000000000006</v>
      </c>
      <c r="O239" s="202">
        <v>64.8</v>
      </c>
      <c r="P239" s="202">
        <v>65.099999999999994</v>
      </c>
      <c r="Q239" s="202">
        <v>65.5</v>
      </c>
      <c r="R239" s="202">
        <v>66</v>
      </c>
      <c r="S239" s="202">
        <v>66.599999999999994</v>
      </c>
      <c r="T239" s="202">
        <v>67.099999999999994</v>
      </c>
      <c r="U239" s="202">
        <v>67.7</v>
      </c>
      <c r="V239" s="202">
        <v>68.2</v>
      </c>
      <c r="W239" s="202">
        <v>68.599999999999994</v>
      </c>
      <c r="X239" s="202">
        <v>69</v>
      </c>
      <c r="Y239" s="202">
        <v>69.5</v>
      </c>
      <c r="Z239" s="202">
        <v>69.900000000000006</v>
      </c>
      <c r="AA239" s="202">
        <v>70.3</v>
      </c>
      <c r="AB239" s="202">
        <v>70.599999999999994</v>
      </c>
      <c r="AC239" s="202">
        <v>70.900000000000006</v>
      </c>
      <c r="AD239" s="202">
        <v>71.3</v>
      </c>
      <c r="AE239" s="202">
        <v>71.599999999999994</v>
      </c>
      <c r="AF239" s="202">
        <v>71.900000000000006</v>
      </c>
      <c r="AG239" s="202">
        <v>72.2</v>
      </c>
      <c r="AH239" s="202">
        <v>72.5</v>
      </c>
      <c r="AI239" s="202">
        <v>72.8</v>
      </c>
      <c r="AJ239" s="202">
        <v>73.099999999999994</v>
      </c>
      <c r="AK239" s="202">
        <v>73.3</v>
      </c>
      <c r="AL239" s="202">
        <v>73.599999999999994</v>
      </c>
      <c r="AM239" s="202">
        <v>73.900000000000006</v>
      </c>
      <c r="AN239" s="202">
        <v>74.2</v>
      </c>
      <c r="AO239" s="202">
        <v>74.400000000000006</v>
      </c>
      <c r="AP239" s="202">
        <v>74.7</v>
      </c>
      <c r="AQ239" s="202">
        <v>75.099999999999994</v>
      </c>
      <c r="AR239" s="202">
        <v>75.5</v>
      </c>
      <c r="AS239" s="202">
        <v>75.8</v>
      </c>
      <c r="AT239" s="202">
        <v>76.2</v>
      </c>
      <c r="AU239" s="202">
        <v>76.5</v>
      </c>
      <c r="AV239" s="602"/>
      <c r="AW239" s="602"/>
      <c r="AX239" s="602"/>
      <c r="AY239" s="602"/>
      <c r="AZ239" s="602"/>
      <c r="BA239" s="602"/>
    </row>
    <row r="240" spans="2:53" ht="15">
      <c r="B240" s="602"/>
      <c r="C240" s="602"/>
      <c r="D240" s="602" t="s">
        <v>267</v>
      </c>
      <c r="E240" s="201">
        <v>2014</v>
      </c>
      <c r="F240" s="485" t="s">
        <v>379</v>
      </c>
      <c r="G240" s="564">
        <f t="shared" si="122"/>
        <v>70.900000000000006</v>
      </c>
      <c r="H240" s="564">
        <f t="shared" si="123"/>
        <v>70.900000000000006</v>
      </c>
      <c r="I240" s="202">
        <v>70.900000000000006</v>
      </c>
      <c r="J240" s="202">
        <v>69.900000000000006</v>
      </c>
      <c r="K240" s="202">
        <v>68.900000000000006</v>
      </c>
      <c r="L240" s="202">
        <v>67.900000000000006</v>
      </c>
      <c r="M240" s="202">
        <v>68.3</v>
      </c>
      <c r="N240" s="202">
        <v>68.7</v>
      </c>
      <c r="O240" s="202">
        <v>69.099999999999994</v>
      </c>
      <c r="P240" s="202">
        <v>69.5</v>
      </c>
      <c r="Q240" s="202">
        <v>69.900000000000006</v>
      </c>
      <c r="R240" s="202">
        <v>70.400000000000006</v>
      </c>
      <c r="S240" s="202">
        <v>71</v>
      </c>
      <c r="T240" s="202">
        <v>71.599999999999994</v>
      </c>
      <c r="U240" s="202">
        <v>72.2</v>
      </c>
      <c r="V240" s="202">
        <v>72.8</v>
      </c>
      <c r="W240" s="202">
        <v>73.2</v>
      </c>
      <c r="X240" s="202">
        <v>73.599999999999994</v>
      </c>
      <c r="Y240" s="202">
        <v>74</v>
      </c>
      <c r="Z240" s="202">
        <v>74.5</v>
      </c>
      <c r="AA240" s="202">
        <v>74.900000000000006</v>
      </c>
      <c r="AB240" s="202">
        <v>75.2</v>
      </c>
      <c r="AC240" s="202">
        <v>75.599999999999994</v>
      </c>
      <c r="AD240" s="202">
        <v>75.900000000000006</v>
      </c>
      <c r="AE240" s="202">
        <v>76.3</v>
      </c>
      <c r="AF240" s="202">
        <v>76.599999999999994</v>
      </c>
      <c r="AG240" s="202">
        <v>76.900000000000006</v>
      </c>
      <c r="AH240" s="202">
        <v>77.2</v>
      </c>
      <c r="AI240" s="202">
        <v>77.5</v>
      </c>
      <c r="AJ240" s="202">
        <v>77.8</v>
      </c>
      <c r="AK240" s="202">
        <v>78.099999999999994</v>
      </c>
      <c r="AL240" s="202">
        <v>78.3</v>
      </c>
      <c r="AM240" s="202">
        <v>78.599999999999994</v>
      </c>
      <c r="AN240" s="202">
        <v>78.900000000000006</v>
      </c>
      <c r="AO240" s="202">
        <v>79.2</v>
      </c>
      <c r="AP240" s="202">
        <v>79.5</v>
      </c>
      <c r="AQ240" s="202">
        <v>79.8</v>
      </c>
      <c r="AR240" s="202">
        <v>80.2</v>
      </c>
      <c r="AS240" s="202">
        <v>80.599999999999994</v>
      </c>
      <c r="AT240" s="202">
        <v>80.900000000000006</v>
      </c>
      <c r="AU240" s="202">
        <v>81.3</v>
      </c>
      <c r="AV240" s="602"/>
      <c r="AW240" s="602"/>
      <c r="AX240" s="602"/>
      <c r="AY240" s="602"/>
      <c r="AZ240" s="602"/>
      <c r="BA240" s="602"/>
    </row>
    <row r="241" spans="2:53" ht="15">
      <c r="B241" s="602"/>
      <c r="C241" s="198" t="s">
        <v>268</v>
      </c>
      <c r="D241" s="602"/>
      <c r="E241" s="602"/>
      <c r="G241" s="564">
        <f t="shared" si="122"/>
        <v>0</v>
      </c>
      <c r="H241" s="564">
        <f t="shared" si="123"/>
        <v>0</v>
      </c>
      <c r="I241" s="602"/>
      <c r="J241" s="602"/>
      <c r="K241" s="602"/>
      <c r="L241" s="602"/>
      <c r="M241" s="602"/>
      <c r="N241" s="602"/>
      <c r="O241" s="602"/>
      <c r="P241" s="602"/>
      <c r="Q241" s="602"/>
      <c r="R241" s="602"/>
      <c r="S241" s="602"/>
      <c r="T241" s="602"/>
      <c r="U241" s="602"/>
      <c r="V241" s="602"/>
      <c r="W241" s="602"/>
      <c r="X241" s="602"/>
      <c r="Y241" s="602"/>
      <c r="Z241" s="602"/>
      <c r="AA241" s="602"/>
      <c r="AB241" s="602"/>
      <c r="AC241" s="602"/>
      <c r="AD241" s="602"/>
      <c r="AE241" s="602"/>
      <c r="AF241" s="602"/>
      <c r="AG241" s="602"/>
      <c r="AH241" s="602"/>
      <c r="AI241" s="602"/>
      <c r="AJ241" s="602"/>
      <c r="AK241" s="602"/>
      <c r="AL241" s="602"/>
      <c r="AM241" s="602"/>
      <c r="AN241" s="602"/>
      <c r="AO241" s="602"/>
      <c r="AP241" s="602"/>
      <c r="AQ241" s="602"/>
      <c r="AR241" s="602"/>
      <c r="AS241" s="602"/>
      <c r="AT241" s="602"/>
      <c r="AU241" s="602"/>
      <c r="AV241" s="602"/>
      <c r="AW241" s="602"/>
      <c r="AX241" s="602"/>
      <c r="AY241" s="602"/>
      <c r="AZ241" s="602"/>
      <c r="BA241" s="602"/>
    </row>
    <row r="242" spans="2:53" ht="15">
      <c r="B242" s="602"/>
      <c r="C242" s="198"/>
      <c r="D242" s="602" t="s">
        <v>309</v>
      </c>
      <c r="E242" s="201">
        <v>2014</v>
      </c>
      <c r="F242" s="485" t="s">
        <v>379</v>
      </c>
      <c r="G242" s="564">
        <f t="shared" si="122"/>
        <v>73.7</v>
      </c>
      <c r="H242" s="564">
        <f t="shared" si="123"/>
        <v>73.7</v>
      </c>
      <c r="I242" s="202">
        <v>73.7</v>
      </c>
      <c r="J242" s="202">
        <v>72.7</v>
      </c>
      <c r="K242" s="202">
        <v>71.8</v>
      </c>
      <c r="L242" s="202">
        <v>70.8</v>
      </c>
      <c r="M242" s="202">
        <v>71.2</v>
      </c>
      <c r="N242" s="202">
        <v>71.599999999999994</v>
      </c>
      <c r="O242" s="202">
        <v>72.099999999999994</v>
      </c>
      <c r="P242" s="574">
        <v>76.091254383044159</v>
      </c>
      <c r="Q242" s="574">
        <v>75.196411798020051</v>
      </c>
      <c r="R242" s="574">
        <v>74.951152433777779</v>
      </c>
      <c r="S242" s="574">
        <v>74.791159621900391</v>
      </c>
      <c r="T242" s="574">
        <v>74.670587997969449</v>
      </c>
      <c r="U242" s="574">
        <v>74.600050887571641</v>
      </c>
      <c r="V242" s="574">
        <v>74.521958481781198</v>
      </c>
      <c r="W242" s="574">
        <v>74.805964431979135</v>
      </c>
      <c r="X242" s="574">
        <v>75.089522883885408</v>
      </c>
      <c r="Y242" s="574">
        <v>75.372620847191584</v>
      </c>
      <c r="Z242" s="574">
        <v>75.65524544649486</v>
      </c>
      <c r="AA242" s="574">
        <v>75.937383920445654</v>
      </c>
      <c r="AB242" s="574">
        <v>76.163801701017505</v>
      </c>
      <c r="AC242" s="574">
        <v>76.390111659646166</v>
      </c>
      <c r="AD242" s="574">
        <v>76.616296142522543</v>
      </c>
      <c r="AE242" s="574">
        <v>76.842337650732446</v>
      </c>
      <c r="AF242" s="574">
        <v>77.068218839086825</v>
      </c>
      <c r="AG242" s="574">
        <v>77.256352542637686</v>
      </c>
      <c r="AH242" s="574">
        <v>77.444066610636042</v>
      </c>
      <c r="AI242" s="574">
        <v>77.631350434215534</v>
      </c>
      <c r="AJ242" s="574">
        <v>77.818193496822346</v>
      </c>
      <c r="AK242" s="574">
        <v>78.004585373591794</v>
      </c>
      <c r="AL242" s="576">
        <f>($AK$217-$AB$217)/10+AK242</f>
        <v>78.052000398629417</v>
      </c>
      <c r="AM242" s="576">
        <f t="shared" ref="AM242:AU242" si="125">($AK$217-$AB$217)/10+AL242</f>
        <v>78.09941542366704</v>
      </c>
      <c r="AN242" s="576">
        <f t="shared" si="125"/>
        <v>78.146830448704662</v>
      </c>
      <c r="AO242" s="576">
        <f t="shared" si="125"/>
        <v>78.194245473742285</v>
      </c>
      <c r="AP242" s="576">
        <f t="shared" si="125"/>
        <v>78.241660498779908</v>
      </c>
      <c r="AQ242" s="576">
        <f t="shared" si="125"/>
        <v>78.28907552381753</v>
      </c>
      <c r="AR242" s="576">
        <f t="shared" si="125"/>
        <v>78.336490548855153</v>
      </c>
      <c r="AS242" s="576">
        <f t="shared" si="125"/>
        <v>78.383905573892775</v>
      </c>
      <c r="AT242" s="576">
        <f t="shared" si="125"/>
        <v>78.431320598930398</v>
      </c>
      <c r="AU242" s="576">
        <f t="shared" si="125"/>
        <v>78.478735623968021</v>
      </c>
      <c r="AV242" s="602"/>
      <c r="AW242" s="602"/>
      <c r="AX242" s="602"/>
      <c r="AY242" s="602"/>
      <c r="AZ242" s="602"/>
      <c r="BA242" s="602"/>
    </row>
    <row r="243" spans="2:53" ht="15">
      <c r="B243" s="602"/>
      <c r="C243" s="602"/>
      <c r="D243" s="602" t="s">
        <v>269</v>
      </c>
      <c r="E243" s="201">
        <v>2014</v>
      </c>
      <c r="F243" s="485" t="s">
        <v>379</v>
      </c>
      <c r="G243" s="564">
        <f t="shared" si="122"/>
        <v>106.1</v>
      </c>
      <c r="H243" s="564">
        <f t="shared" si="123"/>
        <v>106.1</v>
      </c>
      <c r="I243" s="202">
        <v>106.1</v>
      </c>
      <c r="J243" s="202">
        <v>104.4</v>
      </c>
      <c r="K243" s="202">
        <v>102.6</v>
      </c>
      <c r="L243" s="202">
        <v>100.9</v>
      </c>
      <c r="M243" s="202">
        <v>101.4</v>
      </c>
      <c r="N243" s="202">
        <v>102</v>
      </c>
      <c r="O243" s="202">
        <v>102.6</v>
      </c>
      <c r="P243" s="202">
        <v>103.1</v>
      </c>
      <c r="Q243" s="202">
        <v>103.7</v>
      </c>
      <c r="R243" s="202">
        <v>104.5</v>
      </c>
      <c r="S243" s="202">
        <v>105.3</v>
      </c>
      <c r="T243" s="202">
        <v>106.2</v>
      </c>
      <c r="U243" s="202">
        <v>107</v>
      </c>
      <c r="V243" s="202">
        <v>107.9</v>
      </c>
      <c r="W243" s="202">
        <v>108.5</v>
      </c>
      <c r="X243" s="202">
        <v>109</v>
      </c>
      <c r="Y243" s="202">
        <v>109.6</v>
      </c>
      <c r="Z243" s="202">
        <v>110.2</v>
      </c>
      <c r="AA243" s="202">
        <v>110.8</v>
      </c>
      <c r="AB243" s="202">
        <v>111.3</v>
      </c>
      <c r="AC243" s="202">
        <v>111.7</v>
      </c>
      <c r="AD243" s="202">
        <v>112.1</v>
      </c>
      <c r="AE243" s="202">
        <v>112.6</v>
      </c>
      <c r="AF243" s="202">
        <v>113</v>
      </c>
      <c r="AG243" s="202">
        <v>113.4</v>
      </c>
      <c r="AH243" s="202">
        <v>113.8</v>
      </c>
      <c r="AI243" s="202">
        <v>114.2</v>
      </c>
      <c r="AJ243" s="202">
        <v>114.5</v>
      </c>
      <c r="AK243" s="202">
        <v>114.9</v>
      </c>
      <c r="AL243" s="202">
        <v>115.3</v>
      </c>
      <c r="AM243" s="202">
        <v>115.6</v>
      </c>
      <c r="AN243" s="202">
        <v>116</v>
      </c>
      <c r="AO243" s="202">
        <v>116.3</v>
      </c>
      <c r="AP243" s="202">
        <v>116.7</v>
      </c>
      <c r="AQ243" s="202">
        <v>117.1</v>
      </c>
      <c r="AR243" s="202">
        <v>117.6</v>
      </c>
      <c r="AS243" s="202">
        <v>118</v>
      </c>
      <c r="AT243" s="202">
        <v>118.5</v>
      </c>
      <c r="AU243" s="202">
        <v>118.9</v>
      </c>
      <c r="AV243" s="602"/>
      <c r="AW243" s="602"/>
      <c r="AX243" s="602"/>
      <c r="AY243" s="602"/>
      <c r="AZ243" s="602"/>
      <c r="BA243" s="602"/>
    </row>
    <row r="244" spans="2:53" ht="15">
      <c r="B244" s="602"/>
      <c r="C244" s="198" t="s">
        <v>270</v>
      </c>
      <c r="D244" s="602"/>
      <c r="E244" s="602"/>
      <c r="G244" s="564">
        <f t="shared" si="122"/>
        <v>0</v>
      </c>
      <c r="H244" s="564">
        <f t="shared" si="123"/>
        <v>0</v>
      </c>
      <c r="I244" s="485"/>
      <c r="J244" s="485"/>
      <c r="K244" s="485"/>
      <c r="L244" s="485"/>
      <c r="M244" s="485"/>
      <c r="N244" s="485"/>
      <c r="O244" s="485"/>
      <c r="P244" s="485"/>
      <c r="Q244" s="485"/>
      <c r="R244" s="485"/>
      <c r="S244" s="485"/>
      <c r="T244" s="485"/>
      <c r="U244" s="485"/>
      <c r="V244" s="485"/>
      <c r="W244" s="485"/>
      <c r="X244" s="485"/>
      <c r="Y244" s="485"/>
      <c r="Z244" s="485"/>
      <c r="AA244" s="485"/>
      <c r="AB244" s="485"/>
      <c r="AC244" s="485"/>
      <c r="AD244" s="485"/>
      <c r="AE244" s="485"/>
      <c r="AF244" s="485"/>
      <c r="AG244" s="485"/>
      <c r="AH244" s="485"/>
      <c r="AI244" s="485"/>
      <c r="AJ244" s="485"/>
      <c r="AK244" s="485"/>
      <c r="AL244" s="485"/>
      <c r="AM244" s="485"/>
      <c r="AN244" s="485"/>
      <c r="AO244" s="485"/>
      <c r="AP244" s="485"/>
      <c r="AQ244" s="485"/>
      <c r="AR244" s="485"/>
      <c r="AS244" s="485"/>
      <c r="AT244" s="485"/>
      <c r="AU244" s="485"/>
      <c r="AV244" s="602"/>
      <c r="AW244" s="602"/>
      <c r="AX244" s="602"/>
      <c r="AY244" s="602"/>
      <c r="AZ244" s="602"/>
      <c r="BA244" s="602"/>
    </row>
    <row r="245" spans="2:53" ht="15">
      <c r="B245" s="588"/>
      <c r="C245" s="602"/>
      <c r="D245" s="602" t="s">
        <v>271</v>
      </c>
      <c r="E245" s="201">
        <v>2014</v>
      </c>
      <c r="F245" s="485" t="s">
        <v>379</v>
      </c>
      <c r="G245" s="564">
        <f t="shared" si="122"/>
        <v>41.5</v>
      </c>
      <c r="H245" s="564">
        <f t="shared" si="123"/>
        <v>41.5</v>
      </c>
      <c r="I245" s="202">
        <v>41.5</v>
      </c>
      <c r="J245" s="202">
        <v>41.2</v>
      </c>
      <c r="K245" s="202">
        <v>40.799999999999997</v>
      </c>
      <c r="L245" s="202">
        <v>40.5</v>
      </c>
      <c r="M245" s="202">
        <v>40.9</v>
      </c>
      <c r="N245" s="202">
        <v>41.4</v>
      </c>
      <c r="O245" s="202">
        <v>41.8</v>
      </c>
      <c r="P245" s="202">
        <v>42.3</v>
      </c>
      <c r="Q245" s="202">
        <v>42.7</v>
      </c>
      <c r="R245" s="202">
        <v>43.3</v>
      </c>
      <c r="S245" s="202">
        <v>43.9</v>
      </c>
      <c r="T245" s="202">
        <v>44.5</v>
      </c>
      <c r="U245" s="202">
        <v>45</v>
      </c>
      <c r="V245" s="202">
        <v>45.6</v>
      </c>
      <c r="W245" s="202">
        <v>46.1</v>
      </c>
      <c r="X245" s="202">
        <v>46.6</v>
      </c>
      <c r="Y245" s="202">
        <v>47.1</v>
      </c>
      <c r="Z245" s="202">
        <v>47.6</v>
      </c>
      <c r="AA245" s="202">
        <v>48.1</v>
      </c>
      <c r="AB245" s="202">
        <v>48.4</v>
      </c>
      <c r="AC245" s="202">
        <v>48.8</v>
      </c>
      <c r="AD245" s="202">
        <v>49.2</v>
      </c>
      <c r="AE245" s="202">
        <v>49.6</v>
      </c>
      <c r="AF245" s="202">
        <v>50</v>
      </c>
      <c r="AG245" s="202">
        <v>50.4</v>
      </c>
      <c r="AH245" s="202">
        <v>50.7</v>
      </c>
      <c r="AI245" s="202">
        <v>51.1</v>
      </c>
      <c r="AJ245" s="202">
        <v>51.5</v>
      </c>
      <c r="AK245" s="202">
        <v>51.8</v>
      </c>
      <c r="AL245" s="202">
        <v>52.2</v>
      </c>
      <c r="AM245" s="202">
        <v>52.6</v>
      </c>
      <c r="AN245" s="202">
        <v>52.9</v>
      </c>
      <c r="AO245" s="202">
        <v>53.3</v>
      </c>
      <c r="AP245" s="202">
        <v>53.7</v>
      </c>
      <c r="AQ245" s="202">
        <v>54.1</v>
      </c>
      <c r="AR245" s="202">
        <v>54.5</v>
      </c>
      <c r="AS245" s="202">
        <v>54.9</v>
      </c>
      <c r="AT245" s="202">
        <v>55.3</v>
      </c>
      <c r="AU245" s="202">
        <v>55.7</v>
      </c>
      <c r="AV245" s="602"/>
      <c r="AW245" s="602"/>
      <c r="AX245" s="602"/>
      <c r="AY245" s="602"/>
      <c r="AZ245" s="602"/>
      <c r="BA245" s="602"/>
    </row>
    <row r="246" spans="2:53" ht="15">
      <c r="B246" s="602"/>
      <c r="C246" s="602"/>
      <c r="D246" s="602" t="s">
        <v>272</v>
      </c>
      <c r="E246" s="201">
        <v>2014</v>
      </c>
      <c r="F246" s="485" t="s">
        <v>379</v>
      </c>
      <c r="G246" s="564">
        <f t="shared" si="122"/>
        <v>39.9</v>
      </c>
      <c r="H246" s="564">
        <f t="shared" si="123"/>
        <v>39.9</v>
      </c>
      <c r="I246" s="202">
        <v>39.9</v>
      </c>
      <c r="J246" s="202">
        <v>39.5</v>
      </c>
      <c r="K246" s="202">
        <v>39.200000000000003</v>
      </c>
      <c r="L246" s="202">
        <v>38.799999999999997</v>
      </c>
      <c r="M246" s="202">
        <v>39.299999999999997</v>
      </c>
      <c r="N246" s="202">
        <v>39.700000000000003</v>
      </c>
      <c r="O246" s="202">
        <v>40.1</v>
      </c>
      <c r="P246" s="202">
        <v>40.6</v>
      </c>
      <c r="Q246" s="202">
        <v>41</v>
      </c>
      <c r="R246" s="202">
        <v>41.6</v>
      </c>
      <c r="S246" s="202">
        <v>42.1</v>
      </c>
      <c r="T246" s="202">
        <v>42.6</v>
      </c>
      <c r="U246" s="202">
        <v>42.9</v>
      </c>
      <c r="V246" s="202">
        <v>43.2</v>
      </c>
      <c r="W246" s="202">
        <v>43.4</v>
      </c>
      <c r="X246" s="202">
        <v>43.6</v>
      </c>
      <c r="Y246" s="202">
        <v>43.9</v>
      </c>
      <c r="Z246" s="202">
        <v>44.3</v>
      </c>
      <c r="AA246" s="202">
        <v>44.7</v>
      </c>
      <c r="AB246" s="202">
        <v>45.1</v>
      </c>
      <c r="AC246" s="202">
        <v>45.4</v>
      </c>
      <c r="AD246" s="202">
        <v>45.8</v>
      </c>
      <c r="AE246" s="202">
        <v>46.2</v>
      </c>
      <c r="AF246" s="202">
        <v>46.5</v>
      </c>
      <c r="AG246" s="202">
        <v>46.9</v>
      </c>
      <c r="AH246" s="202">
        <v>47.2</v>
      </c>
      <c r="AI246" s="202">
        <v>47.5</v>
      </c>
      <c r="AJ246" s="202">
        <v>47.9</v>
      </c>
      <c r="AK246" s="202">
        <v>48.2</v>
      </c>
      <c r="AL246" s="202">
        <v>48.6</v>
      </c>
      <c r="AM246" s="202">
        <v>48.9</v>
      </c>
      <c r="AN246" s="202">
        <v>49.2</v>
      </c>
      <c r="AO246" s="202">
        <v>49.6</v>
      </c>
      <c r="AP246" s="202">
        <v>49.9</v>
      </c>
      <c r="AQ246" s="202">
        <v>50.3</v>
      </c>
      <c r="AR246" s="202">
        <v>50.7</v>
      </c>
      <c r="AS246" s="202">
        <v>51</v>
      </c>
      <c r="AT246" s="202">
        <v>51.4</v>
      </c>
      <c r="AU246" s="202">
        <v>51.8</v>
      </c>
      <c r="AV246" s="602"/>
      <c r="AW246" s="602"/>
      <c r="AX246" s="602"/>
      <c r="AY246" s="602"/>
      <c r="AZ246" s="602"/>
      <c r="BA246" s="602"/>
    </row>
    <row r="247" spans="2:53">
      <c r="B247" s="602"/>
      <c r="C247" s="1103" t="s">
        <v>633</v>
      </c>
      <c r="D247" s="602"/>
      <c r="G247" s="602"/>
      <c r="H247" s="602"/>
      <c r="I247" s="602"/>
      <c r="J247" s="602"/>
      <c r="K247" s="602"/>
      <c r="L247" s="602"/>
      <c r="M247" s="602"/>
      <c r="N247" s="602"/>
      <c r="O247" s="602"/>
      <c r="P247" s="602"/>
      <c r="Q247" s="602"/>
      <c r="R247" s="602"/>
      <c r="S247" s="602"/>
      <c r="T247" s="602"/>
      <c r="U247" s="602"/>
      <c r="V247" s="602"/>
      <c r="W247" s="602"/>
      <c r="X247" s="602"/>
      <c r="Y247" s="602"/>
      <c r="Z247" s="602"/>
      <c r="AA247" s="602"/>
      <c r="AB247" s="602"/>
      <c r="AC247" s="602"/>
      <c r="AD247" s="602"/>
      <c r="AE247" s="602"/>
      <c r="AF247" s="602"/>
      <c r="AG247" s="602"/>
      <c r="AH247" s="602"/>
      <c r="AI247" s="602"/>
      <c r="AJ247" s="602"/>
      <c r="AK247" s="602"/>
      <c r="AL247" s="602"/>
      <c r="AM247" s="602"/>
      <c r="AN247" s="602"/>
      <c r="AO247" s="602"/>
      <c r="AP247" s="602"/>
      <c r="AQ247" s="602"/>
      <c r="AR247" s="602"/>
      <c r="AS247" s="602"/>
      <c r="AT247" s="602"/>
      <c r="AU247" s="602"/>
      <c r="AV247" s="602"/>
      <c r="AW247" s="602"/>
      <c r="AX247" s="602"/>
      <c r="AY247" s="602"/>
      <c r="AZ247" s="602"/>
      <c r="BA247" s="602"/>
    </row>
    <row r="248" spans="2:53">
      <c r="B248" s="602"/>
      <c r="C248" s="1103" t="s">
        <v>634</v>
      </c>
      <c r="D248" s="602"/>
      <c r="G248" s="602"/>
      <c r="H248" s="602"/>
      <c r="I248" s="602"/>
      <c r="J248" s="602"/>
      <c r="K248" s="602"/>
      <c r="L248" s="602"/>
      <c r="M248" s="602"/>
      <c r="N248" s="602"/>
      <c r="O248" s="602"/>
      <c r="P248" s="602"/>
      <c r="Q248" s="602"/>
      <c r="R248" s="602"/>
      <c r="S248" s="602"/>
      <c r="T248" s="602"/>
      <c r="U248" s="602"/>
      <c r="V248" s="602"/>
      <c r="W248" s="602"/>
      <c r="X248" s="602"/>
      <c r="Y248" s="602"/>
      <c r="Z248" s="602"/>
      <c r="AA248" s="602"/>
      <c r="AB248" s="602"/>
      <c r="AC248" s="602"/>
      <c r="AD248" s="602"/>
      <c r="AE248" s="602"/>
      <c r="AF248" s="602"/>
      <c r="AG248" s="602"/>
      <c r="AH248" s="602"/>
      <c r="AI248" s="602"/>
      <c r="AJ248" s="602"/>
      <c r="AK248" s="602"/>
      <c r="AL248" s="602"/>
      <c r="AM248" s="602"/>
      <c r="AN248" s="602"/>
      <c r="AO248" s="602"/>
      <c r="AP248" s="602"/>
      <c r="AQ248" s="602"/>
      <c r="AR248" s="602"/>
      <c r="AS248" s="602"/>
      <c r="AT248" s="602"/>
      <c r="AU248" s="602"/>
      <c r="AV248" s="602"/>
      <c r="AW248" s="602"/>
      <c r="AX248" s="602"/>
      <c r="AY248" s="602"/>
      <c r="AZ248" s="602"/>
      <c r="BA248" s="602"/>
    </row>
    <row r="249" spans="2:53">
      <c r="B249" s="602"/>
      <c r="C249" s="602"/>
      <c r="D249" s="602"/>
      <c r="G249" s="602"/>
      <c r="H249" s="602"/>
      <c r="I249" s="602"/>
      <c r="J249" s="602"/>
      <c r="K249" s="602"/>
      <c r="L249" s="602"/>
      <c r="M249" s="602"/>
      <c r="N249" s="602"/>
      <c r="O249" s="602"/>
      <c r="P249" s="602"/>
      <c r="Q249" s="602"/>
      <c r="R249" s="602"/>
      <c r="S249" s="602"/>
      <c r="T249" s="602"/>
      <c r="U249" s="602"/>
      <c r="V249" s="602"/>
      <c r="W249" s="602"/>
      <c r="X249" s="602"/>
      <c r="Y249" s="602"/>
      <c r="Z249" s="602"/>
      <c r="AA249" s="602"/>
      <c r="AB249" s="602"/>
      <c r="AC249" s="602"/>
      <c r="AD249" s="602"/>
      <c r="AE249" s="602"/>
      <c r="AF249" s="602"/>
      <c r="AG249" s="602"/>
      <c r="AH249" s="602"/>
      <c r="AI249" s="602"/>
      <c r="AJ249" s="602"/>
      <c r="AK249" s="602"/>
      <c r="AL249" s="602"/>
      <c r="AM249" s="602"/>
      <c r="AN249" s="602"/>
      <c r="AO249" s="602"/>
      <c r="AP249" s="602"/>
      <c r="AQ249" s="602"/>
      <c r="AR249" s="602"/>
      <c r="AS249" s="602"/>
      <c r="AT249" s="602"/>
      <c r="AU249" s="602"/>
      <c r="AV249" s="602"/>
      <c r="AW249" s="602"/>
      <c r="AX249" s="602"/>
      <c r="AY249" s="602"/>
      <c r="AZ249" s="602"/>
      <c r="BA249" s="602"/>
    </row>
    <row r="250" spans="2:53">
      <c r="B250" s="602"/>
      <c r="C250" s="602"/>
      <c r="D250" s="602"/>
      <c r="G250" s="602"/>
      <c r="H250" s="602"/>
      <c r="I250" s="602"/>
      <c r="J250" s="602"/>
      <c r="K250" s="602"/>
      <c r="L250" s="602"/>
      <c r="M250" s="602"/>
      <c r="N250" s="602"/>
      <c r="O250" s="602"/>
      <c r="P250" s="602"/>
      <c r="Q250" s="602"/>
      <c r="R250" s="602"/>
      <c r="S250" s="602"/>
      <c r="T250" s="602"/>
      <c r="U250" s="602"/>
      <c r="V250" s="602"/>
      <c r="W250" s="602"/>
      <c r="X250" s="602"/>
      <c r="Y250" s="602"/>
      <c r="Z250" s="602"/>
      <c r="AA250" s="602"/>
      <c r="AB250" s="602"/>
      <c r="AC250" s="602"/>
      <c r="AD250" s="602"/>
      <c r="AE250" s="602"/>
      <c r="AF250" s="602"/>
      <c r="AG250" s="602"/>
      <c r="AH250" s="602"/>
      <c r="AI250" s="602"/>
      <c r="AJ250" s="602"/>
      <c r="AK250" s="602"/>
      <c r="AL250" s="602"/>
      <c r="AM250" s="602"/>
      <c r="AN250" s="602"/>
      <c r="AO250" s="602"/>
      <c r="AP250" s="602"/>
      <c r="AQ250" s="602"/>
      <c r="AR250" s="602"/>
      <c r="AS250" s="602"/>
      <c r="AT250" s="602"/>
      <c r="AU250" s="602"/>
      <c r="AV250" s="602"/>
      <c r="AW250" s="602"/>
      <c r="AX250" s="602"/>
      <c r="AY250" s="602"/>
      <c r="AZ250" s="602"/>
      <c r="BA250" s="602"/>
    </row>
    <row r="251" spans="2:53">
      <c r="B251" s="602"/>
      <c r="C251" s="602"/>
      <c r="D251" s="602"/>
      <c r="G251" s="602"/>
      <c r="H251" s="602"/>
      <c r="I251" s="602"/>
      <c r="J251" s="602"/>
      <c r="K251" s="602"/>
      <c r="L251" s="602"/>
      <c r="M251" s="602"/>
      <c r="N251" s="602"/>
      <c r="O251" s="602"/>
      <c r="P251" s="602"/>
      <c r="Q251" s="602"/>
      <c r="R251" s="602"/>
      <c r="S251" s="602"/>
      <c r="T251" s="602"/>
      <c r="U251" s="602"/>
      <c r="V251" s="602"/>
      <c r="W251" s="602"/>
      <c r="X251" s="602"/>
      <c r="Y251" s="602"/>
      <c r="Z251" s="602"/>
      <c r="AA251" s="602"/>
      <c r="AB251" s="602"/>
      <c r="AC251" s="602"/>
      <c r="AD251" s="602"/>
      <c r="AE251" s="602"/>
      <c r="AF251" s="602"/>
      <c r="AG251" s="602"/>
      <c r="AH251" s="602"/>
      <c r="AI251" s="602"/>
      <c r="AJ251" s="602"/>
      <c r="AK251" s="602"/>
      <c r="AL251" s="602"/>
      <c r="AM251" s="602"/>
      <c r="AN251" s="602"/>
      <c r="AO251" s="602"/>
      <c r="AP251" s="602"/>
      <c r="AQ251" s="602"/>
      <c r="AR251" s="602"/>
      <c r="AS251" s="602"/>
      <c r="AT251" s="602"/>
      <c r="AU251" s="602"/>
      <c r="AV251" s="602"/>
      <c r="AW251" s="602"/>
      <c r="AX251" s="602"/>
      <c r="AY251" s="602"/>
      <c r="AZ251" s="602"/>
      <c r="BA251" s="602"/>
    </row>
    <row r="252" spans="2:53">
      <c r="B252" s="602"/>
      <c r="C252" s="588" t="s">
        <v>837</v>
      </c>
      <c r="D252" s="602"/>
      <c r="G252" s="602"/>
      <c r="H252" s="602"/>
      <c r="I252" s="602"/>
      <c r="J252" s="602"/>
      <c r="K252" s="602"/>
      <c r="L252" s="602"/>
      <c r="M252" s="602"/>
      <c r="N252" s="602"/>
      <c r="O252" s="602"/>
      <c r="P252" s="602"/>
      <c r="Q252" s="602"/>
      <c r="R252" s="602"/>
      <c r="S252" s="602"/>
      <c r="T252" s="602"/>
      <c r="U252" s="602"/>
      <c r="V252" s="602"/>
      <c r="W252" s="602"/>
      <c r="X252" s="602"/>
      <c r="Y252" s="602"/>
      <c r="Z252" s="602"/>
      <c r="AA252" s="602"/>
      <c r="AB252" s="602"/>
      <c r="AC252" s="602"/>
      <c r="AD252" s="602"/>
      <c r="AE252" s="602"/>
      <c r="AF252" s="602"/>
      <c r="AG252" s="602"/>
      <c r="AH252" s="602"/>
      <c r="AI252" s="602"/>
      <c r="AJ252" s="602"/>
      <c r="AK252" s="602"/>
      <c r="AL252" s="602"/>
      <c r="AM252" s="602"/>
      <c r="AN252" s="602"/>
      <c r="AO252" s="602"/>
      <c r="AP252" s="602"/>
      <c r="AQ252" s="602"/>
      <c r="AR252" s="602"/>
      <c r="AS252" s="602"/>
      <c r="AT252" s="602"/>
      <c r="AU252" s="602"/>
      <c r="AV252" s="602"/>
      <c r="AW252" s="602"/>
      <c r="AX252" s="602"/>
      <c r="AY252" s="602"/>
      <c r="AZ252" s="602"/>
      <c r="BA252" s="602"/>
    </row>
    <row r="253" spans="2:53" ht="20">
      <c r="B253" s="602"/>
      <c r="C253" s="566" t="s">
        <v>826</v>
      </c>
      <c r="D253" s="567"/>
      <c r="E253" s="567"/>
      <c r="F253" s="567"/>
      <c r="G253" s="567"/>
      <c r="H253" s="567"/>
      <c r="I253" s="567"/>
      <c r="J253" s="567"/>
      <c r="K253" s="567"/>
      <c r="L253" s="567"/>
      <c r="M253" s="567"/>
      <c r="N253" s="567"/>
      <c r="O253" s="567"/>
      <c r="P253" s="602"/>
      <c r="Q253" s="602"/>
      <c r="R253" s="602"/>
      <c r="S253" s="602"/>
      <c r="T253" s="602"/>
      <c r="U253" s="602"/>
      <c r="V253" s="602"/>
      <c r="W253" s="602"/>
      <c r="X253" s="602"/>
      <c r="Y253" s="602"/>
      <c r="Z253" s="602"/>
      <c r="AA253" s="602"/>
      <c r="AB253" s="602"/>
      <c r="AC253" s="602"/>
      <c r="AD253" s="602"/>
      <c r="AE253" s="602"/>
      <c r="AF253" s="602"/>
      <c r="AG253" s="602"/>
      <c r="AH253" s="602"/>
      <c r="AI253" s="602"/>
      <c r="AJ253" s="602"/>
      <c r="AK253" s="602"/>
      <c r="AL253" s="602"/>
      <c r="AM253" s="602"/>
      <c r="AN253" s="602"/>
      <c r="AO253" s="602"/>
      <c r="AP253" s="602"/>
      <c r="AQ253" s="602"/>
      <c r="AR253" s="602"/>
      <c r="AS253" s="602"/>
      <c r="AT253" s="602"/>
      <c r="AU253" s="602"/>
      <c r="AV253" s="602"/>
      <c r="AW253" s="602"/>
      <c r="AX253" s="602"/>
      <c r="AY253" s="602"/>
      <c r="AZ253" s="602"/>
      <c r="BA253" s="602"/>
    </row>
    <row r="254" spans="2:53">
      <c r="B254" s="602"/>
      <c r="C254" s="482"/>
      <c r="D254" s="485"/>
      <c r="E254" s="485"/>
      <c r="G254" s="485"/>
      <c r="H254" s="485"/>
      <c r="I254" s="485"/>
      <c r="J254" s="485"/>
      <c r="K254" s="485"/>
      <c r="L254" s="485"/>
      <c r="M254" s="485"/>
      <c r="N254" s="485"/>
      <c r="O254" s="485"/>
      <c r="P254" s="602"/>
      <c r="Q254" s="602"/>
      <c r="R254" s="602"/>
      <c r="S254" s="602"/>
      <c r="T254" s="602"/>
      <c r="U254" s="602"/>
      <c r="V254" s="602"/>
      <c r="W254" s="602"/>
      <c r="X254" s="602"/>
      <c r="Y254" s="602"/>
      <c r="Z254" s="602"/>
      <c r="AA254" s="602"/>
      <c r="AB254" s="602"/>
      <c r="AC254" s="602"/>
      <c r="AD254" s="602"/>
      <c r="AE254" s="602"/>
      <c r="AF254" s="602"/>
      <c r="AG254" s="602"/>
      <c r="AH254" s="602"/>
      <c r="AI254" s="602"/>
      <c r="AJ254" s="602"/>
      <c r="AK254" s="602"/>
      <c r="AL254" s="602"/>
      <c r="AM254" s="602"/>
      <c r="AN254" s="602"/>
      <c r="AO254" s="602"/>
      <c r="AP254" s="602"/>
      <c r="AQ254" s="602"/>
      <c r="AR254" s="602"/>
      <c r="AS254" s="602"/>
      <c r="AT254" s="602"/>
      <c r="AU254" s="602"/>
      <c r="AV254" s="602"/>
      <c r="AW254" s="602"/>
      <c r="AX254" s="602"/>
      <c r="AY254" s="602"/>
      <c r="AZ254" s="602"/>
      <c r="BA254" s="602"/>
    </row>
    <row r="255" spans="2:53">
      <c r="B255" s="602"/>
      <c r="C255" s="1324" t="s">
        <v>827</v>
      </c>
      <c r="D255" s="1326" t="s">
        <v>828</v>
      </c>
      <c r="E255" s="1327"/>
      <c r="F255" s="1327"/>
      <c r="G255" s="1327"/>
      <c r="H255" s="1327"/>
      <c r="I255" s="1327"/>
      <c r="J255" s="1327"/>
      <c r="K255" s="1327"/>
      <c r="L255" s="1327"/>
      <c r="M255" s="1327"/>
      <c r="N255" s="1328"/>
      <c r="O255" s="1104" t="s">
        <v>829</v>
      </c>
      <c r="P255" s="602"/>
      <c r="Q255" s="602"/>
      <c r="R255" s="602"/>
      <c r="S255" s="602"/>
      <c r="T255" s="602"/>
      <c r="U255" s="602"/>
      <c r="V255" s="602"/>
      <c r="W255" s="602"/>
      <c r="X255" s="602"/>
      <c r="Y255" s="602"/>
      <c r="Z255" s="602"/>
      <c r="AA255" s="602"/>
      <c r="AB255" s="602"/>
      <c r="AC255" s="602"/>
      <c r="AD255" s="602"/>
      <c r="AE255" s="602"/>
      <c r="AF255" s="602"/>
      <c r="AG255" s="602"/>
      <c r="AH255" s="602"/>
      <c r="AI255" s="602"/>
      <c r="AJ255" s="602"/>
      <c r="AK255" s="602"/>
      <c r="AL255" s="602"/>
      <c r="AM255" s="602"/>
      <c r="AN255" s="602"/>
      <c r="AO255" s="602"/>
      <c r="AP255" s="602"/>
      <c r="AQ255" s="602"/>
      <c r="AR255" s="602"/>
      <c r="AS255" s="602"/>
      <c r="AT255" s="602"/>
      <c r="AU255" s="602"/>
      <c r="AV255" s="602"/>
      <c r="AW255" s="602"/>
      <c r="AX255" s="602"/>
      <c r="AY255" s="602"/>
      <c r="AZ255" s="602"/>
      <c r="BA255" s="602"/>
    </row>
    <row r="256" spans="2:53" ht="26">
      <c r="B256" s="602"/>
      <c r="C256" s="1325"/>
      <c r="D256" s="1105" t="s">
        <v>411</v>
      </c>
      <c r="E256" s="1106" t="s">
        <v>405</v>
      </c>
      <c r="F256" s="1105" t="s">
        <v>410</v>
      </c>
      <c r="G256" s="1105" t="s">
        <v>830</v>
      </c>
      <c r="H256" s="1105" t="s">
        <v>831</v>
      </c>
      <c r="I256" s="1105" t="s">
        <v>51</v>
      </c>
      <c r="J256" s="1105" t="s">
        <v>832</v>
      </c>
      <c r="K256" s="1105" t="s">
        <v>195</v>
      </c>
      <c r="L256" s="1106" t="s">
        <v>833</v>
      </c>
      <c r="M256" s="1106" t="s">
        <v>834</v>
      </c>
      <c r="N256" s="1106" t="s">
        <v>835</v>
      </c>
      <c r="O256" s="1106" t="s">
        <v>835</v>
      </c>
      <c r="P256" s="602"/>
      <c r="Q256" s="602"/>
      <c r="R256" s="602"/>
      <c r="S256" s="602"/>
      <c r="T256" s="602"/>
      <c r="U256" s="602"/>
      <c r="V256" s="602"/>
      <c r="W256" s="602"/>
      <c r="X256" s="602"/>
      <c r="Y256" s="602"/>
      <c r="Z256" s="602"/>
      <c r="AA256" s="602"/>
      <c r="AB256" s="602"/>
      <c r="AC256" s="602"/>
      <c r="AD256" s="602"/>
      <c r="AE256" s="602"/>
      <c r="AF256" s="602"/>
      <c r="AG256" s="602"/>
      <c r="AH256" s="602"/>
      <c r="AI256" s="602"/>
      <c r="AJ256" s="602"/>
      <c r="AK256" s="602"/>
      <c r="AL256" s="602"/>
      <c r="AM256" s="602"/>
      <c r="AN256" s="602"/>
      <c r="AO256" s="602"/>
      <c r="AP256" s="602"/>
      <c r="AQ256" s="602"/>
      <c r="AR256" s="602"/>
      <c r="AS256" s="602"/>
      <c r="AT256" s="602"/>
      <c r="AU256" s="602"/>
      <c r="AV256" s="602"/>
      <c r="AW256" s="602"/>
      <c r="AX256" s="602"/>
      <c r="AY256" s="602"/>
      <c r="AZ256" s="602"/>
      <c r="BA256" s="602"/>
    </row>
    <row r="257" spans="2:53">
      <c r="B257" s="602"/>
      <c r="C257" s="1107">
        <v>2019</v>
      </c>
      <c r="D257" s="1108">
        <v>73.880467131059874</v>
      </c>
      <c r="E257" s="1108">
        <v>53.94529046338949</v>
      </c>
      <c r="F257" s="1108">
        <v>23.406929880021178</v>
      </c>
      <c r="G257" s="1108">
        <v>59.650894850098339</v>
      </c>
      <c r="H257" s="1108">
        <v>93.420285058277415</v>
      </c>
      <c r="I257" s="1108">
        <v>93.420285058277415</v>
      </c>
      <c r="J257" s="1108">
        <v>95.583697574109408</v>
      </c>
      <c r="K257" s="1108">
        <v>90.831954056376134</v>
      </c>
      <c r="L257" s="1108">
        <v>65.821840433738927</v>
      </c>
      <c r="M257" s="1108">
        <v>76.091254383044159</v>
      </c>
      <c r="N257" s="1108">
        <v>48.13702532536383</v>
      </c>
      <c r="O257" s="1108">
        <v>43.426265623811808</v>
      </c>
      <c r="P257" s="602"/>
      <c r="Q257" s="602"/>
      <c r="R257" s="602"/>
      <c r="S257" s="602"/>
      <c r="T257" s="602"/>
      <c r="U257" s="602"/>
      <c r="V257" s="602"/>
      <c r="W257" s="602"/>
      <c r="X257" s="602"/>
      <c r="Y257" s="602"/>
      <c r="Z257" s="602"/>
      <c r="AA257" s="602"/>
      <c r="AB257" s="602"/>
      <c r="AC257" s="602"/>
      <c r="AD257" s="602"/>
      <c r="AE257" s="602"/>
      <c r="AF257" s="602"/>
      <c r="AG257" s="602"/>
      <c r="AH257" s="602"/>
      <c r="AI257" s="602"/>
      <c r="AJ257" s="602"/>
      <c r="AK257" s="602"/>
      <c r="AL257" s="602"/>
      <c r="AM257" s="602"/>
      <c r="AN257" s="602"/>
      <c r="AO257" s="602"/>
      <c r="AP257" s="602"/>
      <c r="AQ257" s="602"/>
      <c r="AR257" s="602"/>
      <c r="AS257" s="602"/>
      <c r="AT257" s="602"/>
      <c r="AU257" s="602"/>
      <c r="AV257" s="602"/>
      <c r="AW257" s="602"/>
      <c r="AX257" s="602"/>
      <c r="AY257" s="602"/>
      <c r="AZ257" s="602"/>
      <c r="BA257" s="602"/>
    </row>
    <row r="258" spans="2:53">
      <c r="B258" s="602"/>
      <c r="C258" s="1107">
        <v>2020</v>
      </c>
      <c r="D258" s="1108">
        <v>75.931459523916047</v>
      </c>
      <c r="E258" s="1108">
        <v>48.049648253621314</v>
      </c>
      <c r="F258" s="1108">
        <v>22.320750500826144</v>
      </c>
      <c r="G258" s="1108">
        <v>61.701887242954513</v>
      </c>
      <c r="H258" s="1108">
        <v>95.471277451133588</v>
      </c>
      <c r="I258" s="1108">
        <v>95.471277451133588</v>
      </c>
      <c r="J258" s="1108">
        <v>97.634689966965581</v>
      </c>
      <c r="K258" s="1108">
        <v>92.882946449232307</v>
      </c>
      <c r="L258" s="1108">
        <v>65.047767429918196</v>
      </c>
      <c r="M258" s="1108">
        <v>75.196411798020051</v>
      </c>
      <c r="N258" s="1108">
        <v>48.528146948789889</v>
      </c>
      <c r="O258" s="1108">
        <v>43.65253654619243</v>
      </c>
      <c r="P258" s="602"/>
      <c r="Q258" s="602"/>
      <c r="R258" s="602"/>
      <c r="S258" s="602"/>
      <c r="T258" s="602"/>
      <c r="U258" s="602"/>
      <c r="V258" s="602"/>
      <c r="W258" s="602"/>
      <c r="X258" s="602"/>
      <c r="Y258" s="602"/>
      <c r="Z258" s="602"/>
      <c r="AA258" s="602"/>
      <c r="AB258" s="602"/>
      <c r="AC258" s="602"/>
      <c r="AD258" s="602"/>
      <c r="AE258" s="602"/>
      <c r="AF258" s="602"/>
      <c r="AG258" s="602"/>
      <c r="AH258" s="602"/>
      <c r="AI258" s="602"/>
      <c r="AJ258" s="602"/>
      <c r="AK258" s="602"/>
      <c r="AL258" s="602"/>
      <c r="AM258" s="602"/>
      <c r="AN258" s="602"/>
      <c r="AO258" s="602"/>
      <c r="AP258" s="602"/>
      <c r="AQ258" s="602"/>
      <c r="AR258" s="602"/>
      <c r="AS258" s="602"/>
      <c r="AT258" s="602"/>
      <c r="AU258" s="602"/>
      <c r="AV258" s="602"/>
      <c r="AW258" s="602"/>
      <c r="AX258" s="602"/>
      <c r="AY258" s="602"/>
      <c r="AZ258" s="602"/>
      <c r="BA258" s="602"/>
    </row>
    <row r="259" spans="2:53">
      <c r="B259" s="602"/>
      <c r="C259" s="1107">
        <v>2021</v>
      </c>
      <c r="D259" s="1108">
        <v>77.701364104651802</v>
      </c>
      <c r="E259" s="1108">
        <v>40.610335042675715</v>
      </c>
      <c r="F259" s="1108">
        <v>22.4152337792803</v>
      </c>
      <c r="G259" s="1108">
        <v>63.471791823690268</v>
      </c>
      <c r="H259" s="1108">
        <v>97.241182031869343</v>
      </c>
      <c r="I259" s="1108">
        <v>97.241182031869343</v>
      </c>
      <c r="J259" s="1108">
        <v>99.404594547701336</v>
      </c>
      <c r="K259" s="1108">
        <v>94.652851029968062</v>
      </c>
      <c r="L259" s="1108">
        <v>64.835608715110197</v>
      </c>
      <c r="M259" s="1108">
        <v>74.951152433777779</v>
      </c>
      <c r="N259" s="1108">
        <v>49.029117231990426</v>
      </c>
      <c r="O259" s="1108">
        <v>43.928999158791825</v>
      </c>
      <c r="P259" s="602"/>
      <c r="Q259" s="602"/>
      <c r="R259" s="602"/>
      <c r="S259" s="602"/>
      <c r="T259" s="602"/>
      <c r="U259" s="602"/>
      <c r="V259" s="602"/>
      <c r="W259" s="602"/>
      <c r="X259" s="602"/>
      <c r="Y259" s="602"/>
      <c r="Z259" s="602"/>
      <c r="AA259" s="602"/>
      <c r="AB259" s="602"/>
      <c r="AC259" s="602"/>
      <c r="AD259" s="602"/>
      <c r="AE259" s="602"/>
      <c r="AF259" s="602"/>
      <c r="AG259" s="602"/>
      <c r="AH259" s="602"/>
      <c r="AI259" s="602"/>
      <c r="AJ259" s="602"/>
      <c r="AK259" s="602"/>
      <c r="AL259" s="602"/>
      <c r="AM259" s="602"/>
      <c r="AN259" s="602"/>
      <c r="AO259" s="602"/>
      <c r="AP259" s="602"/>
      <c r="AQ259" s="602"/>
      <c r="AR259" s="602"/>
      <c r="AS259" s="602"/>
      <c r="AT259" s="602"/>
      <c r="AU259" s="602"/>
      <c r="AV259" s="602"/>
      <c r="AW259" s="602"/>
      <c r="AX259" s="602"/>
      <c r="AY259" s="602"/>
      <c r="AZ259" s="602"/>
      <c r="BA259" s="602"/>
    </row>
    <row r="260" spans="2:53">
      <c r="B260" s="602"/>
      <c r="C260" s="1107">
        <v>2022</v>
      </c>
      <c r="D260" s="1108">
        <v>79.289025348102882</v>
      </c>
      <c r="E260" s="1108">
        <v>40.251302428954361</v>
      </c>
      <c r="F260" s="1108">
        <v>21.958696459631067</v>
      </c>
      <c r="G260" s="1108">
        <v>65.059453067141348</v>
      </c>
      <c r="H260" s="1108">
        <v>98.828843275320423</v>
      </c>
      <c r="I260" s="1108">
        <v>98.828843275320423</v>
      </c>
      <c r="J260" s="1108">
        <v>100.99225579115242</v>
      </c>
      <c r="K260" s="1108">
        <v>96.240512273419142</v>
      </c>
      <c r="L260" s="1108">
        <v>64.697208823830636</v>
      </c>
      <c r="M260" s="1108">
        <v>74.791159621900391</v>
      </c>
      <c r="N260" s="1108">
        <v>49.532405602008467</v>
      </c>
      <c r="O260" s="1108">
        <v>44.205082849585672</v>
      </c>
      <c r="P260" s="602"/>
      <c r="Q260" s="602"/>
      <c r="R260" s="602"/>
      <c r="S260" s="602"/>
      <c r="T260" s="602"/>
      <c r="U260" s="602"/>
      <c r="V260" s="602"/>
      <c r="W260" s="602"/>
      <c r="X260" s="602"/>
      <c r="Y260" s="602"/>
      <c r="Z260" s="602"/>
      <c r="AA260" s="602"/>
      <c r="AB260" s="602"/>
      <c r="AC260" s="602"/>
      <c r="AD260" s="602"/>
      <c r="AE260" s="602"/>
      <c r="AF260" s="602"/>
      <c r="AG260" s="602"/>
      <c r="AH260" s="602"/>
      <c r="AI260" s="602"/>
      <c r="AJ260" s="602"/>
      <c r="AK260" s="602"/>
      <c r="AL260" s="602"/>
      <c r="AM260" s="602"/>
      <c r="AN260" s="602"/>
      <c r="AO260" s="602"/>
      <c r="AP260" s="602"/>
      <c r="AQ260" s="602"/>
      <c r="AR260" s="602"/>
      <c r="AS260" s="602"/>
      <c r="AT260" s="602"/>
      <c r="AU260" s="602"/>
      <c r="AV260" s="602"/>
      <c r="AW260" s="602"/>
      <c r="AX260" s="602"/>
      <c r="AY260" s="602"/>
      <c r="AZ260" s="602"/>
      <c r="BA260" s="602"/>
    </row>
    <row r="261" spans="2:53">
      <c r="B261" s="602"/>
      <c r="C261" s="1107">
        <v>2023</v>
      </c>
      <c r="D261" s="1108">
        <v>81.023644009316811</v>
      </c>
      <c r="E261" s="1108">
        <v>41.309391764519106</v>
      </c>
      <c r="F261" s="1108">
        <v>21.264781225277929</v>
      </c>
      <c r="G261" s="1108">
        <v>66.794071728355277</v>
      </c>
      <c r="H261" s="1108">
        <v>100.56346193653435</v>
      </c>
      <c r="I261" s="1108">
        <v>100.56346193653435</v>
      </c>
      <c r="J261" s="1108">
        <v>102.72687445236635</v>
      </c>
      <c r="K261" s="1108">
        <v>97.975130934633071</v>
      </c>
      <c r="L261" s="1108">
        <v>64.59290976534399</v>
      </c>
      <c r="M261" s="1108">
        <v>74.670587997969449</v>
      </c>
      <c r="N261" s="1108">
        <v>50.037858127615173</v>
      </c>
      <c r="O261" s="1108">
        <v>44.480789827031863</v>
      </c>
      <c r="P261" s="602"/>
      <c r="Q261" s="602"/>
      <c r="R261" s="602"/>
      <c r="S261" s="602"/>
      <c r="T261" s="602"/>
      <c r="U261" s="602"/>
      <c r="V261" s="602"/>
      <c r="W261" s="602"/>
      <c r="X261" s="602"/>
      <c r="Y261" s="602"/>
      <c r="Z261" s="602"/>
      <c r="AA261" s="602"/>
      <c r="AB261" s="602"/>
      <c r="AC261" s="602"/>
      <c r="AD261" s="602"/>
      <c r="AE261" s="602"/>
      <c r="AF261" s="602"/>
      <c r="AG261" s="602"/>
      <c r="AH261" s="602"/>
      <c r="AI261" s="602"/>
      <c r="AJ261" s="602"/>
      <c r="AK261" s="602"/>
      <c r="AL261" s="602"/>
      <c r="AM261" s="602"/>
      <c r="AN261" s="602"/>
      <c r="AO261" s="602"/>
      <c r="AP261" s="602"/>
      <c r="AQ261" s="602"/>
      <c r="AR261" s="602"/>
      <c r="AS261" s="602"/>
      <c r="AT261" s="602"/>
      <c r="AU261" s="602"/>
      <c r="AV261" s="602"/>
      <c r="AW261" s="602"/>
      <c r="AX261" s="602"/>
      <c r="AY261" s="602"/>
      <c r="AZ261" s="602"/>
      <c r="BA261" s="602"/>
    </row>
    <row r="262" spans="2:53">
      <c r="B262" s="602"/>
      <c r="C262" s="1107">
        <v>2024</v>
      </c>
      <c r="D262" s="1108">
        <v>82.712910272747436</v>
      </c>
      <c r="E262" s="1108">
        <v>42.384105929912252</v>
      </c>
      <c r="F262" s="1108">
        <v>20.867962592605565</v>
      </c>
      <c r="G262" s="1108">
        <v>68.483337991785902</v>
      </c>
      <c r="H262" s="1108">
        <v>102.25272819996498</v>
      </c>
      <c r="I262" s="1108">
        <v>102.25272819996498</v>
      </c>
      <c r="J262" s="1108">
        <v>104.41614071579697</v>
      </c>
      <c r="K262" s="1108">
        <v>99.664397198063696</v>
      </c>
      <c r="L262" s="1108">
        <v>64.531892471531364</v>
      </c>
      <c r="M262" s="1108">
        <v>74.600050887571641</v>
      </c>
      <c r="N262" s="1108">
        <v>50.545323014619093</v>
      </c>
      <c r="O262" s="1108">
        <v>44.75612229958827</v>
      </c>
      <c r="P262" s="602"/>
      <c r="Q262" s="602"/>
      <c r="R262" s="602"/>
      <c r="S262" s="602"/>
      <c r="T262" s="602"/>
      <c r="U262" s="602"/>
      <c r="V262" s="602"/>
      <c r="W262" s="602"/>
      <c r="X262" s="602"/>
      <c r="Y262" s="602"/>
      <c r="Z262" s="602"/>
      <c r="AA262" s="602"/>
      <c r="AB262" s="602"/>
      <c r="AC262" s="602"/>
      <c r="AD262" s="602"/>
      <c r="AE262" s="602"/>
      <c r="AF262" s="602"/>
      <c r="AG262" s="602"/>
      <c r="AH262" s="602"/>
      <c r="AI262" s="602"/>
      <c r="AJ262" s="602"/>
      <c r="AK262" s="602"/>
      <c r="AL262" s="602"/>
      <c r="AM262" s="602"/>
      <c r="AN262" s="602"/>
      <c r="AO262" s="602"/>
      <c r="AP262" s="602"/>
      <c r="AQ262" s="602"/>
      <c r="AR262" s="602"/>
      <c r="AS262" s="602"/>
      <c r="AT262" s="602"/>
      <c r="AU262" s="602"/>
      <c r="AV262" s="602"/>
      <c r="AW262" s="602"/>
      <c r="AX262" s="602"/>
      <c r="AY262" s="602"/>
      <c r="AZ262" s="602"/>
      <c r="BA262" s="602"/>
    </row>
    <row r="263" spans="2:53">
      <c r="B263" s="602"/>
      <c r="C263" s="1107">
        <v>2025</v>
      </c>
      <c r="D263" s="1108">
        <v>84.053105996878713</v>
      </c>
      <c r="E263" s="1108">
        <v>43.418156429745736</v>
      </c>
      <c r="F263" s="1108">
        <v>20.782407107600484</v>
      </c>
      <c r="G263" s="1108">
        <v>69.823533715917179</v>
      </c>
      <c r="H263" s="1108">
        <v>103.59292392409625</v>
      </c>
      <c r="I263" s="1108">
        <v>103.59292392409625</v>
      </c>
      <c r="J263" s="1108">
        <v>105.75633643992825</v>
      </c>
      <c r="K263" s="1108">
        <v>101.00459292219497</v>
      </c>
      <c r="L263" s="1108">
        <v>64.464339558720255</v>
      </c>
      <c r="M263" s="1108">
        <v>74.521958481781198</v>
      </c>
      <c r="N263" s="1108">
        <v>51.054650583706497</v>
      </c>
      <c r="O263" s="1108">
        <v>45.031082475712807</v>
      </c>
      <c r="P263" s="602"/>
      <c r="Q263" s="602"/>
      <c r="R263" s="602"/>
      <c r="S263" s="602"/>
      <c r="T263" s="602"/>
      <c r="U263" s="602"/>
      <c r="V263" s="602"/>
      <c r="W263" s="602"/>
      <c r="X263" s="602"/>
      <c r="Y263" s="602"/>
      <c r="Z263" s="602"/>
      <c r="AA263" s="602"/>
      <c r="AB263" s="602"/>
      <c r="AC263" s="602"/>
      <c r="AD263" s="602"/>
      <c r="AE263" s="602"/>
      <c r="AF263" s="602"/>
      <c r="AG263" s="602"/>
      <c r="AH263" s="602"/>
      <c r="AI263" s="602"/>
      <c r="AJ263" s="602"/>
      <c r="AK263" s="602"/>
      <c r="AL263" s="602"/>
      <c r="AM263" s="602"/>
      <c r="AN263" s="602"/>
      <c r="AO263" s="602"/>
      <c r="AP263" s="602"/>
      <c r="AQ263" s="602"/>
      <c r="AR263" s="602"/>
      <c r="AS263" s="602"/>
      <c r="AT263" s="602"/>
      <c r="AU263" s="602"/>
      <c r="AV263" s="602"/>
      <c r="AW263" s="602"/>
      <c r="AX263" s="602"/>
      <c r="AY263" s="602"/>
      <c r="AZ263" s="602"/>
      <c r="BA263" s="602"/>
    </row>
    <row r="264" spans="2:53">
      <c r="B264" s="602"/>
      <c r="C264" s="1107">
        <v>2026</v>
      </c>
      <c r="D264" s="1108">
        <v>86.676571233184688</v>
      </c>
      <c r="E264" s="1108">
        <v>44.641031928073701</v>
      </c>
      <c r="F264" s="1108">
        <v>20.995445244296899</v>
      </c>
      <c r="G264" s="1108">
        <v>72.446998952223154</v>
      </c>
      <c r="H264" s="1108">
        <v>106.21638916040223</v>
      </c>
      <c r="I264" s="1108">
        <v>106.21638916040223</v>
      </c>
      <c r="J264" s="1108">
        <v>108.37980167623422</v>
      </c>
      <c r="K264" s="1108">
        <v>103.62805815850095</v>
      </c>
      <c r="L264" s="1108">
        <v>64.710015549840818</v>
      </c>
      <c r="M264" s="1108">
        <v>74.805964431979135</v>
      </c>
      <c r="N264" s="1108">
        <v>51.365726036392111</v>
      </c>
      <c r="O264" s="1108">
        <v>45.279976467601358</v>
      </c>
      <c r="P264" s="602"/>
      <c r="Q264" s="602"/>
      <c r="R264" s="602"/>
      <c r="S264" s="602"/>
      <c r="T264" s="602"/>
      <c r="U264" s="602"/>
      <c r="V264" s="602"/>
      <c r="W264" s="602"/>
      <c r="X264" s="602"/>
      <c r="Y264" s="602"/>
      <c r="Z264" s="602"/>
      <c r="AA264" s="602"/>
      <c r="AB264" s="602"/>
      <c r="AC264" s="602"/>
      <c r="AD264" s="602"/>
      <c r="AE264" s="602"/>
      <c r="AF264" s="602"/>
      <c r="AG264" s="602"/>
      <c r="AH264" s="602"/>
      <c r="AI264" s="602"/>
      <c r="AJ264" s="602"/>
      <c r="AK264" s="602"/>
      <c r="AL264" s="602"/>
      <c r="AM264" s="602"/>
      <c r="AN264" s="602"/>
      <c r="AO264" s="602"/>
      <c r="AP264" s="602"/>
      <c r="AQ264" s="602"/>
      <c r="AR264" s="602"/>
      <c r="AS264" s="602"/>
      <c r="AT264" s="602"/>
      <c r="AU264" s="602"/>
      <c r="AV264" s="602"/>
      <c r="AW264" s="602"/>
      <c r="AX264" s="602"/>
      <c r="AY264" s="602"/>
      <c r="AZ264" s="602"/>
      <c r="BA264" s="602"/>
    </row>
    <row r="265" spans="2:53">
      <c r="B265" s="602"/>
      <c r="C265" s="1107">
        <v>2027</v>
      </c>
      <c r="D265" s="1108">
        <v>88.186071195293991</v>
      </c>
      <c r="E265" s="1108">
        <v>45.825085716990088</v>
      </c>
      <c r="F265" s="1108">
        <v>21.195931843995432</v>
      </c>
      <c r="G265" s="1108">
        <v>73.956498914332457</v>
      </c>
      <c r="H265" s="1108">
        <v>107.72588912251153</v>
      </c>
      <c r="I265" s="1108">
        <v>107.72588912251153</v>
      </c>
      <c r="J265" s="1108">
        <v>109.88930163834353</v>
      </c>
      <c r="K265" s="1108">
        <v>105.13755812061025</v>
      </c>
      <c r="L265" s="1108">
        <v>64.955304437852263</v>
      </c>
      <c r="M265" s="1108">
        <v>75.089522883885408</v>
      </c>
      <c r="N265" s="1108">
        <v>51.677058261479885</v>
      </c>
      <c r="O265" s="1108">
        <v>45.528796659727412</v>
      </c>
      <c r="P265" s="602"/>
      <c r="Q265" s="602"/>
      <c r="R265" s="602"/>
      <c r="S265" s="602"/>
      <c r="T265" s="602"/>
      <c r="U265" s="602"/>
      <c r="V265" s="602"/>
      <c r="W265" s="602"/>
      <c r="X265" s="602"/>
      <c r="Y265" s="602"/>
      <c r="Z265" s="602"/>
      <c r="AA265" s="602"/>
      <c r="AB265" s="602"/>
      <c r="AC265" s="602"/>
      <c r="AD265" s="602"/>
      <c r="AE265" s="602"/>
      <c r="AF265" s="602"/>
      <c r="AG265" s="602"/>
      <c r="AH265" s="602"/>
      <c r="AI265" s="602"/>
      <c r="AJ265" s="602"/>
      <c r="AK265" s="602"/>
      <c r="AL265" s="602"/>
      <c r="AM265" s="602"/>
      <c r="AN265" s="602"/>
      <c r="AO265" s="602"/>
      <c r="AP265" s="602"/>
      <c r="AQ265" s="602"/>
      <c r="AR265" s="602"/>
      <c r="AS265" s="602"/>
      <c r="AT265" s="602"/>
      <c r="AU265" s="602"/>
      <c r="AV265" s="602"/>
      <c r="AW265" s="602"/>
      <c r="AX265" s="602"/>
      <c r="AY265" s="602"/>
      <c r="AZ265" s="602"/>
      <c r="BA265" s="602"/>
    </row>
    <row r="266" spans="2:53">
      <c r="B266" s="602"/>
      <c r="C266" s="1107">
        <v>2028</v>
      </c>
      <c r="D266" s="1108">
        <v>89.586356147981405</v>
      </c>
      <c r="E266" s="1108">
        <v>46.950294651080164</v>
      </c>
      <c r="F266" s="1108">
        <v>21.376250794374826</v>
      </c>
      <c r="G266" s="1108">
        <v>75.356783867019871</v>
      </c>
      <c r="H266" s="1108">
        <v>109.12617407519895</v>
      </c>
      <c r="I266" s="1108">
        <v>109.12617407519895</v>
      </c>
      <c r="J266" s="1108">
        <v>111.28958659103094</v>
      </c>
      <c r="K266" s="1108">
        <v>106.53784307329767</v>
      </c>
      <c r="L266" s="1108">
        <v>65.200194985641772</v>
      </c>
      <c r="M266" s="1108">
        <v>75.372620847191584</v>
      </c>
      <c r="N266" s="1108">
        <v>51.988642280065065</v>
      </c>
      <c r="O266" s="1108">
        <v>45.777543052090969</v>
      </c>
      <c r="P266" s="602"/>
      <c r="Q266" s="602"/>
      <c r="R266" s="602"/>
      <c r="S266" s="602"/>
      <c r="T266" s="602"/>
      <c r="U266" s="602"/>
      <c r="V266" s="602"/>
      <c r="W266" s="602"/>
      <c r="X266" s="602"/>
      <c r="Y266" s="602"/>
      <c r="Z266" s="602"/>
      <c r="AA266" s="602"/>
      <c r="AB266" s="602"/>
      <c r="AC266" s="602"/>
      <c r="AD266" s="602"/>
      <c r="AE266" s="602"/>
      <c r="AF266" s="602"/>
      <c r="AG266" s="602"/>
      <c r="AH266" s="602"/>
      <c r="AI266" s="602"/>
      <c r="AJ266" s="602"/>
      <c r="AK266" s="602"/>
      <c r="AL266" s="602"/>
      <c r="AM266" s="602"/>
      <c r="AN266" s="602"/>
      <c r="AO266" s="602"/>
      <c r="AP266" s="602"/>
      <c r="AQ266" s="602"/>
      <c r="AR266" s="602"/>
      <c r="AS266" s="602"/>
      <c r="AT266" s="602"/>
      <c r="AU266" s="602"/>
      <c r="AV266" s="602"/>
      <c r="AW266" s="602"/>
      <c r="AX266" s="602"/>
      <c r="AY266" s="602"/>
      <c r="AZ266" s="602"/>
      <c r="BA266" s="602"/>
    </row>
    <row r="267" spans="2:53">
      <c r="B267" s="602"/>
      <c r="C267" s="1107">
        <v>2029</v>
      </c>
      <c r="D267" s="1108">
        <v>90.92803677830058</v>
      </c>
      <c r="E267" s="1108">
        <v>48.047984271449039</v>
      </c>
      <c r="F267" s="1108">
        <v>21.548170886437006</v>
      </c>
      <c r="G267" s="1108">
        <v>76.698464497339046</v>
      </c>
      <c r="H267" s="1108">
        <v>110.46785470551812</v>
      </c>
      <c r="I267" s="1108">
        <v>110.46785470551812</v>
      </c>
      <c r="J267" s="1108">
        <v>112.63126722135011</v>
      </c>
      <c r="K267" s="1108">
        <v>107.87952370361684</v>
      </c>
      <c r="L267" s="1108">
        <v>65.444676055494327</v>
      </c>
      <c r="M267" s="1108">
        <v>75.65524544649486</v>
      </c>
      <c r="N267" s="1108">
        <v>52.300473165558273</v>
      </c>
      <c r="O267" s="1108">
        <v>46.02621564469203</v>
      </c>
      <c r="P267" s="602"/>
      <c r="Q267" s="602"/>
      <c r="R267" s="602"/>
      <c r="S267" s="602"/>
      <c r="T267" s="602"/>
      <c r="U267" s="602"/>
      <c r="V267" s="602"/>
      <c r="W267" s="602"/>
      <c r="X267" s="602"/>
      <c r="Y267" s="602"/>
      <c r="Z267" s="602"/>
      <c r="AA267" s="602"/>
      <c r="AB267" s="602"/>
      <c r="AC267" s="602"/>
      <c r="AD267" s="602"/>
      <c r="AE267" s="602"/>
      <c r="AF267" s="602"/>
      <c r="AG267" s="602"/>
      <c r="AH267" s="602"/>
      <c r="AI267" s="602"/>
      <c r="AJ267" s="602"/>
      <c r="AK267" s="602"/>
      <c r="AL267" s="602"/>
      <c r="AM267" s="602"/>
      <c r="AN267" s="602"/>
      <c r="AO267" s="602"/>
      <c r="AP267" s="602"/>
      <c r="AQ267" s="602"/>
      <c r="AR267" s="602"/>
      <c r="AS267" s="602"/>
      <c r="AT267" s="602"/>
      <c r="AU267" s="602"/>
      <c r="AV267" s="602"/>
      <c r="AW267" s="602"/>
      <c r="AX267" s="602"/>
      <c r="AY267" s="602"/>
      <c r="AZ267" s="602"/>
      <c r="BA267" s="602"/>
    </row>
    <row r="268" spans="2:53">
      <c r="B268" s="602"/>
      <c r="C268" s="1107">
        <v>2030</v>
      </c>
      <c r="D268" s="1108">
        <v>92.141387034323401</v>
      </c>
      <c r="E268" s="1108">
        <v>49.074729484141251</v>
      </c>
      <c r="F268" s="1108">
        <v>21.695318201462513</v>
      </c>
      <c r="G268" s="1108">
        <v>77.911814753361867</v>
      </c>
      <c r="H268" s="1108">
        <v>111.68120496154094</v>
      </c>
      <c r="I268" s="1108">
        <v>111.68120496154094</v>
      </c>
      <c r="J268" s="1108">
        <v>113.84461747737294</v>
      </c>
      <c r="K268" s="1108">
        <v>109.09287395963966</v>
      </c>
      <c r="L268" s="1108">
        <v>65.688736608355271</v>
      </c>
      <c r="M268" s="1108">
        <v>75.937383920445654</v>
      </c>
      <c r="N268" s="1108">
        <v>52.612546043058984</v>
      </c>
      <c r="O268" s="1108">
        <v>46.274814437530587</v>
      </c>
      <c r="P268" s="602"/>
      <c r="Q268" s="602"/>
      <c r="R268" s="602"/>
      <c r="S268" s="602"/>
      <c r="T268" s="602"/>
      <c r="U268" s="602"/>
      <c r="V268" s="602"/>
      <c r="W268" s="602"/>
      <c r="X268" s="602"/>
      <c r="Y268" s="602"/>
      <c r="Z268" s="602"/>
      <c r="AA268" s="602"/>
      <c r="AB268" s="602"/>
      <c r="AC268" s="602"/>
      <c r="AD268" s="602"/>
      <c r="AE268" s="602"/>
      <c r="AF268" s="602"/>
      <c r="AG268" s="602"/>
      <c r="AH268" s="602"/>
      <c r="AI268" s="602"/>
      <c r="AJ268" s="602"/>
      <c r="AK268" s="602"/>
      <c r="AL268" s="602"/>
      <c r="AM268" s="602"/>
      <c r="AN268" s="602"/>
      <c r="AO268" s="602"/>
      <c r="AP268" s="602"/>
      <c r="AQ268" s="602"/>
      <c r="AR268" s="602"/>
      <c r="AS268" s="602"/>
      <c r="AT268" s="602"/>
      <c r="AU268" s="602"/>
      <c r="AV268" s="602"/>
      <c r="AW268" s="602"/>
      <c r="AX268" s="602"/>
      <c r="AY268" s="602"/>
      <c r="AZ268" s="602"/>
      <c r="BA268" s="602"/>
    </row>
    <row r="269" spans="2:53">
      <c r="B269" s="602"/>
      <c r="C269" s="1107">
        <v>2031</v>
      </c>
      <c r="D269" s="1108">
        <v>93.692750413107319</v>
      </c>
      <c r="E269" s="1108">
        <v>50.22027708112531</v>
      </c>
      <c r="F269" s="1108">
        <v>21.767199086953433</v>
      </c>
      <c r="G269" s="1108">
        <v>79.463178132145785</v>
      </c>
      <c r="H269" s="1108">
        <v>113.23256834032486</v>
      </c>
      <c r="I269" s="1108">
        <v>113.23256834032486</v>
      </c>
      <c r="J269" s="1108">
        <v>115.39598085615685</v>
      </c>
      <c r="K269" s="1108">
        <v>110.64423733842358</v>
      </c>
      <c r="L269" s="1108">
        <v>65.884596633860156</v>
      </c>
      <c r="M269" s="1108">
        <v>76.163801701017505</v>
      </c>
      <c r="N269" s="1108">
        <v>52.875302226231177</v>
      </c>
      <c r="O269" s="1108">
        <v>46.428246784204831</v>
      </c>
      <c r="P269" s="602"/>
      <c r="Q269" s="602"/>
      <c r="R269" s="602"/>
      <c r="S269" s="602"/>
      <c r="T269" s="602"/>
      <c r="U269" s="602"/>
      <c r="V269" s="602"/>
      <c r="W269" s="602"/>
      <c r="X269" s="602"/>
      <c r="Y269" s="602"/>
      <c r="Z269" s="602"/>
      <c r="AA269" s="602"/>
      <c r="AB269" s="602"/>
      <c r="AC269" s="602"/>
      <c r="AD269" s="602"/>
      <c r="AE269" s="602"/>
      <c r="AF269" s="602"/>
      <c r="AG269" s="602"/>
      <c r="AH269" s="602"/>
      <c r="AI269" s="602"/>
      <c r="AJ269" s="602"/>
      <c r="AK269" s="602"/>
      <c r="AL269" s="602"/>
      <c r="AM269" s="602"/>
      <c r="AN269" s="602"/>
      <c r="AO269" s="602"/>
      <c r="AP269" s="602"/>
      <c r="AQ269" s="602"/>
      <c r="AR269" s="602"/>
      <c r="AS269" s="602"/>
      <c r="AT269" s="602"/>
      <c r="AU269" s="602"/>
      <c r="AV269" s="602"/>
      <c r="AW269" s="602"/>
      <c r="AX269" s="602"/>
      <c r="AY269" s="602"/>
      <c r="AZ269" s="602"/>
      <c r="BA269" s="602"/>
    </row>
    <row r="270" spans="2:53">
      <c r="B270" s="602"/>
      <c r="C270" s="1107">
        <v>2032</v>
      </c>
      <c r="D270" s="1108">
        <v>95.558328708367895</v>
      </c>
      <c r="E270" s="1108">
        <v>51.310437783572709</v>
      </c>
      <c r="F270" s="1108">
        <v>21.825017030148729</v>
      </c>
      <c r="G270" s="1108">
        <v>81.328756427406361</v>
      </c>
      <c r="H270" s="1108">
        <v>115.09814663558544</v>
      </c>
      <c r="I270" s="1108">
        <v>115.09814663558544</v>
      </c>
      <c r="J270" s="1108">
        <v>117.26155915141743</v>
      </c>
      <c r="K270" s="1108">
        <v>112.50981563368416</v>
      </c>
      <c r="L270" s="1108">
        <v>66.08036338926722</v>
      </c>
      <c r="M270" s="1108">
        <v>76.390111659646166</v>
      </c>
      <c r="N270" s="1108">
        <v>53.138403281373272</v>
      </c>
      <c r="O270" s="1108">
        <v>46.581596106146264</v>
      </c>
      <c r="P270" s="602"/>
      <c r="Q270" s="602"/>
      <c r="R270" s="602"/>
      <c r="S270" s="602"/>
      <c r="T270" s="602"/>
      <c r="U270" s="602"/>
      <c r="V270" s="602"/>
      <c r="W270" s="602"/>
      <c r="X270" s="602"/>
      <c r="Y270" s="602"/>
      <c r="Z270" s="602"/>
      <c r="AA270" s="602"/>
      <c r="AB270" s="602"/>
      <c r="AC270" s="602"/>
      <c r="AD270" s="602"/>
      <c r="AE270" s="602"/>
      <c r="AF270" s="602"/>
      <c r="AG270" s="602"/>
      <c r="AH270" s="602"/>
      <c r="AI270" s="602"/>
      <c r="AJ270" s="602"/>
      <c r="AK270" s="602"/>
      <c r="AL270" s="602"/>
      <c r="AM270" s="602"/>
      <c r="AN270" s="602"/>
      <c r="AO270" s="602"/>
      <c r="AP270" s="602"/>
      <c r="AQ270" s="602"/>
      <c r="AR270" s="602"/>
      <c r="AS270" s="602"/>
      <c r="AT270" s="602"/>
      <c r="AU270" s="602"/>
      <c r="AV270" s="602"/>
      <c r="AW270" s="602"/>
      <c r="AX270" s="602"/>
      <c r="AY270" s="602"/>
      <c r="AZ270" s="602"/>
      <c r="BA270" s="602"/>
    </row>
    <row r="271" spans="2:53">
      <c r="B271" s="602"/>
      <c r="C271" s="1107">
        <v>2033</v>
      </c>
      <c r="D271" s="1108">
        <v>97.341047888333435</v>
      </c>
      <c r="E271" s="1108">
        <v>52.371455269436716</v>
      </c>
      <c r="F271" s="1108">
        <v>21.878276139633737</v>
      </c>
      <c r="G271" s="1108">
        <v>83.111475607371901</v>
      </c>
      <c r="H271" s="1108">
        <v>116.88086581555098</v>
      </c>
      <c r="I271" s="1108">
        <v>116.88086581555098</v>
      </c>
      <c r="J271" s="1108">
        <v>119.04427833138297</v>
      </c>
      <c r="K271" s="1108">
        <v>114.2925348136497</v>
      </c>
      <c r="L271" s="1108">
        <v>66.276021603357506</v>
      </c>
      <c r="M271" s="1108">
        <v>76.616296142522543</v>
      </c>
      <c r="N271" s="1108">
        <v>53.40184179508779</v>
      </c>
      <c r="O271" s="1108">
        <v>46.73486240335491</v>
      </c>
      <c r="P271" s="602"/>
      <c r="Q271" s="602"/>
      <c r="R271" s="602"/>
      <c r="S271" s="602"/>
      <c r="T271" s="602"/>
      <c r="U271" s="602"/>
      <c r="V271" s="602"/>
      <c r="W271" s="602"/>
      <c r="X271" s="602"/>
      <c r="Y271" s="602"/>
      <c r="Z271" s="602"/>
      <c r="AA271" s="602"/>
      <c r="AB271" s="602"/>
      <c r="AC271" s="602"/>
      <c r="AD271" s="602"/>
      <c r="AE271" s="602"/>
      <c r="AF271" s="602"/>
      <c r="AG271" s="602"/>
      <c r="AH271" s="602"/>
      <c r="AI271" s="602"/>
      <c r="AJ271" s="602"/>
      <c r="AK271" s="602"/>
      <c r="AL271" s="602"/>
      <c r="AM271" s="602"/>
      <c r="AN271" s="602"/>
      <c r="AO271" s="602"/>
      <c r="AP271" s="602"/>
      <c r="AQ271" s="602"/>
      <c r="AR271" s="602"/>
      <c r="AS271" s="602"/>
      <c r="AT271" s="602"/>
      <c r="AU271" s="602"/>
      <c r="AV271" s="602"/>
      <c r="AW271" s="602"/>
      <c r="AX271" s="602"/>
      <c r="AY271" s="602"/>
      <c r="AZ271" s="602"/>
      <c r="BA271" s="602"/>
    </row>
    <row r="272" spans="2:53">
      <c r="B272" s="602"/>
      <c r="C272" s="1107">
        <v>2034</v>
      </c>
      <c r="D272" s="1108">
        <v>99.002693402790925</v>
      </c>
      <c r="E272" s="1108">
        <v>53.379487378305292</v>
      </c>
      <c r="F272" s="1108">
        <v>21.917992887383534</v>
      </c>
      <c r="G272" s="1108">
        <v>84.773121121829391</v>
      </c>
      <c r="H272" s="1108">
        <v>118.54251133000847</v>
      </c>
      <c r="I272" s="1108">
        <v>118.54251133000847</v>
      </c>
      <c r="J272" s="1108">
        <v>120.70592384584046</v>
      </c>
      <c r="K272" s="1108">
        <v>115.95418032810719</v>
      </c>
      <c r="L272" s="1108">
        <v>66.471556138902102</v>
      </c>
      <c r="M272" s="1108">
        <v>76.842337650732446</v>
      </c>
      <c r="N272" s="1108">
        <v>53.665610427022969</v>
      </c>
      <c r="O272" s="1108">
        <v>46.888045675830739</v>
      </c>
      <c r="P272" s="602"/>
      <c r="Q272" s="602"/>
      <c r="R272" s="602"/>
      <c r="S272" s="602"/>
      <c r="T272" s="602"/>
      <c r="U272" s="602"/>
      <c r="V272" s="602"/>
      <c r="W272" s="602"/>
      <c r="X272" s="602"/>
      <c r="Y272" s="602"/>
      <c r="Z272" s="602"/>
      <c r="AA272" s="602"/>
      <c r="AB272" s="602"/>
      <c r="AC272" s="602"/>
      <c r="AD272" s="602"/>
      <c r="AE272" s="602"/>
      <c r="AF272" s="602"/>
      <c r="AG272" s="602"/>
      <c r="AH272" s="602"/>
      <c r="AI272" s="602"/>
      <c r="AJ272" s="602"/>
      <c r="AK272" s="602"/>
      <c r="AL272" s="602"/>
      <c r="AM272" s="602"/>
      <c r="AN272" s="602"/>
      <c r="AO272" s="602"/>
      <c r="AP272" s="602"/>
      <c r="AQ272" s="602"/>
      <c r="AR272" s="602"/>
      <c r="AS272" s="602"/>
      <c r="AT272" s="602"/>
      <c r="AU272" s="602"/>
      <c r="AV272" s="602"/>
      <c r="AW272" s="602"/>
      <c r="AX272" s="602"/>
      <c r="AY272" s="602"/>
      <c r="AZ272" s="602"/>
      <c r="BA272" s="602"/>
    </row>
    <row r="273" spans="2:53">
      <c r="B273" s="602"/>
      <c r="C273" s="1107">
        <v>2035</v>
      </c>
      <c r="D273" s="1108">
        <v>100.59799469913287</v>
      </c>
      <c r="E273" s="1108">
        <v>54.366646432213557</v>
      </c>
      <c r="F273" s="1108">
        <v>21.9556878669204</v>
      </c>
      <c r="G273" s="1108">
        <v>86.368422418171335</v>
      </c>
      <c r="H273" s="1108">
        <v>120.13781262635041</v>
      </c>
      <c r="I273" s="1108">
        <v>120.13781262635041</v>
      </c>
      <c r="J273" s="1108">
        <v>122.3012251421824</v>
      </c>
      <c r="K273" s="1108">
        <v>117.54948162444913</v>
      </c>
      <c r="L273" s="1108">
        <v>66.66695199165018</v>
      </c>
      <c r="M273" s="1108">
        <v>77.068218839086825</v>
      </c>
      <c r="N273" s="1108">
        <v>53.929701909080514</v>
      </c>
      <c r="O273" s="1108">
        <v>47.041145923573744</v>
      </c>
      <c r="P273" s="602"/>
      <c r="Q273" s="602"/>
      <c r="R273" s="602"/>
      <c r="S273" s="602"/>
      <c r="T273" s="602"/>
      <c r="U273" s="602"/>
      <c r="V273" s="602"/>
      <c r="W273" s="602"/>
      <c r="X273" s="602"/>
      <c r="Y273" s="602"/>
      <c r="Z273" s="602"/>
      <c r="AA273" s="602"/>
      <c r="AB273" s="602"/>
      <c r="AC273" s="602"/>
      <c r="AD273" s="602"/>
      <c r="AE273" s="602"/>
      <c r="AF273" s="602"/>
      <c r="AG273" s="602"/>
      <c r="AH273" s="602"/>
      <c r="AI273" s="602"/>
      <c r="AJ273" s="602"/>
      <c r="AK273" s="602"/>
      <c r="AL273" s="602"/>
      <c r="AM273" s="602"/>
      <c r="AN273" s="602"/>
      <c r="AO273" s="602"/>
      <c r="AP273" s="602"/>
      <c r="AQ273" s="602"/>
      <c r="AR273" s="602"/>
      <c r="AS273" s="602"/>
      <c r="AT273" s="602"/>
      <c r="AU273" s="602"/>
      <c r="AV273" s="602"/>
      <c r="AW273" s="602"/>
      <c r="AX273" s="602"/>
      <c r="AY273" s="602"/>
      <c r="AZ273" s="602"/>
      <c r="BA273" s="602"/>
    </row>
    <row r="274" spans="2:53">
      <c r="B274" s="602"/>
      <c r="C274" s="1107">
        <v>2036</v>
      </c>
      <c r="D274" s="1108">
        <v>102.09020115332861</v>
      </c>
      <c r="E274" s="1108">
        <v>56.021566478043873</v>
      </c>
      <c r="F274" s="1108">
        <v>22.029714738820417</v>
      </c>
      <c r="G274" s="1108">
        <v>87.860628872367073</v>
      </c>
      <c r="H274" s="1108">
        <v>121.63001908054615</v>
      </c>
      <c r="I274" s="1108">
        <v>121.63001908054615</v>
      </c>
      <c r="J274" s="1108">
        <v>123.79343159637814</v>
      </c>
      <c r="K274" s="1108">
        <v>119.04168807864487</v>
      </c>
      <c r="L274" s="1108">
        <v>66.829694828730965</v>
      </c>
      <c r="M274" s="1108">
        <v>77.256352542637686</v>
      </c>
      <c r="N274" s="1108">
        <v>54.174250889852274</v>
      </c>
      <c r="O274" s="1108">
        <v>47.184184641373889</v>
      </c>
      <c r="P274" s="602"/>
      <c r="Q274" s="602"/>
      <c r="R274" s="602"/>
      <c r="S274" s="602"/>
      <c r="T274" s="602"/>
      <c r="U274" s="602"/>
      <c r="V274" s="602"/>
      <c r="W274" s="602"/>
      <c r="X274" s="602"/>
      <c r="Y274" s="602"/>
      <c r="Z274" s="602"/>
      <c r="AA274" s="602"/>
      <c r="AB274" s="602"/>
      <c r="AC274" s="602"/>
      <c r="AD274" s="602"/>
      <c r="AE274" s="602"/>
      <c r="AF274" s="602"/>
      <c r="AG274" s="602"/>
      <c r="AH274" s="602"/>
      <c r="AI274" s="602"/>
      <c r="AJ274" s="602"/>
      <c r="AK274" s="602"/>
      <c r="AL274" s="602"/>
      <c r="AM274" s="602"/>
      <c r="AN274" s="602"/>
      <c r="AO274" s="602"/>
      <c r="AP274" s="602"/>
      <c r="AQ274" s="602"/>
      <c r="AR274" s="602"/>
      <c r="AS274" s="602"/>
      <c r="AT274" s="602"/>
      <c r="AU274" s="602"/>
      <c r="AV274" s="602"/>
      <c r="AW274" s="602"/>
      <c r="AX274" s="602"/>
      <c r="AY274" s="602"/>
      <c r="AZ274" s="602"/>
      <c r="BA274" s="602"/>
    </row>
    <row r="275" spans="2:53">
      <c r="B275" s="602"/>
      <c r="C275" s="1107">
        <v>2037</v>
      </c>
      <c r="D275" s="1108">
        <v>103.53602848432692</v>
      </c>
      <c r="E275" s="1108">
        <v>56.643484305507364</v>
      </c>
      <c r="F275" s="1108">
        <v>22.099296654325173</v>
      </c>
      <c r="G275" s="1108">
        <v>89.306456203365386</v>
      </c>
      <c r="H275" s="1108">
        <v>123.07584641154446</v>
      </c>
      <c r="I275" s="1108">
        <v>123.07584641154446</v>
      </c>
      <c r="J275" s="1108">
        <v>125.23925892737645</v>
      </c>
      <c r="K275" s="1108">
        <v>120.48751540964318</v>
      </c>
      <c r="L275" s="1108">
        <v>66.992074665035901</v>
      </c>
      <c r="M275" s="1108">
        <v>77.444066610636042</v>
      </c>
      <c r="N275" s="1108">
        <v>54.41888572733636</v>
      </c>
      <c r="O275" s="1108">
        <v>47.327158784381858</v>
      </c>
      <c r="P275" s="602"/>
      <c r="Q275" s="602"/>
      <c r="R275" s="602"/>
      <c r="S275" s="602"/>
      <c r="T275" s="602"/>
      <c r="U275" s="602"/>
      <c r="V275" s="602"/>
      <c r="W275" s="602"/>
      <c r="X275" s="602"/>
      <c r="Y275" s="602"/>
      <c r="Z275" s="602"/>
      <c r="AA275" s="602"/>
      <c r="AB275" s="602"/>
      <c r="AC275" s="602"/>
      <c r="AD275" s="602"/>
      <c r="AE275" s="602"/>
      <c r="AF275" s="602"/>
      <c r="AG275" s="602"/>
      <c r="AH275" s="602"/>
      <c r="AI275" s="602"/>
      <c r="AJ275" s="602"/>
      <c r="AK275" s="602"/>
      <c r="AL275" s="602"/>
      <c r="AM275" s="602"/>
      <c r="AN275" s="602"/>
      <c r="AO275" s="602"/>
      <c r="AP275" s="602"/>
      <c r="AQ275" s="602"/>
      <c r="AR275" s="602"/>
      <c r="AS275" s="602"/>
      <c r="AT275" s="602"/>
      <c r="AU275" s="602"/>
      <c r="AV275" s="602"/>
      <c r="AW275" s="602"/>
      <c r="AX275" s="602"/>
      <c r="AY275" s="602"/>
      <c r="AZ275" s="602"/>
      <c r="BA275" s="602"/>
    </row>
    <row r="276" spans="2:53">
      <c r="B276" s="602"/>
      <c r="C276" s="1107">
        <v>2038</v>
      </c>
      <c r="D276" s="1108">
        <v>104.86648319780612</v>
      </c>
      <c r="E276" s="1108">
        <v>57.206292482675018</v>
      </c>
      <c r="F276" s="1108">
        <v>22.153632116105896</v>
      </c>
      <c r="G276" s="1108">
        <v>90.636910916844585</v>
      </c>
      <c r="H276" s="1108">
        <v>124.40630112502366</v>
      </c>
      <c r="I276" s="1108">
        <v>124.40630112502366</v>
      </c>
      <c r="J276" s="1108">
        <v>126.56971364085565</v>
      </c>
      <c r="K276" s="1108">
        <v>121.81797012312238</v>
      </c>
      <c r="L276" s="1108">
        <v>67.154082323490499</v>
      </c>
      <c r="M276" s="1108">
        <v>77.631350434215534</v>
      </c>
      <c r="N276" s="1108">
        <v>54.663599201289209</v>
      </c>
      <c r="O276" s="1108">
        <v>47.470068352597629</v>
      </c>
      <c r="P276" s="602"/>
      <c r="Q276" s="602"/>
      <c r="R276" s="602"/>
      <c r="S276" s="602"/>
      <c r="T276" s="602"/>
      <c r="U276" s="602"/>
      <c r="V276" s="602"/>
      <c r="W276" s="602"/>
      <c r="X276" s="602"/>
      <c r="Y276" s="602"/>
      <c r="Z276" s="602"/>
      <c r="AA276" s="602"/>
      <c r="AB276" s="602"/>
      <c r="AC276" s="602"/>
      <c r="AD276" s="602"/>
      <c r="AE276" s="602"/>
      <c r="AF276" s="602"/>
      <c r="AG276" s="602"/>
      <c r="AH276" s="602"/>
      <c r="AI276" s="602"/>
      <c r="AJ276" s="602"/>
      <c r="AK276" s="602"/>
      <c r="AL276" s="602"/>
      <c r="AM276" s="602"/>
      <c r="AN276" s="602"/>
      <c r="AO276" s="602"/>
      <c r="AP276" s="602"/>
      <c r="AQ276" s="602"/>
      <c r="AR276" s="602"/>
      <c r="AS276" s="602"/>
      <c r="AT276" s="602"/>
      <c r="AU276" s="602"/>
      <c r="AV276" s="602"/>
      <c r="AW276" s="602"/>
      <c r="AX276" s="602"/>
      <c r="AY276" s="602"/>
      <c r="AZ276" s="602"/>
      <c r="BA276" s="602"/>
    </row>
    <row r="277" spans="2:53">
      <c r="B277" s="602"/>
      <c r="C277" s="1107">
        <v>2039</v>
      </c>
      <c r="D277" s="1108">
        <v>106.13404097693454</v>
      </c>
      <c r="E277" s="1108">
        <v>57.740541471904386</v>
      </c>
      <c r="F277" s="1108">
        <v>22.203402762241502</v>
      </c>
      <c r="G277" s="1108">
        <v>91.904468695973009</v>
      </c>
      <c r="H277" s="1108">
        <v>125.67385890415208</v>
      </c>
      <c r="I277" s="1108">
        <v>125.67385890415208</v>
      </c>
      <c r="J277" s="1108">
        <v>127.83727141998408</v>
      </c>
      <c r="K277" s="1108">
        <v>123.0855279022508</v>
      </c>
      <c r="L277" s="1108">
        <v>67.315708706874133</v>
      </c>
      <c r="M277" s="1108">
        <v>77.818193496822346</v>
      </c>
      <c r="N277" s="1108">
        <v>54.908384160416688</v>
      </c>
      <c r="O277" s="1108">
        <v>47.612913346021223</v>
      </c>
      <c r="P277" s="602"/>
      <c r="Q277" s="602"/>
      <c r="R277" s="602"/>
      <c r="S277" s="602"/>
      <c r="T277" s="602"/>
      <c r="U277" s="602"/>
      <c r="V277" s="602"/>
      <c r="W277" s="602"/>
      <c r="X277" s="602"/>
      <c r="Y277" s="602"/>
      <c r="Z277" s="602"/>
      <c r="AA277" s="602"/>
      <c r="AB277" s="602"/>
      <c r="AC277" s="602"/>
      <c r="AD277" s="602"/>
      <c r="AE277" s="602"/>
      <c r="AF277" s="602"/>
      <c r="AG277" s="602"/>
      <c r="AH277" s="602"/>
      <c r="AI277" s="602"/>
      <c r="AJ277" s="602"/>
      <c r="AK277" s="602"/>
      <c r="AL277" s="602"/>
      <c r="AM277" s="602"/>
      <c r="AN277" s="602"/>
      <c r="AO277" s="602"/>
      <c r="AP277" s="602"/>
      <c r="AQ277" s="602"/>
      <c r="AR277" s="602"/>
      <c r="AS277" s="602"/>
      <c r="AT277" s="602"/>
      <c r="AU277" s="602"/>
      <c r="AV277" s="602"/>
      <c r="AW277" s="602"/>
      <c r="AX277" s="602"/>
      <c r="AY277" s="602"/>
      <c r="AZ277" s="602"/>
      <c r="BA277" s="602"/>
    </row>
    <row r="278" spans="2:53">
      <c r="B278" s="602"/>
      <c r="C278" s="1107">
        <v>2040</v>
      </c>
      <c r="D278" s="1108">
        <v>107.30502693993807</v>
      </c>
      <c r="E278" s="1108">
        <v>58.226230553747364</v>
      </c>
      <c r="F278" s="1108">
        <v>22.241349337329673</v>
      </c>
      <c r="G278" s="1108">
        <v>93.07545465897654</v>
      </c>
      <c r="H278" s="1108">
        <v>126.84484486715562</v>
      </c>
      <c r="I278" s="1108">
        <v>126.84484486715562</v>
      </c>
      <c r="J278" s="1108">
        <v>129.00825738298761</v>
      </c>
      <c r="K278" s="1108">
        <v>124.25651386525433</v>
      </c>
      <c r="L278" s="1108">
        <v>67.476944797280851</v>
      </c>
      <c r="M278" s="1108">
        <v>78.004585373591794</v>
      </c>
      <c r="N278" s="1108">
        <v>55.153233521655096</v>
      </c>
      <c r="O278" s="1108">
        <v>47.755693764652648</v>
      </c>
      <c r="P278" s="602"/>
      <c r="Q278" s="602"/>
      <c r="R278" s="602"/>
      <c r="S278" s="602"/>
      <c r="T278" s="602"/>
      <c r="U278" s="602"/>
      <c r="V278" s="602"/>
      <c r="W278" s="602"/>
      <c r="X278" s="602"/>
      <c r="Y278" s="602"/>
      <c r="Z278" s="602"/>
      <c r="AA278" s="602"/>
      <c r="AB278" s="602"/>
      <c r="AC278" s="602"/>
      <c r="AD278" s="602"/>
      <c r="AE278" s="602"/>
      <c r="AF278" s="602"/>
      <c r="AG278" s="602"/>
      <c r="AH278" s="602"/>
      <c r="AI278" s="602"/>
      <c r="AJ278" s="602"/>
      <c r="AK278" s="602"/>
      <c r="AL278" s="602"/>
      <c r="AM278" s="602"/>
      <c r="AN278" s="602"/>
      <c r="AO278" s="602"/>
      <c r="AP278" s="602"/>
      <c r="AQ278" s="602"/>
      <c r="AR278" s="602"/>
      <c r="AS278" s="602"/>
      <c r="AT278" s="602"/>
      <c r="AU278" s="602"/>
      <c r="AV278" s="602"/>
      <c r="AW278" s="602"/>
      <c r="AX278" s="602"/>
      <c r="AY278" s="602"/>
      <c r="AZ278" s="602"/>
      <c r="BA278" s="602"/>
    </row>
    <row r="279" spans="2:53" ht="14">
      <c r="B279" s="602"/>
      <c r="C279" s="569" t="s">
        <v>836</v>
      </c>
      <c r="D279" s="485"/>
      <c r="E279" s="485"/>
      <c r="G279" s="485"/>
      <c r="H279" s="485"/>
      <c r="I279" s="485"/>
      <c r="J279" s="485"/>
      <c r="K279" s="485"/>
      <c r="L279" s="485"/>
      <c r="M279" s="485"/>
      <c r="N279" s="485"/>
      <c r="O279" s="485"/>
      <c r="P279" s="602"/>
      <c r="Q279" s="602"/>
      <c r="R279" s="602"/>
      <c r="S279" s="602"/>
      <c r="T279" s="602"/>
      <c r="U279" s="602"/>
      <c r="V279" s="602"/>
      <c r="W279" s="602"/>
      <c r="X279" s="602"/>
      <c r="Y279" s="602"/>
      <c r="Z279" s="602"/>
      <c r="AA279" s="602"/>
      <c r="AB279" s="602"/>
      <c r="AC279" s="602"/>
      <c r="AD279" s="602"/>
      <c r="AE279" s="602"/>
      <c r="AF279" s="602"/>
      <c r="AG279" s="602"/>
      <c r="AH279" s="602"/>
      <c r="AI279" s="602"/>
      <c r="AJ279" s="602"/>
      <c r="AK279" s="602"/>
      <c r="AL279" s="602"/>
      <c r="AM279" s="602"/>
      <c r="AN279" s="602"/>
      <c r="AO279" s="602"/>
      <c r="AP279" s="602"/>
      <c r="AQ279" s="602"/>
      <c r="AR279" s="602"/>
      <c r="AS279" s="602"/>
      <c r="AT279" s="602"/>
      <c r="AU279" s="602"/>
      <c r="AV279" s="602"/>
      <c r="AW279" s="602"/>
      <c r="AX279" s="602"/>
      <c r="AY279" s="602"/>
      <c r="AZ279" s="602"/>
      <c r="BA279" s="602"/>
    </row>
    <row r="280" spans="2:53">
      <c r="B280" s="602"/>
      <c r="C280" s="482"/>
      <c r="D280" s="485"/>
      <c r="E280" s="485"/>
      <c r="G280" s="485"/>
      <c r="H280" s="485"/>
      <c r="I280" s="485"/>
      <c r="J280" s="485"/>
      <c r="K280" s="485"/>
      <c r="L280" s="485"/>
      <c r="M280" s="485"/>
      <c r="N280" s="485"/>
      <c r="O280" s="485"/>
      <c r="P280" s="602"/>
      <c r="Q280" s="602"/>
      <c r="R280" s="602"/>
      <c r="S280" s="602"/>
      <c r="T280" s="602"/>
      <c r="U280" s="602"/>
      <c r="V280" s="602"/>
      <c r="W280" s="602"/>
      <c r="X280" s="602"/>
      <c r="Y280" s="602"/>
      <c r="Z280" s="602"/>
      <c r="AA280" s="602"/>
      <c r="AB280" s="602"/>
      <c r="AC280" s="602"/>
      <c r="AD280" s="602"/>
      <c r="AE280" s="602"/>
      <c r="AF280" s="602"/>
      <c r="AG280" s="602"/>
      <c r="AH280" s="602"/>
      <c r="AI280" s="602"/>
      <c r="AJ280" s="602"/>
      <c r="AK280" s="602"/>
      <c r="AL280" s="602"/>
      <c r="AM280" s="602"/>
      <c r="AN280" s="602"/>
      <c r="AO280" s="602"/>
      <c r="AP280" s="602"/>
      <c r="AQ280" s="602"/>
      <c r="AR280" s="602"/>
      <c r="AS280" s="602"/>
      <c r="AT280" s="602"/>
      <c r="AU280" s="602"/>
      <c r="AV280" s="602"/>
      <c r="AW280" s="602"/>
      <c r="AX280" s="602"/>
      <c r="AY280" s="602"/>
      <c r="AZ280" s="602"/>
      <c r="BA280" s="602"/>
    </row>
    <row r="281" spans="2:53">
      <c r="B281" s="602"/>
      <c r="C281" s="602"/>
      <c r="D281" s="602"/>
      <c r="G281" s="602"/>
      <c r="H281" s="602"/>
      <c r="I281" s="602"/>
      <c r="J281" s="602"/>
      <c r="K281" s="602"/>
      <c r="L281" s="602"/>
      <c r="M281" s="602"/>
      <c r="N281" s="602"/>
      <c r="O281" s="602"/>
      <c r="P281" s="602"/>
      <c r="Q281" s="602"/>
      <c r="R281" s="602"/>
      <c r="S281" s="602"/>
      <c r="T281" s="602"/>
      <c r="U281" s="602"/>
      <c r="V281" s="602"/>
      <c r="W281" s="602"/>
      <c r="X281" s="602"/>
      <c r="Y281" s="602"/>
      <c r="Z281" s="602"/>
      <c r="AA281" s="602"/>
      <c r="AB281" s="602"/>
      <c r="AC281" s="602"/>
      <c r="AD281" s="602"/>
      <c r="AE281" s="602"/>
      <c r="AF281" s="602"/>
      <c r="AG281" s="602"/>
      <c r="AH281" s="602"/>
      <c r="AI281" s="602"/>
      <c r="AJ281" s="602"/>
      <c r="AK281" s="602"/>
      <c r="AL281" s="602"/>
      <c r="AM281" s="602"/>
      <c r="AN281" s="602"/>
      <c r="AO281" s="602"/>
      <c r="AP281" s="602"/>
      <c r="AQ281" s="602"/>
      <c r="AR281" s="602"/>
      <c r="AS281" s="602"/>
      <c r="AT281" s="602"/>
      <c r="AU281" s="602"/>
      <c r="AV281" s="602"/>
      <c r="AW281" s="602"/>
      <c r="AX281" s="602"/>
      <c r="AY281" s="602"/>
      <c r="AZ281" s="602"/>
      <c r="BA281" s="602"/>
    </row>
    <row r="282" spans="2:53">
      <c r="B282" s="602"/>
      <c r="C282" s="602"/>
      <c r="D282" s="602"/>
      <c r="G282" s="602"/>
      <c r="H282" s="602"/>
      <c r="I282" s="602"/>
      <c r="J282" s="602"/>
      <c r="K282" s="602"/>
      <c r="L282" s="602"/>
      <c r="M282" s="602"/>
      <c r="N282" s="602"/>
      <c r="O282" s="602"/>
      <c r="P282" s="602"/>
      <c r="Q282" s="602"/>
      <c r="R282" s="602"/>
      <c r="S282" s="602"/>
      <c r="T282" s="602"/>
      <c r="U282" s="602"/>
      <c r="V282" s="602"/>
      <c r="W282" s="602"/>
      <c r="X282" s="602"/>
      <c r="Y282" s="602"/>
      <c r="Z282" s="602"/>
      <c r="AA282" s="602"/>
      <c r="AB282" s="602"/>
      <c r="AC282" s="602"/>
      <c r="AD282" s="602"/>
      <c r="AE282" s="602"/>
      <c r="AF282" s="602"/>
      <c r="AG282" s="602"/>
      <c r="AH282" s="602"/>
      <c r="AI282" s="602"/>
      <c r="AJ282" s="602"/>
      <c r="AK282" s="602"/>
      <c r="AL282" s="602"/>
      <c r="AM282" s="602"/>
      <c r="AN282" s="602"/>
      <c r="AO282" s="602"/>
      <c r="AP282" s="602"/>
      <c r="AQ282" s="602"/>
      <c r="AR282" s="602"/>
      <c r="AS282" s="602"/>
      <c r="AT282" s="602"/>
      <c r="AU282" s="602"/>
      <c r="AV282" s="602"/>
      <c r="AW282" s="602"/>
      <c r="AX282" s="602"/>
      <c r="AY282" s="602"/>
      <c r="AZ282" s="602"/>
      <c r="BA282" s="602"/>
    </row>
    <row r="283" spans="2:53" ht="21">
      <c r="B283" s="602"/>
      <c r="C283" s="1109" t="s">
        <v>1620</v>
      </c>
      <c r="D283" s="602" t="s">
        <v>93</v>
      </c>
      <c r="E283" s="602" t="s">
        <v>41</v>
      </c>
      <c r="F283" s="602" t="s">
        <v>40</v>
      </c>
      <c r="G283" s="602" t="s">
        <v>44</v>
      </c>
      <c r="H283" s="602"/>
      <c r="I283" s="602" t="s">
        <v>45</v>
      </c>
      <c r="J283" s="602" t="s">
        <v>76</v>
      </c>
      <c r="K283" s="602" t="s">
        <v>79</v>
      </c>
      <c r="L283" s="602"/>
      <c r="M283" s="602" t="s">
        <v>72</v>
      </c>
      <c r="N283" s="602" t="s">
        <v>73</v>
      </c>
      <c r="O283" s="602" t="s">
        <v>43</v>
      </c>
      <c r="P283" s="602"/>
      <c r="Q283" s="602"/>
      <c r="R283" s="602"/>
      <c r="S283" s="602"/>
      <c r="T283" s="602"/>
      <c r="U283" s="602"/>
      <c r="V283" s="602"/>
      <c r="W283" s="602"/>
      <c r="X283" s="602"/>
      <c r="Y283" s="602"/>
      <c r="Z283" s="602"/>
      <c r="AA283" s="602"/>
      <c r="AB283" s="602"/>
      <c r="AC283" s="602"/>
      <c r="AD283" s="602"/>
      <c r="AE283" s="602"/>
      <c r="AF283" s="602"/>
      <c r="AG283" s="602"/>
      <c r="AH283" s="602"/>
      <c r="AI283" s="602"/>
      <c r="AJ283" s="602"/>
      <c r="AK283" s="602"/>
      <c r="AL283" s="602"/>
      <c r="AM283" s="602"/>
      <c r="AN283" s="602"/>
      <c r="AO283" s="602"/>
      <c r="AP283" s="602"/>
      <c r="AQ283" s="602"/>
      <c r="AR283" s="602"/>
      <c r="AS283" s="602"/>
      <c r="AT283" s="602"/>
      <c r="AU283" s="602"/>
      <c r="AV283" s="602"/>
      <c r="AW283" s="602"/>
      <c r="AX283" s="602"/>
      <c r="AY283" s="602"/>
      <c r="AZ283" s="602"/>
      <c r="BA283" s="602"/>
    </row>
    <row r="284" spans="2:53">
      <c r="B284" s="602"/>
      <c r="C284" s="1110" t="s">
        <v>827</v>
      </c>
      <c r="D284" s="1111"/>
      <c r="E284" s="1112"/>
      <c r="F284" s="1112"/>
      <c r="G284" s="1112"/>
      <c r="H284" s="1112"/>
      <c r="I284" s="1112"/>
      <c r="J284" s="1112"/>
      <c r="K284" s="1112"/>
      <c r="L284" s="1112"/>
      <c r="M284" s="1112"/>
      <c r="N284" s="1113"/>
      <c r="O284" s="1114"/>
      <c r="P284" s="602"/>
      <c r="Q284" s="602"/>
      <c r="R284" s="602"/>
      <c r="S284" s="602"/>
      <c r="T284" s="602"/>
      <c r="U284" s="602"/>
      <c r="V284" s="602"/>
      <c r="W284" s="602"/>
      <c r="X284" s="602"/>
      <c r="Y284" s="602"/>
      <c r="Z284" s="602"/>
      <c r="AA284" s="602"/>
      <c r="AB284" s="602"/>
      <c r="AC284" s="602"/>
      <c r="AD284" s="602"/>
      <c r="AE284" s="602"/>
      <c r="AF284" s="602"/>
      <c r="AG284" s="602"/>
      <c r="AH284" s="602"/>
      <c r="AI284" s="602"/>
      <c r="AJ284" s="602"/>
      <c r="AK284" s="602"/>
      <c r="AL284" s="602"/>
      <c r="AM284" s="602"/>
      <c r="AN284" s="602"/>
      <c r="AO284" s="602"/>
      <c r="AP284" s="602"/>
      <c r="AQ284" s="602"/>
      <c r="AR284" s="602"/>
      <c r="AS284" s="602"/>
      <c r="AT284" s="602"/>
      <c r="AU284" s="602"/>
      <c r="AV284" s="602"/>
      <c r="AW284" s="602"/>
      <c r="AX284" s="602"/>
      <c r="AY284" s="602"/>
      <c r="AZ284" s="602"/>
      <c r="BA284" s="602"/>
    </row>
    <row r="285" spans="2:53" ht="27" thickBot="1">
      <c r="B285" s="602"/>
      <c r="C285" s="1110"/>
      <c r="D285" s="1105" t="s">
        <v>411</v>
      </c>
      <c r="E285" s="1106" t="s">
        <v>405</v>
      </c>
      <c r="F285" s="1105" t="s">
        <v>410</v>
      </c>
      <c r="G285" s="1105" t="s">
        <v>830</v>
      </c>
      <c r="H285" s="1105" t="s">
        <v>831</v>
      </c>
      <c r="I285" s="1105" t="s">
        <v>51</v>
      </c>
      <c r="J285" s="1105" t="s">
        <v>832</v>
      </c>
      <c r="K285" s="1105" t="s">
        <v>195</v>
      </c>
      <c r="L285" s="1106" t="s">
        <v>833</v>
      </c>
      <c r="M285" s="1106" t="s">
        <v>834</v>
      </c>
      <c r="N285" s="1106" t="s">
        <v>835</v>
      </c>
      <c r="O285" s="1114" t="s">
        <v>403</v>
      </c>
      <c r="P285" s="1106" t="s">
        <v>1621</v>
      </c>
      <c r="Q285" s="602"/>
      <c r="R285" s="602"/>
      <c r="S285" s="602"/>
      <c r="T285" s="602"/>
      <c r="U285" s="602"/>
      <c r="V285" s="602"/>
      <c r="W285" s="602"/>
      <c r="X285" s="602"/>
      <c r="Y285" s="602"/>
      <c r="Z285" s="602"/>
      <c r="AA285" s="602"/>
      <c r="AB285" s="602"/>
      <c r="AC285" s="602"/>
      <c r="AD285" s="602"/>
      <c r="AE285" s="602"/>
      <c r="AF285" s="602"/>
      <c r="AG285" s="602"/>
      <c r="AH285" s="602"/>
      <c r="AI285" s="602"/>
      <c r="AJ285" s="602"/>
      <c r="AK285" s="602"/>
      <c r="AL285" s="602"/>
      <c r="AM285" s="602"/>
      <c r="AN285" s="602"/>
      <c r="AO285" s="602"/>
      <c r="AP285" s="602"/>
      <c r="AQ285" s="602"/>
      <c r="AR285" s="602"/>
      <c r="AS285" s="602"/>
      <c r="AT285" s="602"/>
      <c r="AU285" s="602"/>
      <c r="AV285" s="602"/>
      <c r="AW285" s="602"/>
      <c r="AX285" s="602"/>
      <c r="AY285" s="602"/>
      <c r="AZ285" s="602"/>
      <c r="BA285" s="602"/>
    </row>
    <row r="286" spans="2:53" ht="14" thickBot="1">
      <c r="B286" s="602"/>
      <c r="C286" s="1107">
        <v>2018</v>
      </c>
      <c r="D286" s="1108">
        <v>78.592912119302227</v>
      </c>
      <c r="E286" s="1115">
        <v>53.422183381850253</v>
      </c>
      <c r="F286" s="1115">
        <v>22.935796128023767</v>
      </c>
      <c r="G286" s="1115">
        <v>67.735141438725293</v>
      </c>
      <c r="H286" s="1115">
        <v>101.50107579472352</v>
      </c>
      <c r="I286" s="1108">
        <v>101.50107579472352</v>
      </c>
      <c r="J286" s="1108">
        <v>102.40107579472352</v>
      </c>
      <c r="K286" s="1108">
        <v>99.501075794723519</v>
      </c>
      <c r="L286" s="1108">
        <v>69.494890781791952</v>
      </c>
      <c r="M286" s="1108">
        <v>69.494890781791952</v>
      </c>
      <c r="N286" s="1108">
        <v>45.179472202489855</v>
      </c>
      <c r="O286" s="1116">
        <v>41.634898055339931</v>
      </c>
      <c r="P286" s="1108">
        <v>1.018306654608963</v>
      </c>
      <c r="Q286" s="602"/>
      <c r="R286" s="602"/>
      <c r="S286" s="602"/>
      <c r="T286" s="602"/>
      <c r="U286" s="602"/>
      <c r="V286" s="602"/>
      <c r="W286" s="602"/>
      <c r="X286" s="602"/>
      <c r="Y286" s="602"/>
      <c r="Z286" s="602"/>
      <c r="AA286" s="602"/>
      <c r="AB286" s="602"/>
      <c r="AC286" s="602"/>
      <c r="AD286" s="602"/>
      <c r="AE286" s="602"/>
      <c r="AF286" s="602"/>
      <c r="AG286" s="602"/>
      <c r="AH286" s="602"/>
      <c r="AI286" s="602"/>
      <c r="AJ286" s="602"/>
      <c r="AK286" s="602"/>
      <c r="AL286" s="602"/>
      <c r="AM286" s="602"/>
      <c r="AN286" s="602"/>
      <c r="AO286" s="602"/>
      <c r="AP286" s="602"/>
      <c r="AQ286" s="602"/>
      <c r="AR286" s="602"/>
      <c r="AS286" s="602"/>
      <c r="AT286" s="602"/>
      <c r="AU286" s="602"/>
      <c r="AV286" s="602"/>
      <c r="AW286" s="602"/>
      <c r="AX286" s="602"/>
      <c r="AY286" s="602"/>
      <c r="AZ286" s="602"/>
      <c r="BA286" s="602"/>
    </row>
    <row r="287" spans="2:53">
      <c r="B287" s="602"/>
      <c r="C287" s="1107">
        <v>2019</v>
      </c>
      <c r="D287" s="1108">
        <v>72.66780821917807</v>
      </c>
      <c r="E287" s="1115">
        <v>34.261011240620462</v>
      </c>
      <c r="F287" s="1115">
        <v>15.532766006190153</v>
      </c>
      <c r="G287" s="1115">
        <v>61.821029259474152</v>
      </c>
      <c r="H287" s="1115">
        <v>95.586963615472371</v>
      </c>
      <c r="I287" s="1108">
        <v>95.586963615472371</v>
      </c>
      <c r="J287" s="1108">
        <v>97.746963615472367</v>
      </c>
      <c r="K287" s="1108">
        <v>92.996963615472367</v>
      </c>
      <c r="L287" s="1108">
        <v>69.433019142282461</v>
      </c>
      <c r="M287" s="1108">
        <v>79.702433091587693</v>
      </c>
      <c r="N287" s="1108">
        <v>45.117600562980392</v>
      </c>
      <c r="O287" s="1116">
        <v>41.634898055339931</v>
      </c>
      <c r="P287" s="1108">
        <v>0.99989766317485917</v>
      </c>
      <c r="Q287" s="602"/>
      <c r="R287" s="602"/>
      <c r="S287" s="602"/>
      <c r="T287" s="602"/>
      <c r="U287" s="602"/>
      <c r="V287" s="602"/>
      <c r="W287" s="602"/>
      <c r="X287" s="602"/>
      <c r="Y287" s="602"/>
      <c r="Z287" s="602"/>
      <c r="AA287" s="602"/>
      <c r="AB287" s="602"/>
      <c r="AC287" s="602"/>
      <c r="AD287" s="602"/>
      <c r="AE287" s="602"/>
      <c r="AF287" s="602"/>
      <c r="AG287" s="602"/>
      <c r="AH287" s="602"/>
      <c r="AI287" s="602"/>
      <c r="AJ287" s="602"/>
      <c r="AK287" s="602"/>
      <c r="AL287" s="602"/>
      <c r="AM287" s="602"/>
      <c r="AN287" s="602"/>
      <c r="AO287" s="602"/>
      <c r="AP287" s="602"/>
      <c r="AQ287" s="602"/>
      <c r="AR287" s="602"/>
      <c r="AS287" s="602"/>
      <c r="AT287" s="602"/>
      <c r="AU287" s="602"/>
      <c r="AV287" s="602"/>
      <c r="AW287" s="602"/>
      <c r="AX287" s="602"/>
      <c r="AY287" s="602"/>
      <c r="AZ287" s="602"/>
      <c r="BA287" s="602"/>
    </row>
    <row r="288" spans="2:53">
      <c r="B288" s="602"/>
      <c r="C288" s="1107">
        <v>2020</v>
      </c>
      <c r="D288" s="1108">
        <v>71.191547947610658</v>
      </c>
      <c r="E288" s="1115">
        <v>33.397849986482257</v>
      </c>
      <c r="F288" s="1115">
        <v>12.929551889587877</v>
      </c>
      <c r="G288" s="1115">
        <v>60.341090730548601</v>
      </c>
      <c r="H288" s="1115">
        <v>94.107025086546813</v>
      </c>
      <c r="I288" s="1108">
        <v>94.107025086546813</v>
      </c>
      <c r="J288" s="1108">
        <v>96.267025086546809</v>
      </c>
      <c r="K288" s="1108">
        <v>91.517025086546809</v>
      </c>
      <c r="L288" s="1108">
        <v>59.910194122791161</v>
      </c>
      <c r="M288" s="1108">
        <v>70.05883849089301</v>
      </c>
      <c r="N288" s="1108">
        <v>45.248389703133633</v>
      </c>
      <c r="O288" s="1117">
        <v>41.962449107096752</v>
      </c>
      <c r="P288" s="1108">
        <v>0.97786502855281787</v>
      </c>
      <c r="Q288" s="602"/>
      <c r="R288" s="602"/>
      <c r="S288" s="602"/>
      <c r="T288" s="602"/>
      <c r="U288" s="602"/>
      <c r="V288" s="602"/>
      <c r="W288" s="602"/>
      <c r="X288" s="602"/>
      <c r="Y288" s="602"/>
      <c r="Z288" s="602"/>
      <c r="AA288" s="602"/>
      <c r="AB288" s="602"/>
      <c r="AC288" s="602"/>
      <c r="AD288" s="602"/>
      <c r="AE288" s="602"/>
      <c r="AF288" s="602"/>
      <c r="AG288" s="602"/>
      <c r="AH288" s="602"/>
      <c r="AI288" s="602"/>
      <c r="AJ288" s="602"/>
      <c r="AK288" s="602"/>
      <c r="AL288" s="602"/>
      <c r="AM288" s="602"/>
      <c r="AN288" s="602"/>
      <c r="AO288" s="602"/>
      <c r="AP288" s="602"/>
      <c r="AQ288" s="602"/>
      <c r="AR288" s="602"/>
      <c r="AS288" s="602"/>
      <c r="AT288" s="602"/>
      <c r="AU288" s="602"/>
      <c r="AV288" s="602"/>
      <c r="AW288" s="602"/>
      <c r="AX288" s="602"/>
      <c r="AY288" s="602"/>
      <c r="AZ288" s="602"/>
      <c r="BA288" s="602"/>
    </row>
    <row r="289" spans="2:53">
      <c r="B289" s="602"/>
      <c r="C289" s="1107">
        <v>2021</v>
      </c>
      <c r="D289" s="1108">
        <v>49.181117057429148</v>
      </c>
      <c r="E289" s="1115">
        <v>31.525290025438199</v>
      </c>
      <c r="F289" s="1115">
        <v>13.166058954324894</v>
      </c>
      <c r="G289" s="1115">
        <v>38.35700531918522</v>
      </c>
      <c r="H289" s="1115">
        <v>72.122939675183432</v>
      </c>
      <c r="I289" s="1108">
        <v>72.122939675183432</v>
      </c>
      <c r="J289" s="1108">
        <v>74.282939675183428</v>
      </c>
      <c r="K289" s="1108">
        <v>69.532939675183428</v>
      </c>
      <c r="L289" s="1108">
        <v>62.854344413402906</v>
      </c>
      <c r="M289" s="1108">
        <v>72.96988813207048</v>
      </c>
      <c r="N289" s="1108">
        <v>45.190250127598674</v>
      </c>
      <c r="O289" s="1117">
        <v>42.37591413450582</v>
      </c>
      <c r="P289" s="1108">
        <v>0.96452741381447771</v>
      </c>
      <c r="Q289" s="602"/>
      <c r="R289" s="602"/>
      <c r="S289" s="602"/>
      <c r="T289" s="602"/>
      <c r="U289" s="602"/>
      <c r="V289" s="602"/>
      <c r="W289" s="602"/>
      <c r="X289" s="602"/>
      <c r="Y289" s="602"/>
      <c r="Z289" s="602"/>
      <c r="AA289" s="602"/>
      <c r="AB289" s="602"/>
      <c r="AC289" s="602"/>
      <c r="AD289" s="602"/>
      <c r="AE289" s="602"/>
      <c r="AF289" s="602"/>
      <c r="AG289" s="602"/>
      <c r="AH289" s="602"/>
      <c r="AI289" s="602"/>
      <c r="AJ289" s="602"/>
      <c r="AK289" s="602"/>
      <c r="AL289" s="602"/>
      <c r="AM289" s="602"/>
      <c r="AN289" s="602"/>
      <c r="AO289" s="602"/>
      <c r="AP289" s="602"/>
      <c r="AQ289" s="602"/>
      <c r="AR289" s="602"/>
      <c r="AS289" s="602"/>
      <c r="AT289" s="602"/>
      <c r="AU289" s="602"/>
      <c r="AV289" s="602"/>
      <c r="AW289" s="602"/>
      <c r="AX289" s="602"/>
      <c r="AY289" s="602"/>
      <c r="AZ289" s="602"/>
      <c r="BA289" s="602"/>
    </row>
    <row r="290" spans="2:53">
      <c r="B290" s="602"/>
      <c r="C290" s="1107">
        <v>2022</v>
      </c>
      <c r="D290" s="1108">
        <v>52.581323432074825</v>
      </c>
      <c r="E290" s="1115">
        <v>32.762548621541896</v>
      </c>
      <c r="F290" s="1115">
        <v>13.673473481430243</v>
      </c>
      <c r="G290" s="1115">
        <v>41.765504189889249</v>
      </c>
      <c r="H290" s="1115">
        <v>75.531438545887454</v>
      </c>
      <c r="I290" s="1108">
        <v>75.531438545887454</v>
      </c>
      <c r="J290" s="1108">
        <v>77.691438545887451</v>
      </c>
      <c r="K290" s="1108">
        <v>72.941438545887451</v>
      </c>
      <c r="L290" s="1108">
        <v>63.172513966646889</v>
      </c>
      <c r="M290" s="1108">
        <v>73.266464764716645</v>
      </c>
      <c r="N290" s="1108">
        <v>45.392121473736516</v>
      </c>
      <c r="O290" s="1117">
        <v>42.791201303703261</v>
      </c>
      <c r="P290" s="1108">
        <v>0.94807328173912164</v>
      </c>
      <c r="Q290" s="602"/>
      <c r="R290" s="602"/>
      <c r="S290" s="602"/>
      <c r="T290" s="602"/>
      <c r="U290" s="602"/>
      <c r="V290" s="602"/>
      <c r="W290" s="602"/>
      <c r="X290" s="602"/>
      <c r="Y290" s="602"/>
      <c r="Z290" s="602"/>
      <c r="AA290" s="602"/>
      <c r="AB290" s="602"/>
      <c r="AC290" s="602"/>
      <c r="AD290" s="602"/>
      <c r="AE290" s="602"/>
      <c r="AF290" s="602"/>
      <c r="AG290" s="602"/>
      <c r="AH290" s="602"/>
      <c r="AI290" s="602"/>
      <c r="AJ290" s="602"/>
      <c r="AK290" s="602"/>
      <c r="AL290" s="602"/>
      <c r="AM290" s="602"/>
      <c r="AN290" s="602"/>
      <c r="AO290" s="602"/>
      <c r="AP290" s="602"/>
      <c r="AQ290" s="602"/>
      <c r="AR290" s="602"/>
      <c r="AS290" s="602"/>
      <c r="AT290" s="602"/>
      <c r="AU290" s="602"/>
      <c r="AV290" s="602"/>
      <c r="AW290" s="602"/>
      <c r="AX290" s="602"/>
      <c r="AY290" s="602"/>
      <c r="AZ290" s="602"/>
      <c r="BA290" s="602"/>
    </row>
    <row r="291" spans="2:53">
      <c r="B291" s="602"/>
      <c r="C291" s="1107">
        <v>2023</v>
      </c>
      <c r="D291" s="1108">
        <v>54.889966476332738</v>
      </c>
      <c r="E291" s="1115">
        <v>33.367688312875465</v>
      </c>
      <c r="F291" s="1115">
        <v>14.173926683886389</v>
      </c>
      <c r="G291" s="1115">
        <v>44.088588085044584</v>
      </c>
      <c r="H291" s="1115">
        <v>77.854522441042789</v>
      </c>
      <c r="I291" s="1108">
        <v>77.854522441042789</v>
      </c>
      <c r="J291" s="1108">
        <v>80.014522441042786</v>
      </c>
      <c r="K291" s="1108">
        <v>75.264522441042786</v>
      </c>
      <c r="L291" s="1108">
        <v>62.478874618815077</v>
      </c>
      <c r="M291" s="1108">
        <v>72.556552851440529</v>
      </c>
      <c r="N291" s="1108">
        <v>45.644433925671841</v>
      </c>
      <c r="O291" s="1117">
        <v>43.208184541451871</v>
      </c>
      <c r="P291" s="1108">
        <v>0.93311916436423892</v>
      </c>
      <c r="Q291" s="602"/>
      <c r="R291" s="602"/>
      <c r="S291" s="602"/>
      <c r="T291" s="602"/>
      <c r="U291" s="602"/>
      <c r="V291" s="602"/>
      <c r="W291" s="602"/>
      <c r="X291" s="602"/>
      <c r="Y291" s="602"/>
      <c r="Z291" s="602"/>
      <c r="AA291" s="602"/>
      <c r="AB291" s="602"/>
      <c r="AC291" s="602"/>
      <c r="AD291" s="602"/>
      <c r="AE291" s="602"/>
      <c r="AF291" s="602"/>
      <c r="AG291" s="602"/>
      <c r="AH291" s="602"/>
      <c r="AI291" s="602"/>
      <c r="AJ291" s="602"/>
      <c r="AK291" s="602"/>
      <c r="AL291" s="602"/>
      <c r="AM291" s="602"/>
      <c r="AN291" s="602"/>
      <c r="AO291" s="602"/>
      <c r="AP291" s="602"/>
      <c r="AQ291" s="602"/>
      <c r="AR291" s="602"/>
      <c r="AS291" s="602"/>
      <c r="AT291" s="602"/>
      <c r="AU291" s="602"/>
      <c r="AV291" s="602"/>
      <c r="AW291" s="602"/>
      <c r="AX291" s="602"/>
      <c r="AY291" s="602"/>
      <c r="AZ291" s="602"/>
      <c r="BA291" s="602"/>
    </row>
    <row r="292" spans="2:53">
      <c r="B292" s="602"/>
      <c r="C292" s="1107">
        <v>2024</v>
      </c>
      <c r="D292" s="1108">
        <v>56.568388062461416</v>
      </c>
      <c r="E292" s="1115">
        <v>33.567123920362071</v>
      </c>
      <c r="F292" s="1115">
        <v>14.64740072098045</v>
      </c>
      <c r="G292" s="1115">
        <v>45.786797230009718</v>
      </c>
      <c r="H292" s="1115">
        <v>79.552731586007937</v>
      </c>
      <c r="I292" s="1108">
        <v>79.552731586007937</v>
      </c>
      <c r="J292" s="1108">
        <v>81.712731586007934</v>
      </c>
      <c r="K292" s="1108">
        <v>76.962731586007934</v>
      </c>
      <c r="L292" s="1108">
        <v>62.142339464339834</v>
      </c>
      <c r="M292" s="1108">
        <v>72.210497880380103</v>
      </c>
      <c r="N292" s="1108">
        <v>45.923015098100862</v>
      </c>
      <c r="O292" s="1117">
        <v>43.626739530646304</v>
      </c>
      <c r="P292" s="1108">
        <v>0.92005871726274913</v>
      </c>
      <c r="Q292" s="602"/>
      <c r="R292" s="602"/>
      <c r="S292" s="602"/>
      <c r="T292" s="602"/>
      <c r="U292" s="602"/>
      <c r="V292" s="602"/>
      <c r="W292" s="602"/>
      <c r="X292" s="602"/>
      <c r="Y292" s="602"/>
      <c r="Z292" s="602"/>
      <c r="AA292" s="602"/>
      <c r="AB292" s="602"/>
      <c r="AC292" s="602"/>
      <c r="AD292" s="602"/>
      <c r="AE292" s="602"/>
      <c r="AF292" s="602"/>
      <c r="AG292" s="602"/>
      <c r="AH292" s="602"/>
      <c r="AI292" s="602"/>
      <c r="AJ292" s="602"/>
      <c r="AK292" s="602"/>
      <c r="AL292" s="602"/>
      <c r="AM292" s="602"/>
      <c r="AN292" s="602"/>
      <c r="AO292" s="602"/>
      <c r="AP292" s="602"/>
      <c r="AQ292" s="602"/>
      <c r="AR292" s="602"/>
      <c r="AS292" s="602"/>
      <c r="AT292" s="602"/>
      <c r="AU292" s="602"/>
      <c r="AV292" s="602"/>
      <c r="AW292" s="602"/>
      <c r="AX292" s="602"/>
      <c r="AY292" s="602"/>
      <c r="AZ292" s="602"/>
      <c r="BA292" s="602"/>
    </row>
    <row r="293" spans="2:53">
      <c r="B293" s="602"/>
      <c r="C293" s="1107">
        <v>2025</v>
      </c>
      <c r="D293" s="1108">
        <v>57.786429057350325</v>
      </c>
      <c r="E293" s="1115">
        <v>33.506083462913665</v>
      </c>
      <c r="F293" s="1115">
        <v>14.580898828103843</v>
      </c>
      <c r="G293" s="1115">
        <v>47.023275056537912</v>
      </c>
      <c r="H293" s="1115">
        <v>80.789209412536124</v>
      </c>
      <c r="I293" s="1108">
        <v>80.789209412536124</v>
      </c>
      <c r="J293" s="1108">
        <v>82.949209412536121</v>
      </c>
      <c r="K293" s="1108">
        <v>78.199209412536121</v>
      </c>
      <c r="L293" s="1108">
        <v>61.840436911371611</v>
      </c>
      <c r="M293" s="1108">
        <v>71.898055834432554</v>
      </c>
      <c r="N293" s="1108">
        <v>46.207001444406053</v>
      </c>
      <c r="O293" s="1117">
        <v>44.046743692103149</v>
      </c>
      <c r="P293" s="1108">
        <v>0.90676241471011532</v>
      </c>
      <c r="Q293" s="602"/>
      <c r="R293" s="602"/>
      <c r="S293" s="602"/>
      <c r="T293" s="602"/>
      <c r="U293" s="602"/>
      <c r="V293" s="602"/>
      <c r="W293" s="602"/>
      <c r="X293" s="602"/>
      <c r="Y293" s="602"/>
      <c r="Z293" s="602"/>
      <c r="AA293" s="602"/>
      <c r="AB293" s="602"/>
      <c r="AC293" s="602"/>
      <c r="AD293" s="602"/>
      <c r="AE293" s="602"/>
      <c r="AF293" s="602"/>
      <c r="AG293" s="602"/>
      <c r="AH293" s="602"/>
      <c r="AI293" s="602"/>
      <c r="AJ293" s="602"/>
      <c r="AK293" s="602"/>
      <c r="AL293" s="602"/>
      <c r="AM293" s="602"/>
      <c r="AN293" s="602"/>
      <c r="AO293" s="602"/>
      <c r="AP293" s="602"/>
      <c r="AQ293" s="602"/>
      <c r="AR293" s="602"/>
      <c r="AS293" s="602"/>
      <c r="AT293" s="602"/>
      <c r="AU293" s="602"/>
      <c r="AV293" s="602"/>
      <c r="AW293" s="602"/>
      <c r="AX293" s="602"/>
      <c r="AY293" s="602"/>
      <c r="AZ293" s="602"/>
      <c r="BA293" s="602"/>
    </row>
    <row r="294" spans="2:53">
      <c r="B294" s="602"/>
      <c r="C294" s="1107">
        <v>2026</v>
      </c>
      <c r="D294" s="1108">
        <v>59.146270171698553</v>
      </c>
      <c r="E294" s="1115">
        <v>33.467639204304064</v>
      </c>
      <c r="F294" s="1115">
        <v>14.5316584938834</v>
      </c>
      <c r="G294" s="1115">
        <v>48.388738394847046</v>
      </c>
      <c r="H294" s="1115">
        <v>82.154672750845265</v>
      </c>
      <c r="I294" s="1108">
        <v>82.154672750845265</v>
      </c>
      <c r="J294" s="1108">
        <v>84.314672750845261</v>
      </c>
      <c r="K294" s="1108">
        <v>79.564672750845261</v>
      </c>
      <c r="L294" s="1108">
        <v>61.559038676176264</v>
      </c>
      <c r="M294" s="1108">
        <v>71.654987558314588</v>
      </c>
      <c r="N294" s="1108">
        <v>46.419730980267232</v>
      </c>
      <c r="O294" s="1117">
        <v>44.303492323512977</v>
      </c>
      <c r="P294" s="1108">
        <v>0.89032177619719322</v>
      </c>
      <c r="Q294" s="602"/>
      <c r="R294" s="602"/>
      <c r="S294" s="602"/>
      <c r="T294" s="602"/>
      <c r="U294" s="602"/>
      <c r="V294" s="602"/>
      <c r="W294" s="602"/>
      <c r="X294" s="602"/>
      <c r="Y294" s="602"/>
      <c r="Z294" s="602"/>
      <c r="AA294" s="602"/>
      <c r="AB294" s="602"/>
      <c r="AC294" s="602"/>
      <c r="AD294" s="602"/>
      <c r="AE294" s="602"/>
      <c r="AF294" s="602"/>
      <c r="AG294" s="602"/>
      <c r="AH294" s="602"/>
      <c r="AI294" s="602"/>
      <c r="AJ294" s="602"/>
      <c r="AK294" s="602"/>
      <c r="AL294" s="602"/>
      <c r="AM294" s="602"/>
      <c r="AN294" s="602"/>
      <c r="AO294" s="602"/>
      <c r="AP294" s="602"/>
      <c r="AQ294" s="602"/>
      <c r="AR294" s="602"/>
      <c r="AS294" s="602"/>
      <c r="AT294" s="602"/>
      <c r="AU294" s="602"/>
      <c r="AV294" s="602"/>
      <c r="AW294" s="602"/>
      <c r="AX294" s="602"/>
      <c r="AY294" s="602"/>
      <c r="AZ294" s="602"/>
      <c r="BA294" s="602"/>
    </row>
    <row r="295" spans="2:53">
      <c r="B295" s="602"/>
      <c r="C295" s="1107">
        <v>2027</v>
      </c>
      <c r="D295" s="1108">
        <v>60.478046986869018</v>
      </c>
      <c r="E295" s="1115">
        <v>33.442947086231669</v>
      </c>
      <c r="F295" s="1115">
        <v>14.477230593088336</v>
      </c>
      <c r="G295" s="1115">
        <v>49.726877161691675</v>
      </c>
      <c r="H295" s="1115">
        <v>83.492811517689887</v>
      </c>
      <c r="I295" s="1108">
        <v>83.492811517689887</v>
      </c>
      <c r="J295" s="1108">
        <v>85.652811517689884</v>
      </c>
      <c r="K295" s="1108">
        <v>80.902811517689884</v>
      </c>
      <c r="L295" s="1108">
        <v>61.304552221855602</v>
      </c>
      <c r="M295" s="1108">
        <v>71.438770667888747</v>
      </c>
      <c r="N295" s="1108">
        <v>46.631059323825987</v>
      </c>
      <c r="O295" s="1117">
        <v>44.56044844066794</v>
      </c>
      <c r="P295" s="1108">
        <v>0.87425828973292308</v>
      </c>
      <c r="Q295" s="602"/>
      <c r="R295" s="602"/>
      <c r="S295" s="602"/>
      <c r="T295" s="602"/>
      <c r="U295" s="602"/>
      <c r="V295" s="602"/>
      <c r="W295" s="602"/>
      <c r="X295" s="602"/>
      <c r="Y295" s="602"/>
      <c r="Z295" s="602"/>
      <c r="AA295" s="602"/>
      <c r="AB295" s="602"/>
      <c r="AC295" s="602"/>
      <c r="AD295" s="602"/>
      <c r="AE295" s="602"/>
      <c r="AF295" s="602"/>
      <c r="AG295" s="602"/>
      <c r="AH295" s="602"/>
      <c r="AI295" s="602"/>
      <c r="AJ295" s="602"/>
      <c r="AK295" s="602"/>
      <c r="AL295" s="602"/>
      <c r="AM295" s="602"/>
      <c r="AN295" s="602"/>
      <c r="AO295" s="602"/>
      <c r="AP295" s="602"/>
      <c r="AQ295" s="602"/>
      <c r="AR295" s="602"/>
      <c r="AS295" s="602"/>
      <c r="AT295" s="602"/>
      <c r="AU295" s="602"/>
      <c r="AV295" s="602"/>
      <c r="AW295" s="602"/>
      <c r="AX295" s="602"/>
      <c r="AY295" s="602"/>
      <c r="AZ295" s="602"/>
      <c r="BA295" s="602"/>
    </row>
    <row r="296" spans="2:53">
      <c r="B296" s="602"/>
      <c r="C296" s="1107">
        <v>2028</v>
      </c>
      <c r="D296" s="1108">
        <v>61.703174257304624</v>
      </c>
      <c r="E296" s="1115">
        <v>33.42179959045346</v>
      </c>
      <c r="F296" s="1115">
        <v>14.413190648189367</v>
      </c>
      <c r="G296" s="1115">
        <v>50.957998458731836</v>
      </c>
      <c r="H296" s="1115">
        <v>84.723932814730048</v>
      </c>
      <c r="I296" s="1108">
        <v>84.723932814730048</v>
      </c>
      <c r="J296" s="1108">
        <v>86.883932814730045</v>
      </c>
      <c r="K296" s="1108">
        <v>82.133932814730045</v>
      </c>
      <c r="L296" s="1108">
        <v>61.075127920444082</v>
      </c>
      <c r="M296" s="1108">
        <v>71.247553781993901</v>
      </c>
      <c r="N296" s="1108">
        <v>46.839924523073165</v>
      </c>
      <c r="O296" s="1117">
        <v>44.817607952103295</v>
      </c>
      <c r="P296" s="1108">
        <v>0.85823047344328252</v>
      </c>
      <c r="Q296" s="602"/>
      <c r="R296" s="602"/>
      <c r="S296" s="602"/>
      <c r="T296" s="602"/>
      <c r="U296" s="602"/>
      <c r="V296" s="602"/>
      <c r="W296" s="602"/>
      <c r="X296" s="602"/>
      <c r="Y296" s="602"/>
      <c r="Z296" s="602"/>
      <c r="AA296" s="602"/>
      <c r="AB296" s="602"/>
      <c r="AC296" s="602"/>
      <c r="AD296" s="602"/>
      <c r="AE296" s="602"/>
      <c r="AF296" s="602"/>
      <c r="AG296" s="602"/>
      <c r="AH296" s="602"/>
      <c r="AI296" s="602"/>
      <c r="AJ296" s="602"/>
      <c r="AK296" s="602"/>
      <c r="AL296" s="602"/>
      <c r="AM296" s="602"/>
      <c r="AN296" s="602"/>
      <c r="AO296" s="602"/>
      <c r="AP296" s="602"/>
      <c r="AQ296" s="602"/>
      <c r="AR296" s="602"/>
      <c r="AS296" s="602"/>
      <c r="AT296" s="602"/>
      <c r="AU296" s="602"/>
      <c r="AV296" s="602"/>
      <c r="AW296" s="602"/>
      <c r="AX296" s="602"/>
      <c r="AY296" s="602"/>
      <c r="AZ296" s="602"/>
      <c r="BA296" s="602"/>
    </row>
    <row r="297" spans="2:53">
      <c r="B297" s="602"/>
      <c r="C297" s="1107">
        <v>2029</v>
      </c>
      <c r="D297" s="1108">
        <v>62.989602327697277</v>
      </c>
      <c r="E297" s="1115">
        <v>33.414220248022303</v>
      </c>
      <c r="F297" s="1115">
        <v>14.343963605486476</v>
      </c>
      <c r="G297" s="1115">
        <v>52.250750345664912</v>
      </c>
      <c r="H297" s="1115">
        <v>86.016684701663124</v>
      </c>
      <c r="I297" s="1108">
        <v>86.016684701663124</v>
      </c>
      <c r="J297" s="1108">
        <v>88.17668470166312</v>
      </c>
      <c r="K297" s="1108">
        <v>83.42668470166312</v>
      </c>
      <c r="L297" s="1108">
        <v>60.879811326662022</v>
      </c>
      <c r="M297" s="1108">
        <v>71.090380717662555</v>
      </c>
      <c r="N297" s="1108">
        <v>47.054043906757286</v>
      </c>
      <c r="O297" s="1117">
        <v>45.074966809344929</v>
      </c>
      <c r="P297" s="1108">
        <v>0.84270389124070177</v>
      </c>
      <c r="Q297" s="602"/>
      <c r="R297" s="602"/>
      <c r="S297" s="602"/>
      <c r="T297" s="602"/>
      <c r="U297" s="602"/>
      <c r="V297" s="602"/>
      <c r="W297" s="602"/>
      <c r="X297" s="602"/>
      <c r="Y297" s="602"/>
      <c r="Z297" s="602"/>
      <c r="AA297" s="602"/>
      <c r="AB297" s="602"/>
      <c r="AC297" s="602"/>
      <c r="AD297" s="602"/>
      <c r="AE297" s="602"/>
      <c r="AF297" s="602"/>
      <c r="AG297" s="602"/>
      <c r="AH297" s="602"/>
      <c r="AI297" s="602"/>
      <c r="AJ297" s="602"/>
      <c r="AK297" s="602"/>
      <c r="AL297" s="602"/>
      <c r="AM297" s="602"/>
      <c r="AN297" s="602"/>
      <c r="AO297" s="602"/>
      <c r="AP297" s="602"/>
      <c r="AQ297" s="602"/>
      <c r="AR297" s="602"/>
      <c r="AS297" s="602"/>
      <c r="AT297" s="602"/>
      <c r="AU297" s="602"/>
      <c r="AV297" s="602"/>
      <c r="AW297" s="602"/>
      <c r="AX297" s="602"/>
      <c r="AY297" s="602"/>
      <c r="AZ297" s="602"/>
      <c r="BA297" s="602"/>
    </row>
    <row r="298" spans="2:53">
      <c r="B298" s="602"/>
      <c r="C298" s="1107">
        <v>2030</v>
      </c>
      <c r="D298" s="1108">
        <v>64.209121548162642</v>
      </c>
      <c r="E298" s="1115">
        <v>33.412152610409883</v>
      </c>
      <c r="F298" s="1115">
        <v>14.266503152082981</v>
      </c>
      <c r="G298" s="1115">
        <v>53.473940246602353</v>
      </c>
      <c r="H298" s="1115">
        <v>87.239874602600565</v>
      </c>
      <c r="I298" s="1108">
        <v>87.239874602600565</v>
      </c>
      <c r="J298" s="1108">
        <v>89.399874602600562</v>
      </c>
      <c r="K298" s="1108">
        <v>84.649874602600562</v>
      </c>
      <c r="L298" s="1108">
        <v>60.705878120268423</v>
      </c>
      <c r="M298" s="1108">
        <v>70.954525432358807</v>
      </c>
      <c r="N298" s="1108">
        <v>47.263106384197172</v>
      </c>
      <c r="O298" s="1117">
        <v>45.332521006394593</v>
      </c>
      <c r="P298" s="1108">
        <v>0.8270052796536449</v>
      </c>
      <c r="Q298" s="602"/>
      <c r="R298" s="602"/>
      <c r="S298" s="602"/>
      <c r="T298" s="602"/>
      <c r="U298" s="602"/>
      <c r="V298" s="602"/>
      <c r="W298" s="602"/>
      <c r="X298" s="602"/>
      <c r="Y298" s="602"/>
      <c r="Z298" s="602"/>
      <c r="AA298" s="602"/>
      <c r="AB298" s="602"/>
      <c r="AC298" s="602"/>
      <c r="AD298" s="602"/>
      <c r="AE298" s="602"/>
      <c r="AF298" s="602"/>
      <c r="AG298" s="602"/>
      <c r="AH298" s="602"/>
      <c r="AI298" s="602"/>
      <c r="AJ298" s="602"/>
      <c r="AK298" s="602"/>
      <c r="AL298" s="602"/>
      <c r="AM298" s="602"/>
      <c r="AN298" s="602"/>
      <c r="AO298" s="602"/>
      <c r="AP298" s="602"/>
      <c r="AQ298" s="602"/>
      <c r="AR298" s="602"/>
      <c r="AS298" s="602"/>
      <c r="AT298" s="602"/>
      <c r="AU298" s="602"/>
      <c r="AV298" s="602"/>
      <c r="AW298" s="602"/>
      <c r="AX298" s="602"/>
      <c r="AY298" s="602"/>
      <c r="AZ298" s="602"/>
      <c r="BA298" s="602"/>
    </row>
    <row r="299" spans="2:53">
      <c r="B299" s="602"/>
      <c r="C299" s="1107">
        <v>2031</v>
      </c>
      <c r="D299" s="1108">
        <v>63.901532941943884</v>
      </c>
      <c r="E299" s="1115">
        <v>33.458238338148384</v>
      </c>
      <c r="F299" s="1115">
        <v>14.23069306413351</v>
      </c>
      <c r="G299" s="1115">
        <v>53.16779648439951</v>
      </c>
      <c r="H299" s="1115">
        <v>86.933730840397715</v>
      </c>
      <c r="I299" s="1108">
        <v>86.933730840397715</v>
      </c>
      <c r="J299" s="1108">
        <v>89.093730840397711</v>
      </c>
      <c r="K299" s="1108">
        <v>84.343730840397711</v>
      </c>
      <c r="L299" s="1108">
        <v>60.70433047636952</v>
      </c>
      <c r="M299" s="1108">
        <v>70.98353554352687</v>
      </c>
      <c r="N299" s="1108">
        <v>47.363169268373781</v>
      </c>
      <c r="O299" s="1117">
        <v>45.549544275390517</v>
      </c>
      <c r="P299" s="1108">
        <v>0.81075933244600917</v>
      </c>
      <c r="Q299" s="602"/>
      <c r="R299" s="602"/>
      <c r="S299" s="602"/>
      <c r="T299" s="602"/>
      <c r="U299" s="602"/>
      <c r="V299" s="602"/>
      <c r="W299" s="602"/>
      <c r="X299" s="602"/>
      <c r="Y299" s="602"/>
      <c r="Z299" s="602"/>
      <c r="AA299" s="602"/>
      <c r="AB299" s="602"/>
      <c r="AC299" s="602"/>
      <c r="AD299" s="602"/>
      <c r="AE299" s="602"/>
      <c r="AF299" s="602"/>
      <c r="AG299" s="602"/>
      <c r="AH299" s="602"/>
      <c r="AI299" s="602"/>
      <c r="AJ299" s="602"/>
      <c r="AK299" s="602"/>
      <c r="AL299" s="602"/>
      <c r="AM299" s="602"/>
      <c r="AN299" s="602"/>
      <c r="AO299" s="602"/>
      <c r="AP299" s="602"/>
      <c r="AQ299" s="602"/>
      <c r="AR299" s="602"/>
      <c r="AS299" s="602"/>
      <c r="AT299" s="602"/>
      <c r="AU299" s="602"/>
      <c r="AV299" s="602"/>
      <c r="AW299" s="602"/>
      <c r="AX299" s="602"/>
      <c r="AY299" s="602"/>
      <c r="AZ299" s="602"/>
      <c r="BA299" s="602"/>
    </row>
    <row r="300" spans="2:53">
      <c r="B300" s="602"/>
      <c r="C300" s="1107">
        <v>2032</v>
      </c>
      <c r="D300" s="1108">
        <v>63.593944335725141</v>
      </c>
      <c r="E300" s="1115">
        <v>33.504324065886884</v>
      </c>
      <c r="F300" s="1115">
        <v>14.195037264254136</v>
      </c>
      <c r="G300" s="1115">
        <v>52.860920537900107</v>
      </c>
      <c r="H300" s="1115">
        <v>86.626854893898326</v>
      </c>
      <c r="I300" s="1108">
        <v>86.626854893898326</v>
      </c>
      <c r="J300" s="1108">
        <v>88.786854893898322</v>
      </c>
      <c r="K300" s="1108">
        <v>84.036854893898322</v>
      </c>
      <c r="L300" s="1108">
        <v>60.702548817291905</v>
      </c>
      <c r="M300" s="1108">
        <v>71.012297087670845</v>
      </c>
      <c r="N300" s="1108">
        <v>47.463048827686151</v>
      </c>
      <c r="O300" s="1117">
        <v>45.766845997017583</v>
      </c>
      <c r="P300" s="1108">
        <v>0.79472100056409223</v>
      </c>
      <c r="Q300" s="602"/>
      <c r="R300" s="602"/>
      <c r="S300" s="602"/>
      <c r="T300" s="602"/>
      <c r="U300" s="602"/>
      <c r="V300" s="602"/>
      <c r="W300" s="602"/>
      <c r="X300" s="602"/>
      <c r="Y300" s="602"/>
      <c r="Z300" s="602"/>
      <c r="AA300" s="602"/>
      <c r="AB300" s="602"/>
      <c r="AC300" s="602"/>
      <c r="AD300" s="602"/>
      <c r="AE300" s="602"/>
      <c r="AF300" s="602"/>
      <c r="AG300" s="602"/>
      <c r="AH300" s="602"/>
      <c r="AI300" s="602"/>
      <c r="AJ300" s="602"/>
      <c r="AK300" s="602"/>
      <c r="AL300" s="602"/>
      <c r="AM300" s="602"/>
      <c r="AN300" s="602"/>
      <c r="AO300" s="602"/>
      <c r="AP300" s="602"/>
      <c r="AQ300" s="602"/>
      <c r="AR300" s="602"/>
      <c r="AS300" s="602"/>
      <c r="AT300" s="602"/>
      <c r="AU300" s="602"/>
      <c r="AV300" s="602"/>
      <c r="AW300" s="602"/>
      <c r="AX300" s="602"/>
      <c r="AY300" s="602"/>
      <c r="AZ300" s="602"/>
      <c r="BA300" s="602"/>
    </row>
    <row r="301" spans="2:53">
      <c r="B301" s="602"/>
      <c r="C301" s="1107">
        <v>2033</v>
      </c>
      <c r="D301" s="1108">
        <v>63.286355729506404</v>
      </c>
      <c r="E301" s="1115">
        <v>33.550409793625377</v>
      </c>
      <c r="F301" s="1115">
        <v>14.159114470166005</v>
      </c>
      <c r="G301" s="1115">
        <v>52.55531163017308</v>
      </c>
      <c r="H301" s="1115">
        <v>86.321245986171292</v>
      </c>
      <c r="I301" s="1108">
        <v>86.321245986171292</v>
      </c>
      <c r="J301" s="1108">
        <v>88.481245986171288</v>
      </c>
      <c r="K301" s="1108">
        <v>83.731245986171288</v>
      </c>
      <c r="L301" s="1108">
        <v>60.700536499539886</v>
      </c>
      <c r="M301" s="1108">
        <v>71.040811038704931</v>
      </c>
      <c r="N301" s="1108">
        <v>47.562746231205452</v>
      </c>
      <c r="O301" s="1117">
        <v>45.93621057509371</v>
      </c>
      <c r="P301" s="1108">
        <v>0.77922098994212197</v>
      </c>
      <c r="Q301" s="602"/>
      <c r="R301" s="602"/>
      <c r="S301" s="602"/>
      <c r="T301" s="602"/>
      <c r="U301" s="602"/>
      <c r="V301" s="602"/>
      <c r="W301" s="602"/>
      <c r="X301" s="602"/>
      <c r="Y301" s="602"/>
      <c r="Z301" s="602"/>
      <c r="AA301" s="602"/>
      <c r="AB301" s="602"/>
      <c r="AC301" s="602"/>
      <c r="AD301" s="602"/>
      <c r="AE301" s="602"/>
      <c r="AF301" s="602"/>
      <c r="AG301" s="602"/>
      <c r="AH301" s="602"/>
      <c r="AI301" s="602"/>
      <c r="AJ301" s="602"/>
      <c r="AK301" s="602"/>
      <c r="AL301" s="602"/>
      <c r="AM301" s="602"/>
      <c r="AN301" s="602"/>
      <c r="AO301" s="602"/>
      <c r="AP301" s="602"/>
      <c r="AQ301" s="602"/>
      <c r="AR301" s="602"/>
      <c r="AS301" s="602"/>
      <c r="AT301" s="602"/>
      <c r="AU301" s="602"/>
      <c r="AV301" s="602"/>
      <c r="AW301" s="602"/>
      <c r="AX301" s="602"/>
      <c r="AY301" s="602"/>
      <c r="AZ301" s="602"/>
      <c r="BA301" s="602"/>
    </row>
    <row r="302" spans="2:53">
      <c r="B302" s="602"/>
      <c r="C302" s="1107">
        <v>2034</v>
      </c>
      <c r="D302" s="1108">
        <v>62.978767123287653</v>
      </c>
      <c r="E302" s="1115">
        <v>33.59649552136387</v>
      </c>
      <c r="F302" s="1115">
        <v>14.123353426479357</v>
      </c>
      <c r="G302" s="1115">
        <v>52.248935125159633</v>
      </c>
      <c r="H302" s="1115">
        <v>86.014869481157845</v>
      </c>
      <c r="I302" s="1108">
        <v>86.014869481157845</v>
      </c>
      <c r="J302" s="1108">
        <v>88.174869481157842</v>
      </c>
      <c r="K302" s="1108">
        <v>83.424869481157842</v>
      </c>
      <c r="L302" s="1108">
        <v>60.698296822060883</v>
      </c>
      <c r="M302" s="1108">
        <v>71.069078333891227</v>
      </c>
      <c r="N302" s="1108">
        <v>47.662262629564232</v>
      </c>
      <c r="O302" s="1117">
        <v>46.091987325464736</v>
      </c>
      <c r="P302" s="1108">
        <v>0.76390612340968655</v>
      </c>
      <c r="Q302" s="602"/>
      <c r="R302" s="602"/>
      <c r="S302" s="602"/>
      <c r="T302" s="602"/>
      <c r="U302" s="602"/>
      <c r="V302" s="602"/>
      <c r="W302" s="602"/>
      <c r="X302" s="602"/>
      <c r="Y302" s="602"/>
      <c r="Z302" s="602"/>
      <c r="AA302" s="602"/>
      <c r="AB302" s="602"/>
      <c r="AC302" s="602"/>
      <c r="AD302" s="602"/>
      <c r="AE302" s="602"/>
      <c r="AF302" s="602"/>
      <c r="AG302" s="602"/>
      <c r="AH302" s="602"/>
      <c r="AI302" s="602"/>
      <c r="AJ302" s="602"/>
      <c r="AK302" s="602"/>
      <c r="AL302" s="602"/>
      <c r="AM302" s="602"/>
      <c r="AN302" s="602"/>
      <c r="AO302" s="602"/>
      <c r="AP302" s="602"/>
      <c r="AQ302" s="602"/>
      <c r="AR302" s="602"/>
      <c r="AS302" s="602"/>
      <c r="AT302" s="602"/>
      <c r="AU302" s="602"/>
      <c r="AV302" s="602"/>
      <c r="AW302" s="602"/>
      <c r="AX302" s="602"/>
      <c r="AY302" s="602"/>
      <c r="AZ302" s="602"/>
      <c r="BA302" s="602"/>
    </row>
    <row r="303" spans="2:53">
      <c r="B303" s="602"/>
      <c r="C303" s="1107">
        <v>2035</v>
      </c>
      <c r="D303" s="1108">
        <v>62.671178517068917</v>
      </c>
      <c r="E303" s="1115">
        <v>33.642581249102378</v>
      </c>
      <c r="F303" s="1115">
        <v>14.087572006623748</v>
      </c>
      <c r="G303" s="1115">
        <v>51.942655316610988</v>
      </c>
      <c r="H303" s="1115">
        <v>85.708589672609207</v>
      </c>
      <c r="I303" s="1108">
        <v>85.708589672609207</v>
      </c>
      <c r="J303" s="1108">
        <v>87.868589672609204</v>
      </c>
      <c r="K303" s="1108">
        <v>83.118589672609204</v>
      </c>
      <c r="L303" s="1108">
        <v>60.695833026853684</v>
      </c>
      <c r="M303" s="1108">
        <v>71.097099874290336</v>
      </c>
      <c r="N303" s="1108">
        <v>47.761599155151828</v>
      </c>
      <c r="O303" s="1117">
        <v>46.247727566987081</v>
      </c>
      <c r="P303" s="1108">
        <v>0.74916462069632617</v>
      </c>
      <c r="Q303" s="602"/>
      <c r="R303" s="602"/>
      <c r="S303" s="602"/>
      <c r="T303" s="602"/>
      <c r="U303" s="602"/>
      <c r="V303" s="602"/>
      <c r="W303" s="602"/>
      <c r="X303" s="602"/>
      <c r="Y303" s="602"/>
      <c r="Z303" s="602"/>
      <c r="AA303" s="602"/>
      <c r="AB303" s="602"/>
      <c r="AC303" s="602"/>
      <c r="AD303" s="602"/>
      <c r="AE303" s="602"/>
      <c r="AF303" s="602"/>
      <c r="AG303" s="602"/>
      <c r="AH303" s="602"/>
      <c r="AI303" s="602"/>
      <c r="AJ303" s="602"/>
      <c r="AK303" s="602"/>
      <c r="AL303" s="602"/>
      <c r="AM303" s="602"/>
      <c r="AN303" s="602"/>
      <c r="AO303" s="602"/>
      <c r="AP303" s="602"/>
      <c r="AQ303" s="602"/>
      <c r="AR303" s="602"/>
      <c r="AS303" s="602"/>
      <c r="AT303" s="602"/>
      <c r="AU303" s="602"/>
      <c r="AV303" s="602"/>
      <c r="AW303" s="602"/>
      <c r="AX303" s="602"/>
      <c r="AY303" s="602"/>
      <c r="AZ303" s="602"/>
      <c r="BA303" s="602"/>
    </row>
    <row r="304" spans="2:53">
      <c r="B304" s="602"/>
      <c r="C304" s="1107">
        <v>2036</v>
      </c>
      <c r="D304" s="1108">
        <v>62.363589910850173</v>
      </c>
      <c r="E304" s="1115">
        <v>33.688666976840878</v>
      </c>
      <c r="F304" s="1115">
        <v>14.051985690698709</v>
      </c>
      <c r="G304" s="1115">
        <v>51.635449629385747</v>
      </c>
      <c r="H304" s="1115">
        <v>85.401383985383958</v>
      </c>
      <c r="I304" s="1108">
        <v>85.401383985383958</v>
      </c>
      <c r="J304" s="1108">
        <v>87.561383985383955</v>
      </c>
      <c r="K304" s="1108">
        <v>82.811383985383955</v>
      </c>
      <c r="L304" s="1108">
        <v>60.689945389690699</v>
      </c>
      <c r="M304" s="1108">
        <v>71.116603103597413</v>
      </c>
      <c r="N304" s="1108">
        <v>47.861557709026719</v>
      </c>
      <c r="O304" s="1117">
        <v>46.390503884981669</v>
      </c>
      <c r="P304" s="1108">
        <v>0.73451354156952464</v>
      </c>
      <c r="Q304" s="602"/>
      <c r="R304" s="602"/>
      <c r="S304" s="602"/>
      <c r="T304" s="602"/>
      <c r="U304" s="602"/>
      <c r="V304" s="602"/>
      <c r="W304" s="602"/>
      <c r="X304" s="602"/>
      <c r="Y304" s="602"/>
      <c r="Z304" s="602"/>
      <c r="AA304" s="602"/>
      <c r="AB304" s="602"/>
      <c r="AC304" s="602"/>
      <c r="AD304" s="602"/>
      <c r="AE304" s="602"/>
      <c r="AF304" s="602"/>
      <c r="AG304" s="602"/>
      <c r="AH304" s="602"/>
      <c r="AI304" s="602"/>
      <c r="AJ304" s="602"/>
      <c r="AK304" s="602"/>
      <c r="AL304" s="602"/>
      <c r="AM304" s="602"/>
      <c r="AN304" s="602"/>
      <c r="AO304" s="602"/>
      <c r="AP304" s="602"/>
      <c r="AQ304" s="602"/>
      <c r="AR304" s="602"/>
      <c r="AS304" s="602"/>
      <c r="AT304" s="602"/>
      <c r="AU304" s="602"/>
      <c r="AV304" s="602"/>
      <c r="AW304" s="602"/>
      <c r="AX304" s="602"/>
      <c r="AY304" s="602"/>
      <c r="AZ304" s="602"/>
      <c r="BA304" s="602"/>
    </row>
    <row r="305" spans="2:53">
      <c r="B305" s="602"/>
      <c r="C305" s="1107">
        <v>2037</v>
      </c>
      <c r="D305" s="1108">
        <v>62.056001304631437</v>
      </c>
      <c r="E305" s="1115">
        <v>33.734752704579364</v>
      </c>
      <c r="F305" s="1115">
        <v>14.016171250456402</v>
      </c>
      <c r="G305" s="1115">
        <v>51.329326521277956</v>
      </c>
      <c r="H305" s="1115">
        <v>85.095260877276161</v>
      </c>
      <c r="I305" s="1108">
        <v>85.095260877276161</v>
      </c>
      <c r="J305" s="1108">
        <v>87.255260877276157</v>
      </c>
      <c r="K305" s="1108">
        <v>82.505260877276157</v>
      </c>
      <c r="L305" s="1108">
        <v>60.683892039969457</v>
      </c>
      <c r="M305" s="1108">
        <v>71.135883985569592</v>
      </c>
      <c r="N305" s="1108">
        <v>47.961224086497161</v>
      </c>
      <c r="O305" s="1117">
        <v>46.533237561648519</v>
      </c>
      <c r="P305" s="1108">
        <v>0.7203713017339497</v>
      </c>
      <c r="Q305" s="602"/>
      <c r="R305" s="602"/>
      <c r="S305" s="602"/>
      <c r="T305" s="602"/>
      <c r="U305" s="602"/>
      <c r="V305" s="602"/>
      <c r="W305" s="602"/>
      <c r="X305" s="602"/>
      <c r="Y305" s="602"/>
      <c r="Z305" s="602"/>
      <c r="AA305" s="602"/>
      <c r="AB305" s="602"/>
      <c r="AC305" s="602"/>
      <c r="AD305" s="602"/>
      <c r="AE305" s="602"/>
      <c r="AF305" s="602"/>
      <c r="AG305" s="602"/>
      <c r="AH305" s="602"/>
      <c r="AI305" s="602"/>
      <c r="AJ305" s="602"/>
      <c r="AK305" s="602"/>
      <c r="AL305" s="602"/>
      <c r="AM305" s="602"/>
      <c r="AN305" s="602"/>
      <c r="AO305" s="602"/>
      <c r="AP305" s="602"/>
      <c r="AQ305" s="602"/>
      <c r="AR305" s="602"/>
      <c r="AS305" s="602"/>
      <c r="AT305" s="602"/>
      <c r="AU305" s="602"/>
      <c r="AV305" s="602"/>
      <c r="AW305" s="602"/>
      <c r="AX305" s="602"/>
      <c r="AY305" s="602"/>
      <c r="AZ305" s="602"/>
      <c r="BA305" s="602"/>
    </row>
    <row r="306" spans="2:53">
      <c r="B306" s="602"/>
      <c r="C306" s="1107">
        <v>2038</v>
      </c>
      <c r="D306" s="1108">
        <v>61.7484126984127</v>
      </c>
      <c r="E306" s="1115">
        <v>33.780838432317864</v>
      </c>
      <c r="F306" s="1115">
        <v>13.980510738351196</v>
      </c>
      <c r="G306" s="1115">
        <v>51.022472936959623</v>
      </c>
      <c r="H306" s="1115">
        <v>84.788407292957842</v>
      </c>
      <c r="I306" s="1108">
        <v>84.788407292957842</v>
      </c>
      <c r="J306" s="1108">
        <v>86.948407292957839</v>
      </c>
      <c r="K306" s="1108">
        <v>82.198407292957839</v>
      </c>
      <c r="L306" s="1108">
        <v>60.677675969854107</v>
      </c>
      <c r="M306" s="1108">
        <v>71.154944080579142</v>
      </c>
      <c r="N306" s="1108">
        <v>48.06060022028862</v>
      </c>
      <c r="O306" s="1117">
        <v>46.675927978934773</v>
      </c>
      <c r="P306" s="1108">
        <v>0.70635417245409327</v>
      </c>
      <c r="Q306" s="602"/>
      <c r="R306" s="602"/>
      <c r="S306" s="602"/>
      <c r="T306" s="602"/>
      <c r="U306" s="602"/>
      <c r="V306" s="602"/>
      <c r="W306" s="602"/>
      <c r="X306" s="602"/>
      <c r="Y306" s="602"/>
      <c r="Z306" s="602"/>
      <c r="AA306" s="602"/>
      <c r="AB306" s="602"/>
      <c r="AC306" s="602"/>
      <c r="AD306" s="602"/>
      <c r="AE306" s="602"/>
      <c r="AF306" s="602"/>
      <c r="AG306" s="602"/>
      <c r="AH306" s="602"/>
      <c r="AI306" s="602"/>
      <c r="AJ306" s="602"/>
      <c r="AK306" s="602"/>
      <c r="AL306" s="602"/>
      <c r="AM306" s="602"/>
      <c r="AN306" s="602"/>
      <c r="AO306" s="602"/>
      <c r="AP306" s="602"/>
      <c r="AQ306" s="602"/>
      <c r="AR306" s="602"/>
      <c r="AS306" s="602"/>
      <c r="AT306" s="602"/>
      <c r="AU306" s="602"/>
      <c r="AV306" s="602"/>
      <c r="AW306" s="602"/>
      <c r="AX306" s="602"/>
      <c r="AY306" s="602"/>
      <c r="AZ306" s="602"/>
      <c r="BA306" s="602"/>
    </row>
    <row r="307" spans="2:53">
      <c r="B307" s="602"/>
      <c r="C307" s="1107">
        <v>2039</v>
      </c>
      <c r="D307" s="1108">
        <v>61.440824092193949</v>
      </c>
      <c r="E307" s="1115">
        <v>33.82692416005635</v>
      </c>
      <c r="F307" s="1115">
        <v>13.944654498795146</v>
      </c>
      <c r="G307" s="1115">
        <v>50.716548190274779</v>
      </c>
      <c r="H307" s="1115">
        <v>84.48248254627299</v>
      </c>
      <c r="I307" s="1108">
        <v>84.48248254627299</v>
      </c>
      <c r="J307" s="1108">
        <v>86.642482546272987</v>
      </c>
      <c r="K307" s="1108">
        <v>81.892482546272987</v>
      </c>
      <c r="L307" s="1108">
        <v>60.671300113152753</v>
      </c>
      <c r="M307" s="1108">
        <v>71.173784903100966</v>
      </c>
      <c r="N307" s="1108">
        <v>48.159688016832391</v>
      </c>
      <c r="O307" s="1117">
        <v>46.818574524689666</v>
      </c>
      <c r="P307" s="1108">
        <v>0.69279308789802307</v>
      </c>
      <c r="Q307" s="602"/>
      <c r="R307" s="602"/>
      <c r="S307" s="602"/>
      <c r="T307" s="602"/>
      <c r="U307" s="602"/>
      <c r="V307" s="602"/>
      <c r="W307" s="602"/>
      <c r="X307" s="602"/>
      <c r="Y307" s="602"/>
      <c r="Z307" s="602"/>
      <c r="AA307" s="602"/>
      <c r="AB307" s="602"/>
      <c r="AC307" s="602"/>
      <c r="AD307" s="602"/>
      <c r="AE307" s="602"/>
      <c r="AF307" s="602"/>
      <c r="AG307" s="602"/>
      <c r="AH307" s="602"/>
      <c r="AI307" s="602"/>
      <c r="AJ307" s="602"/>
      <c r="AK307" s="602"/>
      <c r="AL307" s="602"/>
      <c r="AM307" s="602"/>
      <c r="AN307" s="602"/>
      <c r="AO307" s="602"/>
      <c r="AP307" s="602"/>
      <c r="AQ307" s="602"/>
      <c r="AR307" s="602"/>
      <c r="AS307" s="602"/>
      <c r="AT307" s="602"/>
      <c r="AU307" s="602"/>
      <c r="AV307" s="602"/>
      <c r="AW307" s="602"/>
      <c r="AX307" s="602"/>
      <c r="AY307" s="602"/>
      <c r="AZ307" s="602"/>
      <c r="BA307" s="602"/>
    </row>
    <row r="308" spans="2:53" ht="14" thickBot="1">
      <c r="B308" s="602"/>
      <c r="C308" s="1107">
        <v>2040</v>
      </c>
      <c r="D308" s="1108">
        <v>61.133235485975206</v>
      </c>
      <c r="E308" s="1115">
        <v>33.873009887794851</v>
      </c>
      <c r="F308" s="1115">
        <v>13.908861871625055</v>
      </c>
      <c r="G308" s="1115">
        <v>50.410321566782294</v>
      </c>
      <c r="H308" s="1115">
        <v>84.176255922780513</v>
      </c>
      <c r="I308" s="1108">
        <v>84.176255922780513</v>
      </c>
      <c r="J308" s="1108">
        <v>86.336255922780509</v>
      </c>
      <c r="K308" s="1108">
        <v>81.586255922780509</v>
      </c>
      <c r="L308" s="1108">
        <v>60.664767346129707</v>
      </c>
      <c r="M308" s="1108">
        <v>71.192407922440651</v>
      </c>
      <c r="N308" s="1108">
        <v>48.258489356547372</v>
      </c>
      <c r="O308" s="1118">
        <v>46.961176592602918</v>
      </c>
      <c r="P308" s="1108">
        <v>0.67943380134157572</v>
      </c>
      <c r="Q308" s="602"/>
      <c r="R308" s="602"/>
      <c r="S308" s="602"/>
      <c r="T308" s="602"/>
      <c r="U308" s="602"/>
      <c r="V308" s="602"/>
      <c r="W308" s="602"/>
      <c r="X308" s="602"/>
      <c r="Y308" s="602"/>
      <c r="Z308" s="602"/>
      <c r="AA308" s="602"/>
      <c r="AB308" s="602"/>
      <c r="AC308" s="602"/>
      <c r="AD308" s="602"/>
      <c r="AE308" s="602"/>
      <c r="AF308" s="602"/>
      <c r="AG308" s="602"/>
      <c r="AH308" s="602"/>
      <c r="AI308" s="602"/>
      <c r="AJ308" s="602"/>
      <c r="AK308" s="602"/>
      <c r="AL308" s="602"/>
      <c r="AM308" s="602"/>
      <c r="AN308" s="602"/>
      <c r="AO308" s="602"/>
      <c r="AP308" s="602"/>
      <c r="AQ308" s="602"/>
      <c r="AR308" s="602"/>
      <c r="AS308" s="602"/>
      <c r="AT308" s="602"/>
      <c r="AU308" s="602"/>
      <c r="AV308" s="602"/>
      <c r="AW308" s="602"/>
      <c r="AX308" s="602"/>
      <c r="AY308" s="602"/>
      <c r="AZ308" s="602"/>
      <c r="BA308" s="602"/>
    </row>
    <row r="309" spans="2:53" ht="14" thickBot="1">
      <c r="B309" s="602"/>
      <c r="C309" s="1107">
        <v>2041</v>
      </c>
      <c r="D309" s="1108">
        <v>60.825646879756469</v>
      </c>
      <c r="E309" s="1115">
        <v>33.919095615533351</v>
      </c>
      <c r="F309" s="1115">
        <v>13.873069138182171</v>
      </c>
      <c r="G309" s="1115">
        <v>50.104095447614391</v>
      </c>
      <c r="H309" s="1115">
        <v>83.87002980361261</v>
      </c>
      <c r="I309" s="1108">
        <v>83.87002980361261</v>
      </c>
      <c r="J309" s="1108">
        <v>86.030029803612607</v>
      </c>
      <c r="K309" s="1108">
        <v>81.280029803612607</v>
      </c>
      <c r="L309" s="1108">
        <v>60.675957923099851</v>
      </c>
      <c r="M309" s="1108">
        <v>60.675957923099851</v>
      </c>
      <c r="N309" s="1108">
        <v>48.37762671431922</v>
      </c>
      <c r="O309" s="1118">
        <v>46.961176592602918</v>
      </c>
      <c r="P309" s="1108">
        <v>0.66633212494379612</v>
      </c>
      <c r="Q309" s="602"/>
      <c r="R309" s="602"/>
      <c r="S309" s="602"/>
      <c r="T309" s="602"/>
      <c r="U309" s="602"/>
      <c r="V309" s="602"/>
      <c r="W309" s="602"/>
      <c r="X309" s="602"/>
      <c r="Y309" s="602"/>
      <c r="Z309" s="602"/>
      <c r="AA309" s="602"/>
      <c r="AB309" s="602"/>
      <c r="AC309" s="602"/>
      <c r="AD309" s="602"/>
      <c r="AE309" s="602"/>
      <c r="AF309" s="602"/>
      <c r="AG309" s="602"/>
      <c r="AH309" s="602"/>
      <c r="AI309" s="602"/>
      <c r="AJ309" s="602"/>
      <c r="AK309" s="602"/>
      <c r="AL309" s="602"/>
      <c r="AM309" s="602"/>
      <c r="AN309" s="602"/>
      <c r="AO309" s="602"/>
      <c r="AP309" s="602"/>
      <c r="AQ309" s="602"/>
      <c r="AR309" s="602"/>
      <c r="AS309" s="602"/>
      <c r="AT309" s="602"/>
      <c r="AU309" s="602"/>
      <c r="AV309" s="602"/>
      <c r="AW309" s="602"/>
      <c r="AX309" s="602"/>
      <c r="AY309" s="602"/>
      <c r="AZ309" s="602"/>
      <c r="BA309" s="602"/>
    </row>
    <row r="310" spans="2:53" ht="14" thickBot="1">
      <c r="B310" s="602"/>
      <c r="C310" s="1107">
        <v>2042</v>
      </c>
      <c r="D310" s="1108">
        <v>60.518058273537719</v>
      </c>
      <c r="E310" s="1115">
        <v>33.965181343271844</v>
      </c>
      <c r="F310" s="1115">
        <v>13.836610452807903</v>
      </c>
      <c r="G310" s="1115">
        <v>49.801029647621633</v>
      </c>
      <c r="H310" s="1115">
        <v>83.566964003619859</v>
      </c>
      <c r="I310" s="1108">
        <v>83.566964003619859</v>
      </c>
      <c r="J310" s="1108">
        <v>85.726964003619855</v>
      </c>
      <c r="K310" s="1108">
        <v>80.976964003619855</v>
      </c>
      <c r="L310" s="1108">
        <v>60.68702193291076</v>
      </c>
      <c r="M310" s="1108">
        <v>60.68702193291076</v>
      </c>
      <c r="N310" s="1108">
        <v>48.496315696545963</v>
      </c>
      <c r="O310" s="1118">
        <v>46.961176592602918</v>
      </c>
      <c r="P310" s="1108">
        <v>0.65407068774474553</v>
      </c>
      <c r="Q310" s="602"/>
      <c r="R310" s="602"/>
      <c r="S310" s="602"/>
      <c r="T310" s="602"/>
      <c r="U310" s="602"/>
      <c r="V310" s="602"/>
      <c r="W310" s="602"/>
      <c r="X310" s="602"/>
      <c r="Y310" s="602"/>
      <c r="Z310" s="602"/>
      <c r="AA310" s="602"/>
      <c r="AB310" s="602"/>
      <c r="AC310" s="602"/>
      <c r="AD310" s="602"/>
      <c r="AE310" s="602"/>
      <c r="AF310" s="602"/>
      <c r="AG310" s="602"/>
      <c r="AH310" s="602"/>
      <c r="AI310" s="602"/>
      <c r="AJ310" s="602"/>
      <c r="AK310" s="602"/>
      <c r="AL310" s="602"/>
      <c r="AM310" s="602"/>
      <c r="AN310" s="602"/>
      <c r="AO310" s="602"/>
      <c r="AP310" s="602"/>
      <c r="AQ310" s="602"/>
      <c r="AR310" s="602"/>
      <c r="AS310" s="602"/>
      <c r="AT310" s="602"/>
      <c r="AU310" s="602"/>
      <c r="AV310" s="602"/>
      <c r="AW310" s="602"/>
      <c r="AX310" s="602"/>
      <c r="AY310" s="602"/>
      <c r="AZ310" s="602"/>
      <c r="BA310" s="602"/>
    </row>
    <row r="311" spans="2:53" ht="14" thickBot="1">
      <c r="B311" s="602"/>
      <c r="C311" s="1107">
        <v>2043</v>
      </c>
      <c r="D311" s="1108">
        <v>60.210469667318975</v>
      </c>
      <c r="E311" s="1115">
        <v>34.011267071010337</v>
      </c>
      <c r="F311" s="1115">
        <v>13.800150557366436</v>
      </c>
      <c r="G311" s="1115">
        <v>49.497969590083216</v>
      </c>
      <c r="H311" s="1115">
        <v>83.263903946081427</v>
      </c>
      <c r="I311" s="1108">
        <v>83.263903946081427</v>
      </c>
      <c r="J311" s="1108">
        <v>85.423903946081424</v>
      </c>
      <c r="K311" s="1108">
        <v>80.673903946081424</v>
      </c>
      <c r="L311" s="1108">
        <v>60.697960969252613</v>
      </c>
      <c r="M311" s="1108">
        <v>60.697960969252613</v>
      </c>
      <c r="N311" s="1108">
        <v>48.614559135690349</v>
      </c>
      <c r="O311" s="1118">
        <v>46.961176592602918</v>
      </c>
      <c r="P311" s="1108">
        <v>0.64203487803168602</v>
      </c>
      <c r="Q311" s="602"/>
      <c r="R311" s="602"/>
      <c r="S311" s="602"/>
      <c r="T311" s="602"/>
      <c r="U311" s="602"/>
      <c r="V311" s="602"/>
      <c r="W311" s="602"/>
      <c r="X311" s="602"/>
      <c r="Y311" s="602"/>
      <c r="Z311" s="602"/>
      <c r="AA311" s="602"/>
      <c r="AB311" s="602"/>
      <c r="AC311" s="602"/>
      <c r="AD311" s="602"/>
      <c r="AE311" s="602"/>
      <c r="AF311" s="602"/>
      <c r="AG311" s="602"/>
      <c r="AH311" s="602"/>
      <c r="AI311" s="602"/>
      <c r="AJ311" s="602"/>
      <c r="AK311" s="602"/>
      <c r="AL311" s="602"/>
      <c r="AM311" s="602"/>
      <c r="AN311" s="602"/>
      <c r="AO311" s="602"/>
      <c r="AP311" s="602"/>
      <c r="AQ311" s="602"/>
      <c r="AR311" s="602"/>
      <c r="AS311" s="602"/>
      <c r="AT311" s="602"/>
      <c r="AU311" s="602"/>
      <c r="AV311" s="602"/>
      <c r="AW311" s="602"/>
      <c r="AX311" s="602"/>
      <c r="AY311" s="602"/>
      <c r="AZ311" s="602"/>
      <c r="BA311" s="602"/>
    </row>
    <row r="312" spans="2:53" ht="14" thickBot="1">
      <c r="B312" s="602"/>
      <c r="C312" s="1107">
        <v>2044</v>
      </c>
      <c r="D312" s="1108">
        <v>59.902881061100238</v>
      </c>
      <c r="E312" s="1115">
        <v>34.057352798748838</v>
      </c>
      <c r="F312" s="1115">
        <v>13.763689450310618</v>
      </c>
      <c r="G312" s="1115">
        <v>49.19491528234127</v>
      </c>
      <c r="H312" s="1115">
        <v>82.960849638339482</v>
      </c>
      <c r="I312" s="1108">
        <v>82.960849638339482</v>
      </c>
      <c r="J312" s="1108">
        <v>85.120849638339479</v>
      </c>
      <c r="K312" s="1108">
        <v>80.370849638339479</v>
      </c>
      <c r="L312" s="1108">
        <v>60.70877659234629</v>
      </c>
      <c r="M312" s="1108">
        <v>60.70877659234629</v>
      </c>
      <c r="N312" s="1108">
        <v>48.73235982855357</v>
      </c>
      <c r="O312" s="1118">
        <v>46.961176592602918</v>
      </c>
      <c r="P312" s="1108">
        <v>0.63022054394528793</v>
      </c>
      <c r="Q312" s="602"/>
      <c r="R312" s="602"/>
      <c r="S312" s="602"/>
      <c r="T312" s="602"/>
      <c r="U312" s="602"/>
      <c r="V312" s="602"/>
      <c r="W312" s="602"/>
      <c r="X312" s="602"/>
      <c r="Y312" s="602"/>
      <c r="Z312" s="602"/>
      <c r="AA312" s="602"/>
      <c r="AB312" s="602"/>
      <c r="AC312" s="602"/>
      <c r="AD312" s="602"/>
      <c r="AE312" s="602"/>
      <c r="AF312" s="602"/>
      <c r="AG312" s="602"/>
      <c r="AH312" s="602"/>
      <c r="AI312" s="602"/>
      <c r="AJ312" s="602"/>
      <c r="AK312" s="602"/>
      <c r="AL312" s="602"/>
      <c r="AM312" s="602"/>
      <c r="AN312" s="602"/>
      <c r="AO312" s="602"/>
      <c r="AP312" s="602"/>
      <c r="AQ312" s="602"/>
      <c r="AR312" s="602"/>
      <c r="AS312" s="602"/>
      <c r="AT312" s="602"/>
      <c r="AU312" s="602"/>
      <c r="AV312" s="602"/>
      <c r="AW312" s="602"/>
      <c r="AX312" s="602"/>
      <c r="AY312" s="602"/>
      <c r="AZ312" s="602"/>
      <c r="BA312" s="602"/>
    </row>
    <row r="313" spans="2:53" ht="14" thickBot="1">
      <c r="B313" s="602"/>
      <c r="C313" s="1107">
        <v>2045</v>
      </c>
      <c r="D313" s="1108">
        <v>59.595292454881495</v>
      </c>
      <c r="E313" s="1115">
        <v>34.103438526487338</v>
      </c>
      <c r="F313" s="1115">
        <v>13.727227130091334</v>
      </c>
      <c r="G313" s="1115">
        <v>48.89186673174725</v>
      </c>
      <c r="H313" s="1115">
        <v>82.657801087745469</v>
      </c>
      <c r="I313" s="1108">
        <v>82.657801087745469</v>
      </c>
      <c r="J313" s="1108">
        <v>84.817801087745465</v>
      </c>
      <c r="K313" s="1108">
        <v>80.067801087745465</v>
      </c>
      <c r="L313" s="1108">
        <v>60.719470329291362</v>
      </c>
      <c r="M313" s="1108">
        <v>60.719470329291362</v>
      </c>
      <c r="N313" s="1108">
        <v>48.849720536660548</v>
      </c>
      <c r="O313" s="1118">
        <v>46.961176592602918</v>
      </c>
      <c r="P313" s="1108">
        <v>0.61862361002620292</v>
      </c>
      <c r="Q313" s="602"/>
      <c r="R313" s="602"/>
      <c r="S313" s="602"/>
      <c r="T313" s="602"/>
      <c r="U313" s="602"/>
      <c r="V313" s="602"/>
      <c r="W313" s="602"/>
      <c r="X313" s="602"/>
      <c r="Y313" s="602"/>
      <c r="Z313" s="602"/>
      <c r="AA313" s="602"/>
      <c r="AB313" s="602"/>
      <c r="AC313" s="602"/>
      <c r="AD313" s="602"/>
      <c r="AE313" s="602"/>
      <c r="AF313" s="602"/>
      <c r="AG313" s="602"/>
      <c r="AH313" s="602"/>
      <c r="AI313" s="602"/>
      <c r="AJ313" s="602"/>
      <c r="AK313" s="602"/>
      <c r="AL313" s="602"/>
      <c r="AM313" s="602"/>
      <c r="AN313" s="602"/>
      <c r="AO313" s="602"/>
      <c r="AP313" s="602"/>
      <c r="AQ313" s="602"/>
      <c r="AR313" s="602"/>
      <c r="AS313" s="602"/>
      <c r="AT313" s="602"/>
      <c r="AU313" s="602"/>
      <c r="AV313" s="602"/>
      <c r="AW313" s="602"/>
      <c r="AX313" s="602"/>
      <c r="AY313" s="602"/>
      <c r="AZ313" s="602"/>
      <c r="BA313" s="602"/>
    </row>
    <row r="314" spans="2:53" ht="14" thickBot="1">
      <c r="B314" s="602"/>
      <c r="C314" s="1107">
        <v>2046</v>
      </c>
      <c r="D314" s="1108">
        <v>59.287703848662751</v>
      </c>
      <c r="E314" s="1115">
        <v>34.149524254225838</v>
      </c>
      <c r="F314" s="1115">
        <v>13.690763595157463</v>
      </c>
      <c r="G314" s="1115">
        <v>48.588823945662064</v>
      </c>
      <c r="H314" s="1115">
        <v>82.354758301660269</v>
      </c>
      <c r="I314" s="1108">
        <v>82.354758301660269</v>
      </c>
      <c r="J314" s="1108">
        <v>84.514758301660265</v>
      </c>
      <c r="K314" s="1108">
        <v>79.764758301660265</v>
      </c>
      <c r="L314" s="1108">
        <v>60.774302670903623</v>
      </c>
      <c r="M314" s="1108">
        <v>60.774302670903623</v>
      </c>
      <c r="N314" s="1108">
        <v>49.024574818868821</v>
      </c>
      <c r="O314" s="1118">
        <v>46.961176592602918</v>
      </c>
      <c r="P314" s="1108">
        <v>0.60724007580919959</v>
      </c>
      <c r="Q314" s="602"/>
      <c r="R314" s="602"/>
      <c r="S314" s="602"/>
      <c r="T314" s="602"/>
      <c r="U314" s="602"/>
      <c r="V314" s="602"/>
      <c r="W314" s="602"/>
      <c r="X314" s="602"/>
      <c r="Y314" s="602"/>
      <c r="Z314" s="602"/>
      <c r="AA314" s="602"/>
      <c r="AB314" s="602"/>
      <c r="AC314" s="602"/>
      <c r="AD314" s="602"/>
      <c r="AE314" s="602"/>
      <c r="AF314" s="602"/>
      <c r="AG314" s="602"/>
      <c r="AH314" s="602"/>
      <c r="AI314" s="602"/>
      <c r="AJ314" s="602"/>
      <c r="AK314" s="602"/>
      <c r="AL314" s="602"/>
      <c r="AM314" s="602"/>
      <c r="AN314" s="602"/>
      <c r="AO314" s="602"/>
      <c r="AP314" s="602"/>
      <c r="AQ314" s="602"/>
      <c r="AR314" s="602"/>
      <c r="AS314" s="602"/>
      <c r="AT314" s="602"/>
      <c r="AU314" s="602"/>
      <c r="AV314" s="602"/>
      <c r="AW314" s="602"/>
      <c r="AX314" s="602"/>
      <c r="AY314" s="602"/>
      <c r="AZ314" s="602"/>
      <c r="BA314" s="602"/>
    </row>
    <row r="315" spans="2:53" ht="14" thickBot="1">
      <c r="B315" s="602"/>
      <c r="C315" s="1107">
        <v>2047</v>
      </c>
      <c r="D315" s="1108">
        <v>58.980115242444008</v>
      </c>
      <c r="E315" s="1115">
        <v>34.195609981964324</v>
      </c>
      <c r="F315" s="1115">
        <v>13.654298843955917</v>
      </c>
      <c r="G315" s="1115">
        <v>48.285786931455988</v>
      </c>
      <c r="H315" s="1115">
        <v>82.0517212874542</v>
      </c>
      <c r="I315" s="1108">
        <v>82.0517212874542</v>
      </c>
      <c r="J315" s="1108">
        <v>84.211721287454196</v>
      </c>
      <c r="K315" s="1108">
        <v>79.461721287454196</v>
      </c>
      <c r="L315" s="1108">
        <v>60.828784329157571</v>
      </c>
      <c r="M315" s="1108">
        <v>60.828784329157571</v>
      </c>
      <c r="N315" s="1108">
        <v>49.198719487894593</v>
      </c>
      <c r="O315" s="1118">
        <v>46.961176592602918</v>
      </c>
      <c r="P315" s="1108">
        <v>0.59606601444316643</v>
      </c>
      <c r="Q315" s="602"/>
      <c r="R315" s="602"/>
      <c r="S315" s="602"/>
      <c r="T315" s="602"/>
      <c r="U315" s="602"/>
      <c r="V315" s="602"/>
      <c r="W315" s="602"/>
      <c r="X315" s="602"/>
      <c r="Y315" s="602"/>
      <c r="Z315" s="602"/>
      <c r="AA315" s="602"/>
      <c r="AB315" s="602"/>
      <c r="AC315" s="602"/>
      <c r="AD315" s="602"/>
      <c r="AE315" s="602"/>
      <c r="AF315" s="602"/>
      <c r="AG315" s="602"/>
      <c r="AH315" s="602"/>
      <c r="AI315" s="602"/>
      <c r="AJ315" s="602"/>
      <c r="AK315" s="602"/>
      <c r="AL315" s="602"/>
      <c r="AM315" s="602"/>
      <c r="AN315" s="602"/>
      <c r="AO315" s="602"/>
      <c r="AP315" s="602"/>
      <c r="AQ315" s="602"/>
      <c r="AR315" s="602"/>
      <c r="AS315" s="602"/>
      <c r="AT315" s="602"/>
      <c r="AU315" s="602"/>
      <c r="AV315" s="602"/>
      <c r="AW315" s="602"/>
      <c r="AX315" s="602"/>
      <c r="AY315" s="602"/>
      <c r="AZ315" s="602"/>
      <c r="BA315" s="602"/>
    </row>
    <row r="316" spans="2:53" ht="14" thickBot="1">
      <c r="B316" s="602"/>
      <c r="C316" s="1107">
        <v>2048</v>
      </c>
      <c r="D316" s="1108">
        <v>58.672526636225271</v>
      </c>
      <c r="E316" s="1115">
        <v>34.241695709702832</v>
      </c>
      <c r="F316" s="1115">
        <v>13.617832874931624</v>
      </c>
      <c r="G316" s="1115">
        <v>47.982755696508768</v>
      </c>
      <c r="H316" s="1115">
        <v>81.748690052506987</v>
      </c>
      <c r="I316" s="1108">
        <v>81.748690052506987</v>
      </c>
      <c r="J316" s="1108">
        <v>83.908690052506984</v>
      </c>
      <c r="K316" s="1108">
        <v>79.158690052506984</v>
      </c>
      <c r="L316" s="1108">
        <v>60.882916997101603</v>
      </c>
      <c r="M316" s="1108">
        <v>60.882916997101603</v>
      </c>
      <c r="N316" s="1108">
        <v>49.372158440659689</v>
      </c>
      <c r="O316" s="1118">
        <v>46.961176592602918</v>
      </c>
      <c r="P316" s="1108">
        <v>0.58509757133651041</v>
      </c>
      <c r="Q316" s="602"/>
      <c r="R316" s="602"/>
      <c r="S316" s="602"/>
      <c r="T316" s="602"/>
      <c r="U316" s="602"/>
      <c r="V316" s="602"/>
      <c r="W316" s="602"/>
      <c r="X316" s="602"/>
      <c r="Y316" s="602"/>
      <c r="Z316" s="602"/>
      <c r="AA316" s="602"/>
      <c r="AB316" s="602"/>
      <c r="AC316" s="602"/>
      <c r="AD316" s="602"/>
      <c r="AE316" s="602"/>
      <c r="AF316" s="602"/>
      <c r="AG316" s="602"/>
      <c r="AH316" s="602"/>
      <c r="AI316" s="602"/>
      <c r="AJ316" s="602"/>
      <c r="AK316" s="602"/>
      <c r="AL316" s="602"/>
      <c r="AM316" s="602"/>
      <c r="AN316" s="602"/>
      <c r="AO316" s="602"/>
      <c r="AP316" s="602"/>
      <c r="AQ316" s="602"/>
      <c r="AR316" s="602"/>
      <c r="AS316" s="602"/>
      <c r="AT316" s="602"/>
      <c r="AU316" s="602"/>
      <c r="AV316" s="602"/>
      <c r="AW316" s="602"/>
      <c r="AX316" s="602"/>
      <c r="AY316" s="602"/>
      <c r="AZ316" s="602"/>
      <c r="BA316" s="602"/>
    </row>
    <row r="317" spans="2:53" ht="14" thickBot="1">
      <c r="B317" s="602"/>
      <c r="C317" s="1107">
        <v>2049</v>
      </c>
      <c r="D317" s="1108">
        <v>58.364938030006527</v>
      </c>
      <c r="E317" s="1115">
        <v>34.287781437441318</v>
      </c>
      <c r="F317" s="1115">
        <v>13.581365686527514</v>
      </c>
      <c r="G317" s="1115">
        <v>47.679730248209545</v>
      </c>
      <c r="H317" s="1115">
        <v>81.445664604207764</v>
      </c>
      <c r="I317" s="1108">
        <v>81.445664604207764</v>
      </c>
      <c r="J317" s="1108">
        <v>83.60566460420776</v>
      </c>
      <c r="K317" s="1108">
        <v>78.85566460420776</v>
      </c>
      <c r="L317" s="1108">
        <v>60.936702331670006</v>
      </c>
      <c r="M317" s="1108">
        <v>60.936702331670006</v>
      </c>
      <c r="N317" s="1108">
        <v>49.544895527221009</v>
      </c>
      <c r="O317" s="1118">
        <v>46.961176592602918</v>
      </c>
      <c r="P317" s="1108">
        <v>0.57433096282748075</v>
      </c>
      <c r="Q317" s="602"/>
      <c r="R317" s="602"/>
      <c r="S317" s="602"/>
      <c r="T317" s="602"/>
      <c r="U317" s="602"/>
      <c r="V317" s="602"/>
      <c r="W317" s="602"/>
      <c r="X317" s="602"/>
      <c r="Y317" s="602"/>
      <c r="Z317" s="602"/>
      <c r="AA317" s="602"/>
      <c r="AB317" s="602"/>
      <c r="AC317" s="602"/>
      <c r="AD317" s="602"/>
      <c r="AE317" s="602"/>
      <c r="AF317" s="602"/>
      <c r="AG317" s="602"/>
      <c r="AH317" s="602"/>
      <c r="AI317" s="602"/>
      <c r="AJ317" s="602"/>
      <c r="AK317" s="602"/>
      <c r="AL317" s="602"/>
      <c r="AM317" s="602"/>
      <c r="AN317" s="602"/>
      <c r="AO317" s="602"/>
      <c r="AP317" s="602"/>
      <c r="AQ317" s="602"/>
      <c r="AR317" s="602"/>
      <c r="AS317" s="602"/>
      <c r="AT317" s="602"/>
      <c r="AU317" s="602"/>
      <c r="AV317" s="602"/>
      <c r="AW317" s="602"/>
      <c r="AX317" s="602"/>
      <c r="AY317" s="602"/>
      <c r="AZ317" s="602"/>
      <c r="BA317" s="602"/>
    </row>
    <row r="318" spans="2:53" ht="14" thickBot="1">
      <c r="B318" s="602"/>
      <c r="C318" s="1107">
        <v>2050</v>
      </c>
      <c r="D318" s="1108">
        <v>58.057349423787784</v>
      </c>
      <c r="E318" s="1115">
        <v>34.333867165179825</v>
      </c>
      <c r="F318" s="1115">
        <v>13.544897277184536</v>
      </c>
      <c r="G318" s="1115">
        <v>47.376710593956936</v>
      </c>
      <c r="H318" s="1115">
        <v>81.142644949955155</v>
      </c>
      <c r="I318" s="1108">
        <v>81.142644949955155</v>
      </c>
      <c r="J318" s="1108">
        <v>83.302644949955152</v>
      </c>
      <c r="K318" s="1108">
        <v>78.552644949955152</v>
      </c>
      <c r="L318" s="1108">
        <v>60.990141954059872</v>
      </c>
      <c r="M318" s="1108">
        <v>60.990141954059872</v>
      </c>
      <c r="N318" s="1108">
        <v>49.716934551280723</v>
      </c>
      <c r="O318" s="1118">
        <v>46.961176592602918</v>
      </c>
      <c r="P318" s="1108">
        <v>0.56376247487896203</v>
      </c>
      <c r="Q318" s="602"/>
      <c r="R318" s="602"/>
      <c r="S318" s="602"/>
      <c r="T318" s="602"/>
      <c r="U318" s="602"/>
      <c r="V318" s="602"/>
      <c r="W318" s="602"/>
      <c r="X318" s="602"/>
      <c r="Y318" s="602"/>
      <c r="Z318" s="602"/>
      <c r="AA318" s="602"/>
      <c r="AB318" s="602"/>
      <c r="AC318" s="602"/>
      <c r="AD318" s="602"/>
      <c r="AE318" s="602"/>
      <c r="AF318" s="602"/>
      <c r="AG318" s="602"/>
      <c r="AH318" s="602"/>
      <c r="AI318" s="602"/>
      <c r="AJ318" s="602"/>
      <c r="AK318" s="602"/>
      <c r="AL318" s="602"/>
      <c r="AM318" s="602"/>
      <c r="AN318" s="602"/>
      <c r="AO318" s="602"/>
      <c r="AP318" s="602"/>
      <c r="AQ318" s="602"/>
      <c r="AR318" s="602"/>
      <c r="AS318" s="602"/>
      <c r="AT318" s="602"/>
      <c r="AU318" s="602"/>
      <c r="AV318" s="602"/>
      <c r="AW318" s="602"/>
      <c r="AX318" s="602"/>
      <c r="AY318" s="602"/>
      <c r="AZ318" s="602"/>
      <c r="BA318" s="602"/>
    </row>
    <row r="319" spans="2:53">
      <c r="B319" s="602"/>
      <c r="C319" s="602"/>
      <c r="D319" s="602"/>
      <c r="G319" s="602"/>
      <c r="H319" s="602"/>
      <c r="I319" s="602"/>
      <c r="J319" s="602"/>
      <c r="K319" s="602"/>
      <c r="L319" s="602"/>
      <c r="M319" s="602"/>
      <c r="N319" s="602"/>
      <c r="O319" s="602"/>
      <c r="P319" s="602"/>
      <c r="Q319" s="602"/>
      <c r="R319" s="602"/>
      <c r="S319" s="602"/>
      <c r="T319" s="602"/>
      <c r="U319" s="602"/>
      <c r="V319" s="602"/>
      <c r="W319" s="602"/>
      <c r="X319" s="602"/>
      <c r="Y319" s="602"/>
      <c r="Z319" s="602"/>
      <c r="AA319" s="602"/>
      <c r="AB319" s="602"/>
      <c r="AC319" s="602"/>
      <c r="AD319" s="602"/>
      <c r="AE319" s="602"/>
      <c r="AF319" s="602"/>
      <c r="AG319" s="602"/>
      <c r="AH319" s="602"/>
      <c r="AI319" s="602"/>
      <c r="AJ319" s="602"/>
      <c r="AK319" s="602"/>
      <c r="AL319" s="602"/>
      <c r="AM319" s="602"/>
      <c r="AN319" s="602"/>
      <c r="AO319" s="602"/>
      <c r="AP319" s="602"/>
      <c r="AQ319" s="602"/>
      <c r="AR319" s="602"/>
      <c r="AS319" s="602"/>
      <c r="AT319" s="602"/>
      <c r="AU319" s="602"/>
      <c r="AV319" s="602"/>
      <c r="AW319" s="602"/>
      <c r="AX319" s="602"/>
      <c r="AY319" s="602"/>
      <c r="AZ319" s="602"/>
      <c r="BA319" s="602"/>
    </row>
    <row r="320" spans="2:53">
      <c r="B320" s="602"/>
      <c r="C320" s="602"/>
      <c r="D320" s="602"/>
      <c r="G320" s="602"/>
      <c r="H320" s="602"/>
      <c r="I320" s="602"/>
      <c r="J320" s="602"/>
      <c r="K320" s="602"/>
      <c r="L320" s="602"/>
      <c r="M320" s="602"/>
      <c r="N320" s="602"/>
      <c r="O320" s="602"/>
      <c r="P320" s="602"/>
      <c r="Q320" s="602"/>
      <c r="R320" s="602"/>
      <c r="S320" s="602"/>
      <c r="T320" s="602"/>
      <c r="U320" s="602"/>
      <c r="V320" s="602"/>
      <c r="W320" s="602"/>
      <c r="X320" s="602"/>
      <c r="Y320" s="602"/>
      <c r="Z320" s="602"/>
      <c r="AA320" s="602"/>
      <c r="AB320" s="602"/>
      <c r="AC320" s="602"/>
      <c r="AD320" s="602"/>
      <c r="AE320" s="602"/>
      <c r="AF320" s="602"/>
      <c r="AG320" s="602"/>
      <c r="AH320" s="602"/>
      <c r="AI320" s="602"/>
      <c r="AJ320" s="602"/>
      <c r="AK320" s="602"/>
      <c r="AL320" s="602"/>
      <c r="AM320" s="602"/>
      <c r="AN320" s="602"/>
      <c r="AO320" s="602"/>
      <c r="AP320" s="602"/>
      <c r="AQ320" s="602"/>
      <c r="AR320" s="602"/>
      <c r="AS320" s="602"/>
      <c r="AT320" s="602"/>
      <c r="AU320" s="602"/>
      <c r="AV320" s="602"/>
      <c r="AW320" s="602"/>
      <c r="AX320" s="602"/>
      <c r="AY320" s="602"/>
      <c r="AZ320" s="602"/>
      <c r="BA320" s="602"/>
    </row>
    <row r="321" spans="2:53">
      <c r="B321" s="602"/>
      <c r="C321" s="602"/>
      <c r="D321" s="602"/>
      <c r="G321" s="602"/>
      <c r="H321" s="602"/>
      <c r="I321" s="602"/>
      <c r="J321" s="602"/>
      <c r="K321" s="602"/>
      <c r="L321" s="602"/>
      <c r="M321" s="602"/>
      <c r="N321" s="602"/>
      <c r="O321" s="602"/>
      <c r="P321" s="602"/>
      <c r="Q321" s="602"/>
      <c r="R321" s="602"/>
      <c r="S321" s="602"/>
      <c r="T321" s="602"/>
      <c r="U321" s="602"/>
      <c r="V321" s="602"/>
      <c r="W321" s="602"/>
      <c r="X321" s="602"/>
      <c r="Y321" s="602"/>
      <c r="Z321" s="602"/>
      <c r="AA321" s="602"/>
      <c r="AB321" s="602"/>
      <c r="AC321" s="602"/>
      <c r="AD321" s="602"/>
      <c r="AE321" s="602"/>
      <c r="AF321" s="602"/>
      <c r="AG321" s="602"/>
      <c r="AH321" s="602"/>
      <c r="AI321" s="602"/>
      <c r="AJ321" s="602"/>
      <c r="AK321" s="602"/>
      <c r="AL321" s="602"/>
      <c r="AM321" s="602"/>
      <c r="AN321" s="602"/>
      <c r="AO321" s="602"/>
      <c r="AP321" s="602"/>
      <c r="AQ321" s="602"/>
      <c r="AR321" s="602"/>
      <c r="AS321" s="602"/>
      <c r="AT321" s="602"/>
      <c r="AU321" s="602"/>
      <c r="AV321" s="602"/>
      <c r="AW321" s="602"/>
      <c r="AX321" s="602"/>
      <c r="AY321" s="602"/>
      <c r="AZ321" s="602"/>
      <c r="BA321" s="602"/>
    </row>
    <row r="322" spans="2:53">
      <c r="B322" s="602"/>
      <c r="C322" s="602"/>
      <c r="D322" s="602"/>
      <c r="G322" s="602"/>
      <c r="H322" s="602"/>
      <c r="I322" s="602"/>
      <c r="J322" s="602"/>
      <c r="K322" s="602"/>
      <c r="L322" s="602"/>
      <c r="M322" s="602"/>
      <c r="N322" s="602"/>
      <c r="O322" s="602"/>
      <c r="P322" s="602"/>
      <c r="Q322" s="602"/>
      <c r="R322" s="602"/>
      <c r="S322" s="602"/>
      <c r="T322" s="602"/>
      <c r="U322" s="602"/>
      <c r="V322" s="602"/>
      <c r="W322" s="602"/>
      <c r="X322" s="602"/>
      <c r="Y322" s="602"/>
      <c r="Z322" s="602"/>
      <c r="AA322" s="602"/>
      <c r="AB322" s="602"/>
      <c r="AC322" s="602"/>
      <c r="AD322" s="602"/>
      <c r="AE322" s="602"/>
      <c r="AF322" s="602"/>
      <c r="AG322" s="602"/>
      <c r="AH322" s="602"/>
      <c r="AI322" s="602"/>
      <c r="AJ322" s="602"/>
      <c r="AK322" s="602"/>
      <c r="AL322" s="602"/>
      <c r="AM322" s="602"/>
      <c r="AN322" s="602"/>
      <c r="AO322" s="602"/>
      <c r="AP322" s="602"/>
      <c r="AQ322" s="602"/>
      <c r="AR322" s="602"/>
      <c r="AS322" s="602"/>
      <c r="AT322" s="602"/>
      <c r="AU322" s="602"/>
      <c r="AV322" s="602"/>
      <c r="AW322" s="602"/>
      <c r="AX322" s="602"/>
      <c r="AY322" s="602"/>
      <c r="AZ322" s="602"/>
      <c r="BA322" s="602"/>
    </row>
    <row r="323" spans="2:53">
      <c r="B323" s="602"/>
      <c r="C323" s="602"/>
      <c r="D323" s="602"/>
      <c r="G323" s="602"/>
      <c r="H323" s="602"/>
      <c r="I323" s="602"/>
      <c r="J323" s="602"/>
      <c r="K323" s="602"/>
      <c r="L323" s="602"/>
      <c r="M323" s="602"/>
      <c r="N323" s="602"/>
      <c r="O323" s="602"/>
      <c r="P323" s="602"/>
      <c r="Q323" s="602"/>
      <c r="R323" s="602"/>
      <c r="S323" s="602"/>
      <c r="T323" s="602"/>
      <c r="U323" s="602"/>
      <c r="V323" s="602"/>
      <c r="W323" s="602"/>
      <c r="X323" s="602"/>
      <c r="Y323" s="602"/>
      <c r="Z323" s="602"/>
      <c r="AA323" s="602"/>
      <c r="AB323" s="602"/>
      <c r="AC323" s="602"/>
      <c r="AD323" s="602"/>
      <c r="AE323" s="602"/>
      <c r="AF323" s="602"/>
      <c r="AG323" s="602"/>
      <c r="AH323" s="602"/>
      <c r="AI323" s="602"/>
      <c r="AJ323" s="602"/>
      <c r="AK323" s="602"/>
      <c r="AL323" s="602"/>
      <c r="AM323" s="602"/>
      <c r="AN323" s="602"/>
      <c r="AO323" s="602"/>
      <c r="AP323" s="602"/>
      <c r="AQ323" s="602"/>
      <c r="AR323" s="602"/>
      <c r="AS323" s="602"/>
      <c r="AT323" s="602"/>
      <c r="AU323" s="602"/>
      <c r="AV323" s="602"/>
      <c r="AW323" s="602"/>
      <c r="AX323" s="602"/>
      <c r="AY323" s="602"/>
      <c r="AZ323" s="602"/>
      <c r="BA323" s="602"/>
    </row>
    <row r="324" spans="2:53">
      <c r="B324" s="602"/>
      <c r="C324" s="602"/>
      <c r="D324" s="602"/>
      <c r="G324" s="602"/>
      <c r="H324" s="602"/>
      <c r="I324" s="602"/>
      <c r="J324" s="602"/>
      <c r="K324" s="602"/>
      <c r="L324" s="602"/>
      <c r="M324" s="602"/>
      <c r="N324" s="602"/>
      <c r="O324" s="602"/>
      <c r="P324" s="602"/>
      <c r="Q324" s="602"/>
      <c r="R324" s="602"/>
      <c r="S324" s="602"/>
      <c r="T324" s="602"/>
      <c r="U324" s="602"/>
      <c r="V324" s="602"/>
      <c r="W324" s="602"/>
      <c r="X324" s="602"/>
      <c r="Y324" s="602"/>
      <c r="Z324" s="602"/>
      <c r="AA324" s="602"/>
      <c r="AB324" s="602"/>
      <c r="AC324" s="602"/>
      <c r="AD324" s="602"/>
      <c r="AE324" s="602"/>
      <c r="AF324" s="602"/>
      <c r="AG324" s="602"/>
      <c r="AH324" s="602"/>
      <c r="AI324" s="602"/>
      <c r="AJ324" s="602"/>
      <c r="AK324" s="602"/>
      <c r="AL324" s="602"/>
      <c r="AM324" s="602"/>
      <c r="AN324" s="602"/>
      <c r="AO324" s="602"/>
      <c r="AP324" s="602"/>
      <c r="AQ324" s="602"/>
      <c r="AR324" s="602"/>
      <c r="AS324" s="602"/>
      <c r="AT324" s="602"/>
      <c r="AU324" s="602"/>
      <c r="AV324" s="602"/>
      <c r="AW324" s="602"/>
      <c r="AX324" s="602"/>
      <c r="AY324" s="602"/>
      <c r="AZ324" s="602"/>
      <c r="BA324" s="602"/>
    </row>
    <row r="325" spans="2:53">
      <c r="B325" s="602"/>
      <c r="C325" s="602"/>
      <c r="D325" s="602"/>
      <c r="G325" s="602"/>
      <c r="H325" s="602"/>
      <c r="I325" s="602"/>
      <c r="J325" s="602"/>
      <c r="K325" s="602"/>
      <c r="L325" s="602"/>
      <c r="M325" s="602"/>
      <c r="N325" s="602"/>
      <c r="O325" s="602"/>
      <c r="P325" s="602"/>
      <c r="Q325" s="602"/>
      <c r="R325" s="602"/>
      <c r="S325" s="602"/>
      <c r="T325" s="602"/>
      <c r="U325" s="602"/>
      <c r="V325" s="602"/>
      <c r="W325" s="602"/>
      <c r="X325" s="602"/>
      <c r="Y325" s="602"/>
      <c r="Z325" s="602"/>
      <c r="AA325" s="602"/>
      <c r="AB325" s="602"/>
      <c r="AC325" s="602"/>
      <c r="AD325" s="602"/>
      <c r="AE325" s="602"/>
      <c r="AF325" s="602"/>
      <c r="AG325" s="602"/>
      <c r="AH325" s="602"/>
      <c r="AI325" s="602"/>
      <c r="AJ325" s="602"/>
      <c r="AK325" s="602"/>
      <c r="AL325" s="602"/>
      <c r="AM325" s="602"/>
      <c r="AN325" s="602"/>
      <c r="AO325" s="602"/>
      <c r="AP325" s="602"/>
      <c r="AQ325" s="602"/>
      <c r="AR325" s="602"/>
      <c r="AS325" s="602"/>
      <c r="AT325" s="602"/>
      <c r="AU325" s="602"/>
      <c r="AV325" s="602"/>
      <c r="AW325" s="602"/>
      <c r="AX325" s="602"/>
      <c r="AY325" s="602"/>
      <c r="AZ325" s="602"/>
      <c r="BA325" s="602"/>
    </row>
    <row r="326" spans="2:53">
      <c r="B326" s="602"/>
      <c r="C326" s="602"/>
      <c r="D326" s="602"/>
      <c r="G326" s="602"/>
      <c r="H326" s="602"/>
      <c r="I326" s="602"/>
      <c r="J326" s="602"/>
      <c r="K326" s="602"/>
      <c r="L326" s="602"/>
      <c r="M326" s="602"/>
      <c r="N326" s="602"/>
      <c r="O326" s="602"/>
      <c r="P326" s="602"/>
      <c r="Q326" s="602"/>
      <c r="R326" s="602"/>
      <c r="S326" s="602"/>
      <c r="T326" s="602"/>
      <c r="U326" s="602"/>
      <c r="V326" s="602"/>
      <c r="W326" s="602"/>
      <c r="X326" s="602"/>
      <c r="Y326" s="602"/>
      <c r="Z326" s="602"/>
      <c r="AA326" s="602"/>
      <c r="AB326" s="602"/>
      <c r="AC326" s="602"/>
      <c r="AD326" s="602"/>
      <c r="AE326" s="602"/>
      <c r="AF326" s="602"/>
      <c r="AG326" s="602"/>
      <c r="AH326" s="602"/>
      <c r="AI326" s="602"/>
      <c r="AJ326" s="602"/>
      <c r="AK326" s="602"/>
      <c r="AL326" s="602"/>
      <c r="AM326" s="602"/>
      <c r="AN326" s="602"/>
      <c r="AO326" s="602"/>
      <c r="AP326" s="602"/>
      <c r="AQ326" s="602"/>
      <c r="AR326" s="602"/>
      <c r="AS326" s="602"/>
      <c r="AT326" s="602"/>
      <c r="AU326" s="602"/>
      <c r="AV326" s="602"/>
      <c r="AW326" s="602"/>
      <c r="AX326" s="602"/>
      <c r="AY326" s="602"/>
      <c r="AZ326" s="602"/>
      <c r="BA326" s="602"/>
    </row>
    <row r="327" spans="2:53">
      <c r="B327" s="602"/>
      <c r="C327" s="602"/>
      <c r="D327" s="602"/>
      <c r="G327" s="602"/>
      <c r="H327" s="602"/>
      <c r="I327" s="602"/>
      <c r="J327" s="602"/>
      <c r="K327" s="602"/>
      <c r="L327" s="602"/>
      <c r="M327" s="602"/>
      <c r="N327" s="602"/>
      <c r="O327" s="602"/>
      <c r="P327" s="602"/>
      <c r="Q327" s="602"/>
      <c r="R327" s="602"/>
      <c r="S327" s="602"/>
      <c r="T327" s="602"/>
      <c r="U327" s="602"/>
      <c r="V327" s="602"/>
      <c r="W327" s="602"/>
      <c r="X327" s="602"/>
      <c r="Y327" s="602"/>
      <c r="Z327" s="602"/>
      <c r="AA327" s="602"/>
      <c r="AB327" s="602"/>
      <c r="AC327" s="602"/>
      <c r="AD327" s="602"/>
      <c r="AE327" s="602"/>
      <c r="AF327" s="602"/>
      <c r="AG327" s="602"/>
      <c r="AH327" s="602"/>
      <c r="AI327" s="602"/>
      <c r="AJ327" s="602"/>
      <c r="AK327" s="602"/>
      <c r="AL327" s="602"/>
      <c r="AM327" s="602"/>
      <c r="AN327" s="602"/>
      <c r="AO327" s="602"/>
      <c r="AP327" s="602"/>
      <c r="AQ327" s="602"/>
      <c r="AR327" s="602"/>
      <c r="AS327" s="602"/>
      <c r="AT327" s="602"/>
      <c r="AU327" s="602"/>
      <c r="AV327" s="602"/>
      <c r="AW327" s="602"/>
      <c r="AX327" s="602"/>
      <c r="AY327" s="602"/>
      <c r="AZ327" s="602"/>
      <c r="BA327" s="602"/>
    </row>
    <row r="328" spans="2:53">
      <c r="B328" s="602"/>
      <c r="C328" s="602"/>
      <c r="D328" s="602"/>
      <c r="G328" s="602"/>
      <c r="H328" s="602"/>
      <c r="I328" s="602"/>
      <c r="J328" s="602"/>
      <c r="K328" s="602"/>
      <c r="L328" s="602"/>
      <c r="M328" s="602"/>
      <c r="N328" s="602"/>
      <c r="O328" s="602"/>
      <c r="P328" s="602"/>
      <c r="Q328" s="602"/>
      <c r="R328" s="602"/>
      <c r="S328" s="602"/>
      <c r="T328" s="602"/>
      <c r="U328" s="602"/>
      <c r="V328" s="602"/>
      <c r="W328" s="602"/>
      <c r="X328" s="602"/>
      <c r="Y328" s="602"/>
      <c r="Z328" s="602"/>
      <c r="AA328" s="602"/>
      <c r="AB328" s="602"/>
      <c r="AC328" s="602"/>
      <c r="AD328" s="602"/>
      <c r="AE328" s="602"/>
      <c r="AF328" s="602"/>
      <c r="AG328" s="602"/>
      <c r="AH328" s="602"/>
      <c r="AI328" s="602"/>
      <c r="AJ328" s="602"/>
      <c r="AK328" s="602"/>
      <c r="AL328" s="602"/>
      <c r="AM328" s="602"/>
      <c r="AN328" s="602"/>
      <c r="AO328" s="602"/>
      <c r="AP328" s="602"/>
      <c r="AQ328" s="602"/>
      <c r="AR328" s="602"/>
      <c r="AS328" s="602"/>
      <c r="AT328" s="602"/>
      <c r="AU328" s="602"/>
      <c r="AV328" s="602"/>
      <c r="AW328" s="602"/>
      <c r="AX328" s="602"/>
      <c r="AY328" s="602"/>
      <c r="AZ328" s="602"/>
      <c r="BA328" s="602"/>
    </row>
    <row r="329" spans="2:53">
      <c r="B329" s="602"/>
      <c r="C329" s="602"/>
      <c r="D329" s="602"/>
      <c r="G329" s="602"/>
      <c r="H329" s="602"/>
      <c r="I329" s="602"/>
      <c r="J329" s="602"/>
      <c r="K329" s="602"/>
      <c r="L329" s="602"/>
      <c r="M329" s="602"/>
      <c r="N329" s="602"/>
      <c r="O329" s="602"/>
      <c r="P329" s="602"/>
      <c r="Q329" s="602"/>
      <c r="R329" s="602"/>
      <c r="S329" s="602"/>
      <c r="T329" s="602"/>
      <c r="U329" s="602"/>
      <c r="V329" s="602"/>
      <c r="W329" s="602"/>
      <c r="X329" s="602"/>
      <c r="Y329" s="602"/>
      <c r="Z329" s="602"/>
      <c r="AA329" s="602"/>
      <c r="AB329" s="602"/>
      <c r="AC329" s="602"/>
      <c r="AD329" s="602"/>
      <c r="AE329" s="602"/>
      <c r="AF329" s="602"/>
      <c r="AG329" s="602"/>
      <c r="AH329" s="602"/>
      <c r="AI329" s="602"/>
      <c r="AJ329" s="602"/>
      <c r="AK329" s="602"/>
      <c r="AL329" s="602"/>
      <c r="AM329" s="602"/>
      <c r="AN329" s="602"/>
      <c r="AO329" s="602"/>
      <c r="AP329" s="602"/>
      <c r="AQ329" s="602"/>
      <c r="AR329" s="602"/>
      <c r="AS329" s="602"/>
      <c r="AT329" s="602"/>
      <c r="AU329" s="602"/>
      <c r="AV329" s="602"/>
      <c r="AW329" s="602"/>
      <c r="AX329" s="602"/>
      <c r="AY329" s="602"/>
      <c r="AZ329" s="602"/>
      <c r="BA329" s="602"/>
    </row>
    <row r="330" spans="2:53">
      <c r="B330" s="602"/>
      <c r="C330" s="602"/>
      <c r="D330" s="602"/>
      <c r="G330" s="602"/>
      <c r="H330" s="602"/>
      <c r="I330" s="602"/>
      <c r="J330" s="602"/>
      <c r="K330" s="602"/>
      <c r="L330" s="602"/>
      <c r="M330" s="602"/>
      <c r="N330" s="602"/>
      <c r="O330" s="602"/>
      <c r="P330" s="602"/>
      <c r="Q330" s="602"/>
      <c r="R330" s="602"/>
      <c r="S330" s="602"/>
      <c r="T330" s="602"/>
      <c r="U330" s="602"/>
      <c r="V330" s="602"/>
      <c r="W330" s="602"/>
      <c r="X330" s="602"/>
      <c r="Y330" s="602"/>
      <c r="Z330" s="602"/>
      <c r="AA330" s="602"/>
      <c r="AB330" s="602"/>
      <c r="AC330" s="602"/>
      <c r="AD330" s="602"/>
      <c r="AE330" s="602"/>
      <c r="AF330" s="602"/>
      <c r="AG330" s="602"/>
      <c r="AH330" s="602"/>
      <c r="AI330" s="602"/>
      <c r="AJ330" s="602"/>
      <c r="AK330" s="602"/>
      <c r="AL330" s="602"/>
      <c r="AM330" s="602"/>
      <c r="AN330" s="602"/>
      <c r="AO330" s="602"/>
      <c r="AP330" s="602"/>
      <c r="AQ330" s="602"/>
      <c r="AR330" s="602"/>
      <c r="AS330" s="602"/>
      <c r="AT330" s="602"/>
      <c r="AU330" s="602"/>
      <c r="AV330" s="602"/>
      <c r="AW330" s="602"/>
      <c r="AX330" s="602"/>
      <c r="AY330" s="602"/>
      <c r="AZ330" s="602"/>
      <c r="BA330" s="602"/>
    </row>
    <row r="331" spans="2:53">
      <c r="B331" s="602"/>
      <c r="C331" s="602"/>
      <c r="D331" s="602"/>
      <c r="G331" s="602"/>
      <c r="H331" s="602"/>
      <c r="I331" s="602"/>
      <c r="J331" s="602"/>
      <c r="K331" s="602"/>
      <c r="L331" s="602"/>
      <c r="M331" s="602"/>
      <c r="N331" s="602"/>
      <c r="O331" s="602"/>
      <c r="P331" s="602"/>
      <c r="Q331" s="602"/>
      <c r="R331" s="602"/>
      <c r="S331" s="602"/>
      <c r="T331" s="602"/>
      <c r="U331" s="602"/>
      <c r="V331" s="602"/>
      <c r="W331" s="602"/>
      <c r="X331" s="602"/>
      <c r="Y331" s="602"/>
      <c r="Z331" s="602"/>
      <c r="AA331" s="602"/>
      <c r="AB331" s="602"/>
      <c r="AC331" s="602"/>
      <c r="AD331" s="602"/>
      <c r="AE331" s="602"/>
      <c r="AF331" s="602"/>
      <c r="AG331" s="602"/>
      <c r="AH331" s="602"/>
      <c r="AI331" s="602"/>
      <c r="AJ331" s="602"/>
      <c r="AK331" s="602"/>
      <c r="AL331" s="602"/>
      <c r="AM331" s="602"/>
      <c r="AN331" s="602"/>
      <c r="AO331" s="602"/>
      <c r="AP331" s="602"/>
      <c r="AQ331" s="602"/>
      <c r="AR331" s="602"/>
      <c r="AS331" s="602"/>
      <c r="AT331" s="602"/>
      <c r="AU331" s="602"/>
      <c r="AV331" s="602"/>
      <c r="AW331" s="602"/>
      <c r="AX331" s="602"/>
      <c r="AY331" s="602"/>
      <c r="AZ331" s="602"/>
      <c r="BA331" s="602"/>
    </row>
    <row r="332" spans="2:53">
      <c r="B332" s="602"/>
      <c r="C332" s="602"/>
      <c r="D332" s="602"/>
      <c r="G332" s="602"/>
      <c r="H332" s="602"/>
      <c r="I332" s="602"/>
      <c r="J332" s="602"/>
      <c r="K332" s="602"/>
      <c r="L332" s="602"/>
      <c r="M332" s="602"/>
      <c r="N332" s="602"/>
      <c r="O332" s="602"/>
      <c r="P332" s="602"/>
      <c r="Q332" s="602"/>
      <c r="R332" s="602"/>
      <c r="S332" s="602"/>
      <c r="T332" s="602"/>
      <c r="U332" s="602"/>
      <c r="V332" s="602"/>
      <c r="W332" s="602"/>
      <c r="X332" s="602"/>
      <c r="Y332" s="602"/>
      <c r="Z332" s="602"/>
      <c r="AA332" s="602"/>
      <c r="AB332" s="602"/>
      <c r="AC332" s="602"/>
      <c r="AD332" s="602"/>
      <c r="AE332" s="602"/>
      <c r="AF332" s="602"/>
      <c r="AG332" s="602"/>
      <c r="AH332" s="602"/>
      <c r="AI332" s="602"/>
      <c r="AJ332" s="602"/>
      <c r="AK332" s="602"/>
      <c r="AL332" s="602"/>
      <c r="AM332" s="602"/>
      <c r="AN332" s="602"/>
      <c r="AO332" s="602"/>
      <c r="AP332" s="602"/>
      <c r="AQ332" s="602"/>
      <c r="AR332" s="602"/>
      <c r="AS332" s="602"/>
      <c r="AT332" s="602"/>
      <c r="AU332" s="602"/>
      <c r="AV332" s="602"/>
      <c r="AW332" s="602"/>
      <c r="AX332" s="602"/>
      <c r="AY332" s="602"/>
      <c r="AZ332" s="602"/>
      <c r="BA332" s="602"/>
    </row>
    <row r="333" spans="2:53">
      <c r="B333" s="602"/>
      <c r="C333" s="602"/>
      <c r="D333" s="602"/>
      <c r="G333" s="602"/>
      <c r="H333" s="602"/>
      <c r="I333" s="602"/>
      <c r="J333" s="602"/>
      <c r="K333" s="602"/>
      <c r="L333" s="602"/>
      <c r="M333" s="602"/>
      <c r="N333" s="602"/>
      <c r="O333" s="602"/>
      <c r="P333" s="602"/>
      <c r="Q333" s="602"/>
      <c r="R333" s="602"/>
      <c r="S333" s="602"/>
      <c r="T333" s="602"/>
      <c r="U333" s="602"/>
      <c r="V333" s="602"/>
      <c r="W333" s="602"/>
      <c r="X333" s="602"/>
      <c r="Y333" s="602"/>
      <c r="Z333" s="602"/>
      <c r="AA333" s="602"/>
      <c r="AB333" s="602"/>
      <c r="AC333" s="602"/>
      <c r="AD333" s="602"/>
      <c r="AE333" s="602"/>
      <c r="AF333" s="602"/>
      <c r="AG333" s="602"/>
      <c r="AH333" s="602"/>
      <c r="AI333" s="602"/>
      <c r="AJ333" s="602"/>
      <c r="AK333" s="602"/>
      <c r="AL333" s="602"/>
      <c r="AM333" s="602"/>
      <c r="AN333" s="602"/>
      <c r="AO333" s="602"/>
      <c r="AP333" s="602"/>
      <c r="AQ333" s="602"/>
      <c r="AR333" s="602"/>
      <c r="AS333" s="602"/>
      <c r="AT333" s="602"/>
      <c r="AU333" s="602"/>
      <c r="AV333" s="602"/>
      <c r="AW333" s="602"/>
      <c r="AX333" s="602"/>
      <c r="AY333" s="602"/>
      <c r="AZ333" s="602"/>
      <c r="BA333" s="602"/>
    </row>
    <row r="334" spans="2:53">
      <c r="B334" s="602"/>
      <c r="C334" s="602"/>
      <c r="D334" s="602"/>
      <c r="G334" s="602"/>
      <c r="H334" s="602"/>
      <c r="I334" s="602"/>
      <c r="J334" s="602"/>
      <c r="K334" s="602"/>
      <c r="L334" s="602"/>
      <c r="M334" s="602"/>
      <c r="N334" s="602"/>
      <c r="O334" s="602"/>
      <c r="P334" s="602"/>
      <c r="Q334" s="602"/>
      <c r="R334" s="602"/>
      <c r="S334" s="602"/>
      <c r="T334" s="602"/>
      <c r="U334" s="602"/>
      <c r="V334" s="602"/>
      <c r="W334" s="602"/>
      <c r="X334" s="602"/>
      <c r="Y334" s="602"/>
      <c r="Z334" s="602"/>
      <c r="AA334" s="602"/>
      <c r="AB334" s="602"/>
      <c r="AC334" s="602"/>
      <c r="AD334" s="602"/>
      <c r="AE334" s="602"/>
      <c r="AF334" s="602"/>
      <c r="AG334" s="602"/>
      <c r="AH334" s="602"/>
      <c r="AI334" s="602"/>
      <c r="AJ334" s="602"/>
      <c r="AK334" s="602"/>
      <c r="AL334" s="602"/>
      <c r="AM334" s="602"/>
      <c r="AN334" s="602"/>
      <c r="AO334" s="602"/>
      <c r="AP334" s="602"/>
      <c r="AQ334" s="602"/>
      <c r="AR334" s="602"/>
      <c r="AS334" s="602"/>
      <c r="AT334" s="602"/>
      <c r="AU334" s="602"/>
      <c r="AV334" s="602"/>
      <c r="AW334" s="602"/>
      <c r="AX334" s="602"/>
      <c r="AY334" s="602"/>
      <c r="AZ334" s="602"/>
      <c r="BA334" s="602"/>
    </row>
    <row r="335" spans="2:53">
      <c r="B335" s="602"/>
      <c r="C335" s="602"/>
      <c r="D335" s="602"/>
      <c r="G335" s="602"/>
      <c r="H335" s="602"/>
      <c r="I335" s="602"/>
      <c r="J335" s="602"/>
      <c r="K335" s="602"/>
      <c r="L335" s="602"/>
      <c r="M335" s="602"/>
      <c r="N335" s="602"/>
      <c r="O335" s="602"/>
      <c r="P335" s="602"/>
      <c r="Q335" s="602"/>
      <c r="R335" s="602"/>
      <c r="S335" s="602"/>
      <c r="T335" s="602"/>
      <c r="U335" s="602"/>
      <c r="V335" s="602"/>
      <c r="W335" s="602"/>
      <c r="X335" s="602"/>
      <c r="Y335" s="602"/>
      <c r="Z335" s="602"/>
      <c r="AA335" s="602"/>
      <c r="AB335" s="602"/>
      <c r="AC335" s="602"/>
      <c r="AD335" s="602"/>
      <c r="AE335" s="602"/>
      <c r="AF335" s="602"/>
      <c r="AG335" s="602"/>
      <c r="AH335" s="602"/>
      <c r="AI335" s="602"/>
      <c r="AJ335" s="602"/>
      <c r="AK335" s="602"/>
      <c r="AL335" s="602"/>
      <c r="AM335" s="602"/>
      <c r="AN335" s="602"/>
      <c r="AO335" s="602"/>
      <c r="AP335" s="602"/>
      <c r="AQ335" s="602"/>
      <c r="AR335" s="602"/>
      <c r="AS335" s="602"/>
      <c r="AT335" s="602"/>
      <c r="AU335" s="602"/>
      <c r="AV335" s="602"/>
      <c r="AW335" s="602"/>
      <c r="AX335" s="602"/>
      <c r="AY335" s="602"/>
      <c r="AZ335" s="602"/>
      <c r="BA335" s="602"/>
    </row>
    <row r="336" spans="2:53">
      <c r="B336" s="602"/>
      <c r="C336" s="602"/>
      <c r="D336" s="602"/>
      <c r="G336" s="602"/>
      <c r="H336" s="602"/>
      <c r="I336" s="602"/>
      <c r="J336" s="602"/>
      <c r="K336" s="602"/>
      <c r="L336" s="602"/>
      <c r="M336" s="602"/>
      <c r="N336" s="602"/>
      <c r="O336" s="602"/>
      <c r="P336" s="602"/>
      <c r="Q336" s="602"/>
      <c r="R336" s="602"/>
      <c r="S336" s="602"/>
      <c r="T336" s="602"/>
      <c r="U336" s="602"/>
      <c r="V336" s="602"/>
      <c r="W336" s="602"/>
      <c r="X336" s="602"/>
      <c r="Y336" s="602"/>
      <c r="Z336" s="602"/>
      <c r="AA336" s="602"/>
      <c r="AB336" s="602"/>
      <c r="AC336" s="602"/>
      <c r="AD336" s="602"/>
      <c r="AE336" s="602"/>
      <c r="AF336" s="602"/>
      <c r="AG336" s="602"/>
      <c r="AH336" s="602"/>
      <c r="AI336" s="602"/>
      <c r="AJ336" s="602"/>
      <c r="AK336" s="602"/>
      <c r="AL336" s="602"/>
      <c r="AM336" s="602"/>
      <c r="AN336" s="602"/>
      <c r="AO336" s="602"/>
      <c r="AP336" s="602"/>
      <c r="AQ336" s="602"/>
      <c r="AR336" s="602"/>
      <c r="AS336" s="602"/>
      <c r="AT336" s="602"/>
      <c r="AU336" s="602"/>
      <c r="AV336" s="602"/>
      <c r="AW336" s="602"/>
      <c r="AX336" s="602"/>
      <c r="AY336" s="602"/>
      <c r="AZ336" s="602"/>
      <c r="BA336" s="602"/>
    </row>
    <row r="337" spans="2:53">
      <c r="B337" s="602"/>
      <c r="C337" s="602"/>
      <c r="D337" s="602"/>
      <c r="G337" s="602"/>
      <c r="H337" s="602"/>
      <c r="I337" s="602"/>
      <c r="J337" s="602"/>
      <c r="K337" s="602"/>
      <c r="L337" s="602"/>
      <c r="M337" s="602"/>
      <c r="N337" s="602"/>
      <c r="O337" s="602"/>
      <c r="P337" s="602"/>
      <c r="Q337" s="602"/>
      <c r="R337" s="602"/>
      <c r="S337" s="602"/>
      <c r="T337" s="602"/>
      <c r="U337" s="602"/>
      <c r="V337" s="602"/>
      <c r="W337" s="602"/>
      <c r="X337" s="602"/>
      <c r="Y337" s="602"/>
      <c r="Z337" s="602"/>
      <c r="AA337" s="602"/>
      <c r="AB337" s="602"/>
      <c r="AC337" s="602"/>
      <c r="AD337" s="602"/>
      <c r="AE337" s="602"/>
      <c r="AF337" s="602"/>
      <c r="AG337" s="602"/>
      <c r="AH337" s="602"/>
      <c r="AI337" s="602"/>
      <c r="AJ337" s="602"/>
      <c r="AK337" s="602"/>
      <c r="AL337" s="602"/>
      <c r="AM337" s="602"/>
      <c r="AN337" s="602"/>
      <c r="AO337" s="602"/>
      <c r="AP337" s="602"/>
      <c r="AQ337" s="602"/>
      <c r="AR337" s="602"/>
      <c r="AS337" s="602"/>
      <c r="AT337" s="602"/>
      <c r="AU337" s="602"/>
      <c r="AV337" s="602"/>
      <c r="AW337" s="602"/>
      <c r="AX337" s="602"/>
      <c r="AY337" s="602"/>
      <c r="AZ337" s="602"/>
      <c r="BA337" s="602"/>
    </row>
    <row r="338" spans="2:53">
      <c r="B338" s="602"/>
      <c r="C338" s="602"/>
      <c r="D338" s="602"/>
      <c r="G338" s="602"/>
      <c r="H338" s="602"/>
      <c r="I338" s="602"/>
      <c r="J338" s="602"/>
      <c r="K338" s="602"/>
      <c r="L338" s="602"/>
      <c r="M338" s="602"/>
      <c r="N338" s="602"/>
      <c r="O338" s="602"/>
      <c r="P338" s="602"/>
      <c r="Q338" s="602"/>
      <c r="R338" s="602"/>
      <c r="S338" s="602"/>
      <c r="T338" s="602"/>
      <c r="U338" s="602"/>
      <c r="V338" s="602"/>
      <c r="W338" s="602"/>
      <c r="X338" s="602"/>
      <c r="Y338" s="602"/>
      <c r="Z338" s="602"/>
      <c r="AA338" s="602"/>
      <c r="AB338" s="602"/>
      <c r="AC338" s="602"/>
      <c r="AD338" s="602"/>
      <c r="AE338" s="602"/>
      <c r="AF338" s="602"/>
      <c r="AG338" s="602"/>
      <c r="AH338" s="602"/>
      <c r="AI338" s="602"/>
      <c r="AJ338" s="602"/>
      <c r="AK338" s="602"/>
      <c r="AL338" s="602"/>
      <c r="AM338" s="602"/>
      <c r="AN338" s="602"/>
      <c r="AO338" s="602"/>
      <c r="AP338" s="602"/>
      <c r="AQ338" s="602"/>
      <c r="AR338" s="602"/>
      <c r="AS338" s="602"/>
      <c r="AT338" s="602"/>
      <c r="AU338" s="602"/>
      <c r="AV338" s="602"/>
      <c r="AW338" s="602"/>
      <c r="AX338" s="602"/>
      <c r="AY338" s="602"/>
      <c r="AZ338" s="602"/>
      <c r="BA338" s="602"/>
    </row>
    <row r="339" spans="2:53">
      <c r="B339" s="602"/>
      <c r="C339" s="602"/>
      <c r="D339" s="602"/>
      <c r="G339" s="602"/>
      <c r="H339" s="602"/>
      <c r="I339" s="602"/>
      <c r="J339" s="602"/>
      <c r="K339" s="602"/>
      <c r="L339" s="602"/>
      <c r="M339" s="602"/>
      <c r="N339" s="602"/>
      <c r="O339" s="602"/>
      <c r="P339" s="602"/>
      <c r="Q339" s="602"/>
      <c r="R339" s="602"/>
      <c r="S339" s="602"/>
      <c r="T339" s="602"/>
      <c r="U339" s="602"/>
      <c r="V339" s="602"/>
      <c r="W339" s="602"/>
      <c r="X339" s="602"/>
      <c r="Y339" s="602"/>
      <c r="Z339" s="602"/>
      <c r="AA339" s="602"/>
      <c r="AB339" s="602"/>
      <c r="AC339" s="602"/>
      <c r="AD339" s="602"/>
      <c r="AE339" s="602"/>
      <c r="AF339" s="602"/>
      <c r="AG339" s="602"/>
      <c r="AH339" s="602"/>
      <c r="AI339" s="602"/>
      <c r="AJ339" s="602"/>
      <c r="AK339" s="602"/>
      <c r="AL339" s="602"/>
      <c r="AM339" s="602"/>
      <c r="AN339" s="602"/>
      <c r="AO339" s="602"/>
      <c r="AP339" s="602"/>
      <c r="AQ339" s="602"/>
      <c r="AR339" s="602"/>
      <c r="AS339" s="602"/>
      <c r="AT339" s="602"/>
      <c r="AU339" s="602"/>
      <c r="AV339" s="602"/>
      <c r="AW339" s="602"/>
      <c r="AX339" s="602"/>
      <c r="AY339" s="602"/>
      <c r="AZ339" s="602"/>
      <c r="BA339" s="602"/>
    </row>
    <row r="340" spans="2:53">
      <c r="B340" s="602"/>
      <c r="C340" s="602"/>
      <c r="D340" s="602"/>
      <c r="G340" s="602"/>
      <c r="H340" s="602"/>
      <c r="I340" s="602"/>
      <c r="J340" s="602"/>
      <c r="K340" s="602"/>
      <c r="L340" s="602"/>
      <c r="M340" s="602"/>
      <c r="N340" s="602"/>
      <c r="O340" s="602"/>
      <c r="P340" s="602"/>
      <c r="Q340" s="602"/>
      <c r="R340" s="602"/>
      <c r="S340" s="602"/>
      <c r="T340" s="602"/>
      <c r="U340" s="602"/>
      <c r="V340" s="602"/>
      <c r="W340" s="602"/>
      <c r="X340" s="602"/>
      <c r="Y340" s="602"/>
      <c r="Z340" s="602"/>
      <c r="AA340" s="602"/>
      <c r="AB340" s="602"/>
      <c r="AC340" s="602"/>
      <c r="AD340" s="602"/>
      <c r="AE340" s="602"/>
      <c r="AF340" s="602"/>
      <c r="AG340" s="602"/>
      <c r="AH340" s="602"/>
      <c r="AI340" s="602"/>
      <c r="AJ340" s="602"/>
      <c r="AK340" s="602"/>
      <c r="AL340" s="602"/>
      <c r="AM340" s="602"/>
      <c r="AN340" s="602"/>
      <c r="AO340" s="602"/>
      <c r="AP340" s="602"/>
      <c r="AQ340" s="602"/>
      <c r="AR340" s="602"/>
      <c r="AS340" s="602"/>
      <c r="AT340" s="602"/>
      <c r="AU340" s="602"/>
      <c r="AV340" s="602"/>
      <c r="AW340" s="602"/>
      <c r="AX340" s="602"/>
      <c r="AY340" s="602"/>
      <c r="AZ340" s="602"/>
      <c r="BA340" s="602"/>
    </row>
    <row r="341" spans="2:53">
      <c r="B341" s="602"/>
      <c r="C341" s="602"/>
      <c r="D341" s="602"/>
      <c r="G341" s="602"/>
      <c r="H341" s="602"/>
      <c r="I341" s="602"/>
      <c r="J341" s="602"/>
      <c r="K341" s="602"/>
      <c r="L341" s="602"/>
      <c r="M341" s="602"/>
      <c r="N341" s="602"/>
      <c r="O341" s="602"/>
      <c r="P341" s="602"/>
      <c r="Q341" s="602"/>
      <c r="R341" s="602"/>
      <c r="S341" s="602"/>
      <c r="T341" s="602"/>
      <c r="U341" s="602"/>
      <c r="V341" s="602"/>
      <c r="W341" s="602"/>
      <c r="X341" s="602"/>
      <c r="Y341" s="602"/>
      <c r="Z341" s="602"/>
      <c r="AA341" s="602"/>
      <c r="AB341" s="602"/>
      <c r="AC341" s="602"/>
      <c r="AD341" s="602"/>
      <c r="AE341" s="602"/>
      <c r="AF341" s="602"/>
      <c r="AG341" s="602"/>
      <c r="AH341" s="602"/>
      <c r="AI341" s="602"/>
      <c r="AJ341" s="602"/>
      <c r="AK341" s="602"/>
      <c r="AL341" s="602"/>
      <c r="AM341" s="602"/>
      <c r="AN341" s="602"/>
      <c r="AO341" s="602"/>
      <c r="AP341" s="602"/>
      <c r="AQ341" s="602"/>
      <c r="AR341" s="602"/>
      <c r="AS341" s="602"/>
      <c r="AT341" s="602"/>
      <c r="AU341" s="602"/>
      <c r="AV341" s="602"/>
      <c r="AW341" s="602"/>
      <c r="AX341" s="602"/>
      <c r="AY341" s="602"/>
      <c r="AZ341" s="602"/>
      <c r="BA341" s="602"/>
    </row>
    <row r="342" spans="2:53">
      <c r="B342" s="602"/>
      <c r="C342" s="602"/>
      <c r="D342" s="602"/>
      <c r="G342" s="602"/>
      <c r="H342" s="602"/>
      <c r="I342" s="602"/>
      <c r="J342" s="602"/>
      <c r="K342" s="602"/>
      <c r="L342" s="602"/>
      <c r="M342" s="602"/>
      <c r="N342" s="602"/>
      <c r="O342" s="602"/>
      <c r="P342" s="602"/>
      <c r="Q342" s="602"/>
      <c r="R342" s="602"/>
      <c r="S342" s="602"/>
      <c r="T342" s="602"/>
      <c r="U342" s="602"/>
      <c r="V342" s="602"/>
      <c r="W342" s="602"/>
      <c r="X342" s="602"/>
      <c r="Y342" s="602"/>
      <c r="Z342" s="602"/>
      <c r="AA342" s="602"/>
      <c r="AB342" s="602"/>
      <c r="AC342" s="602"/>
      <c r="AD342" s="602"/>
      <c r="AE342" s="602"/>
      <c r="AF342" s="602"/>
      <c r="AG342" s="602"/>
      <c r="AH342" s="602"/>
      <c r="AI342" s="602"/>
      <c r="AJ342" s="602"/>
      <c r="AK342" s="602"/>
      <c r="AL342" s="602"/>
      <c r="AM342" s="602"/>
      <c r="AN342" s="602"/>
      <c r="AO342" s="602"/>
      <c r="AP342" s="602"/>
      <c r="AQ342" s="602"/>
      <c r="AR342" s="602"/>
      <c r="AS342" s="602"/>
      <c r="AT342" s="602"/>
      <c r="AU342" s="602"/>
      <c r="AV342" s="602"/>
      <c r="AW342" s="602"/>
      <c r="AX342" s="602"/>
      <c r="AY342" s="602"/>
      <c r="AZ342" s="602"/>
      <c r="BA342" s="602"/>
    </row>
    <row r="343" spans="2:53">
      <c r="B343" s="602"/>
      <c r="C343" s="602"/>
      <c r="D343" s="602"/>
      <c r="G343" s="602"/>
      <c r="H343" s="602"/>
      <c r="I343" s="602"/>
      <c r="J343" s="602"/>
      <c r="K343" s="602"/>
      <c r="L343" s="602"/>
      <c r="M343" s="602"/>
      <c r="N343" s="602"/>
      <c r="O343" s="602"/>
      <c r="P343" s="602"/>
      <c r="Q343" s="602"/>
      <c r="R343" s="602"/>
      <c r="S343" s="602"/>
      <c r="T343" s="602"/>
      <c r="U343" s="602"/>
      <c r="V343" s="602"/>
      <c r="W343" s="602"/>
      <c r="X343" s="602"/>
      <c r="Y343" s="602"/>
      <c r="Z343" s="602"/>
      <c r="AA343" s="602"/>
      <c r="AB343" s="602"/>
      <c r="AC343" s="602"/>
      <c r="AD343" s="602"/>
      <c r="AE343" s="602"/>
      <c r="AF343" s="602"/>
      <c r="AG343" s="602"/>
      <c r="AH343" s="602"/>
      <c r="AI343" s="602"/>
      <c r="AJ343" s="602"/>
      <c r="AK343" s="602"/>
      <c r="AL343" s="602"/>
      <c r="AM343" s="602"/>
      <c r="AN343" s="602"/>
      <c r="AO343" s="602"/>
      <c r="AP343" s="602"/>
      <c r="AQ343" s="602"/>
      <c r="AR343" s="602"/>
      <c r="AS343" s="602"/>
      <c r="AT343" s="602"/>
      <c r="AU343" s="602"/>
      <c r="AV343" s="602"/>
      <c r="AW343" s="602"/>
      <c r="AX343" s="602"/>
      <c r="AY343" s="602"/>
      <c r="AZ343" s="602"/>
      <c r="BA343" s="602"/>
    </row>
    <row r="344" spans="2:53">
      <c r="B344" s="602"/>
      <c r="C344" s="602"/>
      <c r="D344" s="602"/>
      <c r="G344" s="602"/>
      <c r="H344" s="602"/>
      <c r="I344" s="602"/>
      <c r="J344" s="602"/>
      <c r="K344" s="602"/>
      <c r="L344" s="602"/>
      <c r="M344" s="602"/>
      <c r="N344" s="602"/>
      <c r="O344" s="602"/>
      <c r="P344" s="602"/>
      <c r="Q344" s="602"/>
      <c r="R344" s="602"/>
      <c r="S344" s="602"/>
      <c r="T344" s="602"/>
      <c r="U344" s="602"/>
      <c r="V344" s="602"/>
      <c r="W344" s="602"/>
      <c r="X344" s="602"/>
      <c r="Y344" s="602"/>
      <c r="Z344" s="602"/>
      <c r="AA344" s="602"/>
      <c r="AB344" s="602"/>
      <c r="AC344" s="602"/>
      <c r="AD344" s="602"/>
      <c r="AE344" s="602"/>
      <c r="AF344" s="602"/>
      <c r="AG344" s="602"/>
      <c r="AH344" s="602"/>
      <c r="AI344" s="602"/>
      <c r="AJ344" s="602"/>
      <c r="AK344" s="602"/>
      <c r="AL344" s="602"/>
      <c r="AM344" s="602"/>
      <c r="AN344" s="602"/>
      <c r="AO344" s="602"/>
      <c r="AP344" s="602"/>
      <c r="AQ344" s="602"/>
      <c r="AR344" s="602"/>
      <c r="AS344" s="602"/>
      <c r="AT344" s="602"/>
      <c r="AU344" s="602"/>
      <c r="AV344" s="602"/>
      <c r="AW344" s="602"/>
      <c r="AX344" s="602"/>
      <c r="AY344" s="602"/>
      <c r="AZ344" s="602"/>
      <c r="BA344" s="602"/>
    </row>
    <row r="345" spans="2:53">
      <c r="B345" s="602"/>
      <c r="C345" s="602"/>
      <c r="D345" s="602"/>
      <c r="G345" s="602"/>
      <c r="H345" s="602"/>
      <c r="I345" s="602"/>
      <c r="J345" s="602"/>
      <c r="K345" s="602"/>
      <c r="L345" s="602"/>
      <c r="M345" s="602"/>
      <c r="N345" s="602"/>
      <c r="O345" s="602"/>
      <c r="P345" s="602"/>
      <c r="Q345" s="602"/>
      <c r="R345" s="602"/>
      <c r="S345" s="602"/>
      <c r="T345" s="602"/>
      <c r="U345" s="602"/>
      <c r="V345" s="602"/>
      <c r="W345" s="602"/>
      <c r="X345" s="602"/>
      <c r="Y345" s="602"/>
      <c r="Z345" s="602"/>
      <c r="AA345" s="602"/>
      <c r="AB345" s="602"/>
      <c r="AC345" s="602"/>
      <c r="AD345" s="602"/>
      <c r="AE345" s="602"/>
      <c r="AF345" s="602"/>
      <c r="AG345" s="602"/>
      <c r="AH345" s="602"/>
      <c r="AI345" s="602"/>
      <c r="AJ345" s="602"/>
      <c r="AK345" s="602"/>
      <c r="AL345" s="602"/>
      <c r="AM345" s="602"/>
      <c r="AN345" s="602"/>
      <c r="AO345" s="602"/>
      <c r="AP345" s="602"/>
      <c r="AQ345" s="602"/>
      <c r="AR345" s="602"/>
      <c r="AS345" s="602"/>
      <c r="AT345" s="602"/>
      <c r="AU345" s="602"/>
      <c r="AV345" s="602"/>
      <c r="AW345" s="602"/>
      <c r="AX345" s="602"/>
      <c r="AY345" s="602"/>
      <c r="AZ345" s="602"/>
      <c r="BA345" s="602"/>
    </row>
    <row r="346" spans="2:53">
      <c r="B346" s="602"/>
      <c r="C346" s="602"/>
      <c r="D346" s="602"/>
      <c r="G346" s="602"/>
      <c r="H346" s="602"/>
      <c r="I346" s="602"/>
      <c r="J346" s="602"/>
      <c r="K346" s="602"/>
      <c r="L346" s="602"/>
      <c r="M346" s="602"/>
      <c r="N346" s="602"/>
      <c r="O346" s="602"/>
      <c r="P346" s="602"/>
      <c r="Q346" s="602"/>
      <c r="R346" s="602"/>
      <c r="S346" s="602"/>
      <c r="T346" s="602"/>
      <c r="U346" s="602"/>
      <c r="V346" s="602"/>
      <c r="W346" s="602"/>
      <c r="X346" s="602"/>
      <c r="Y346" s="602"/>
      <c r="Z346" s="602"/>
      <c r="AA346" s="602"/>
      <c r="AB346" s="602"/>
      <c r="AC346" s="602"/>
      <c r="AD346" s="602"/>
      <c r="AE346" s="602"/>
      <c r="AF346" s="602"/>
      <c r="AG346" s="602"/>
      <c r="AH346" s="602"/>
      <c r="AI346" s="602"/>
      <c r="AJ346" s="602"/>
      <c r="AK346" s="602"/>
      <c r="AL346" s="602"/>
      <c r="AM346" s="602"/>
      <c r="AN346" s="602"/>
      <c r="AO346" s="602"/>
      <c r="AP346" s="602"/>
      <c r="AQ346" s="602"/>
      <c r="AR346" s="602"/>
      <c r="AS346" s="602"/>
      <c r="AT346" s="602"/>
      <c r="AU346" s="602"/>
      <c r="AV346" s="602"/>
      <c r="AW346" s="602"/>
      <c r="AX346" s="602"/>
      <c r="AY346" s="602"/>
      <c r="AZ346" s="602"/>
      <c r="BA346" s="602"/>
    </row>
    <row r="347" spans="2:53">
      <c r="B347" s="602"/>
      <c r="C347" s="602"/>
      <c r="D347" s="602"/>
      <c r="G347" s="602"/>
      <c r="H347" s="602"/>
      <c r="I347" s="602"/>
      <c r="J347" s="602"/>
      <c r="K347" s="602"/>
      <c r="L347" s="602"/>
      <c r="M347" s="602"/>
      <c r="N347" s="602"/>
      <c r="O347" s="602"/>
      <c r="P347" s="602"/>
      <c r="Q347" s="602"/>
      <c r="R347" s="602"/>
      <c r="S347" s="602"/>
      <c r="T347" s="602"/>
      <c r="U347" s="602"/>
      <c r="V347" s="602"/>
      <c r="W347" s="602"/>
      <c r="X347" s="602"/>
      <c r="Y347" s="602"/>
      <c r="Z347" s="602"/>
      <c r="AA347" s="602"/>
      <c r="AB347" s="602"/>
      <c r="AC347" s="602"/>
      <c r="AD347" s="602"/>
      <c r="AE347" s="602"/>
      <c r="AF347" s="602"/>
      <c r="AG347" s="602"/>
      <c r="AH347" s="602"/>
      <c r="AI347" s="602"/>
      <c r="AJ347" s="602"/>
      <c r="AK347" s="602"/>
      <c r="AL347" s="602"/>
      <c r="AM347" s="602"/>
      <c r="AN347" s="602"/>
      <c r="AO347" s="602"/>
      <c r="AP347" s="602"/>
      <c r="AQ347" s="602"/>
      <c r="AR347" s="602"/>
      <c r="AS347" s="602"/>
      <c r="AT347" s="602"/>
      <c r="AU347" s="602"/>
      <c r="AV347" s="602"/>
      <c r="AW347" s="602"/>
      <c r="AX347" s="602"/>
      <c r="AY347" s="602"/>
      <c r="AZ347" s="602"/>
      <c r="BA347" s="602"/>
    </row>
    <row r="348" spans="2:53">
      <c r="B348" s="602"/>
      <c r="C348" s="602"/>
      <c r="D348" s="602"/>
      <c r="G348" s="602"/>
      <c r="H348" s="602"/>
      <c r="I348" s="602"/>
      <c r="J348" s="602"/>
      <c r="K348" s="602"/>
      <c r="L348" s="602"/>
      <c r="M348" s="602"/>
      <c r="N348" s="602"/>
      <c r="O348" s="602"/>
      <c r="P348" s="602"/>
      <c r="Q348" s="602"/>
      <c r="R348" s="602"/>
      <c r="S348" s="602"/>
      <c r="T348" s="602"/>
      <c r="U348" s="602"/>
      <c r="V348" s="602"/>
      <c r="W348" s="602"/>
      <c r="X348" s="602"/>
      <c r="Y348" s="602"/>
      <c r="Z348" s="602"/>
      <c r="AA348" s="602"/>
      <c r="AB348" s="602"/>
      <c r="AC348" s="602"/>
      <c r="AD348" s="602"/>
      <c r="AE348" s="602"/>
      <c r="AF348" s="602"/>
      <c r="AG348" s="602"/>
      <c r="AH348" s="602"/>
      <c r="AI348" s="602"/>
      <c r="AJ348" s="602"/>
      <c r="AK348" s="602"/>
      <c r="AL348" s="602"/>
      <c r="AM348" s="602"/>
      <c r="AN348" s="602"/>
      <c r="AO348" s="602"/>
      <c r="AP348" s="602"/>
      <c r="AQ348" s="602"/>
      <c r="AR348" s="602"/>
      <c r="AS348" s="602"/>
      <c r="AT348" s="602"/>
      <c r="AU348" s="602"/>
      <c r="AV348" s="602"/>
      <c r="AW348" s="602"/>
      <c r="AX348" s="602"/>
      <c r="AY348" s="602"/>
      <c r="AZ348" s="602"/>
      <c r="BA348" s="602"/>
    </row>
    <row r="349" spans="2:53">
      <c r="B349" s="602"/>
      <c r="C349" s="602"/>
      <c r="D349" s="602"/>
      <c r="G349" s="602"/>
      <c r="H349" s="602"/>
      <c r="I349" s="602"/>
      <c r="J349" s="602"/>
      <c r="K349" s="602"/>
      <c r="L349" s="602"/>
      <c r="M349" s="602"/>
      <c r="N349" s="602"/>
      <c r="O349" s="602"/>
      <c r="P349" s="602"/>
      <c r="Q349" s="602"/>
      <c r="R349" s="602"/>
      <c r="S349" s="602"/>
      <c r="T349" s="602"/>
      <c r="U349" s="602"/>
      <c r="V349" s="602"/>
      <c r="W349" s="602"/>
      <c r="X349" s="602"/>
      <c r="Y349" s="602"/>
      <c r="Z349" s="602"/>
      <c r="AA349" s="602"/>
      <c r="AB349" s="602"/>
      <c r="AC349" s="602"/>
      <c r="AD349" s="602"/>
      <c r="AE349" s="602"/>
      <c r="AF349" s="602"/>
      <c r="AG349" s="602"/>
      <c r="AH349" s="602"/>
      <c r="AI349" s="602"/>
      <c r="AJ349" s="602"/>
      <c r="AK349" s="602"/>
      <c r="AL349" s="602"/>
      <c r="AM349" s="602"/>
      <c r="AN349" s="602"/>
      <c r="AO349" s="602"/>
      <c r="AP349" s="602"/>
      <c r="AQ349" s="602"/>
      <c r="AR349" s="602"/>
      <c r="AS349" s="602"/>
      <c r="AT349" s="602"/>
      <c r="AU349" s="602"/>
      <c r="AV349" s="602"/>
      <c r="AW349" s="602"/>
      <c r="AX349" s="602"/>
      <c r="AY349" s="602"/>
      <c r="AZ349" s="602"/>
      <c r="BA349" s="602"/>
    </row>
    <row r="350" spans="2:53">
      <c r="B350" s="602"/>
      <c r="C350" s="602"/>
      <c r="D350" s="602"/>
      <c r="G350" s="602"/>
      <c r="H350" s="602"/>
      <c r="I350" s="602"/>
      <c r="J350" s="602"/>
      <c r="K350" s="602"/>
      <c r="L350" s="602"/>
      <c r="M350" s="602"/>
      <c r="N350" s="602"/>
      <c r="O350" s="602"/>
      <c r="P350" s="602"/>
      <c r="Q350" s="602"/>
      <c r="R350" s="602"/>
      <c r="S350" s="602"/>
      <c r="T350" s="602"/>
      <c r="U350" s="602"/>
      <c r="V350" s="602"/>
      <c r="W350" s="602"/>
      <c r="X350" s="602"/>
      <c r="Y350" s="602"/>
      <c r="Z350" s="602"/>
      <c r="AA350" s="602"/>
      <c r="AB350" s="602"/>
      <c r="AC350" s="602"/>
      <c r="AD350" s="602"/>
      <c r="AE350" s="602"/>
      <c r="AF350" s="602"/>
      <c r="AG350" s="602"/>
      <c r="AH350" s="602"/>
      <c r="AI350" s="602"/>
      <c r="AJ350" s="602"/>
      <c r="AK350" s="602"/>
      <c r="AL350" s="602"/>
      <c r="AM350" s="602"/>
      <c r="AN350" s="602"/>
      <c r="AO350" s="602"/>
      <c r="AP350" s="602"/>
      <c r="AQ350" s="602"/>
      <c r="AR350" s="602"/>
      <c r="AS350" s="602"/>
      <c r="AT350" s="602"/>
      <c r="AU350" s="602"/>
      <c r="AV350" s="602"/>
      <c r="AW350" s="602"/>
      <c r="AX350" s="602"/>
      <c r="AY350" s="602"/>
      <c r="AZ350" s="602"/>
      <c r="BA350" s="602"/>
    </row>
    <row r="351" spans="2:53">
      <c r="B351" s="602"/>
      <c r="C351" s="602"/>
      <c r="D351" s="602"/>
      <c r="G351" s="602"/>
      <c r="H351" s="602"/>
      <c r="I351" s="602"/>
      <c r="J351" s="602"/>
      <c r="K351" s="602"/>
      <c r="L351" s="602"/>
      <c r="M351" s="602"/>
      <c r="N351" s="602"/>
      <c r="O351" s="602"/>
      <c r="P351" s="602"/>
      <c r="Q351" s="602"/>
      <c r="R351" s="602"/>
      <c r="S351" s="602"/>
      <c r="T351" s="602"/>
      <c r="U351" s="602"/>
      <c r="V351" s="602"/>
      <c r="W351" s="602"/>
      <c r="X351" s="602"/>
      <c r="Y351" s="602"/>
      <c r="Z351" s="602"/>
      <c r="AA351" s="602"/>
      <c r="AB351" s="602"/>
      <c r="AC351" s="602"/>
      <c r="AD351" s="602"/>
      <c r="AE351" s="602"/>
      <c r="AF351" s="602"/>
      <c r="AG351" s="602"/>
      <c r="AH351" s="602"/>
      <c r="AI351" s="602"/>
      <c r="AJ351" s="602"/>
      <c r="AK351" s="602"/>
      <c r="AL351" s="602"/>
      <c r="AM351" s="602"/>
      <c r="AN351" s="602"/>
      <c r="AO351" s="602"/>
      <c r="AP351" s="602"/>
      <c r="AQ351" s="602"/>
      <c r="AR351" s="602"/>
      <c r="AS351" s="602"/>
      <c r="AT351" s="602"/>
      <c r="AU351" s="602"/>
      <c r="AV351" s="602"/>
      <c r="AW351" s="602"/>
      <c r="AX351" s="602"/>
      <c r="AY351" s="602"/>
      <c r="AZ351" s="602"/>
      <c r="BA351" s="602"/>
    </row>
    <row r="352" spans="2:53">
      <c r="B352" s="602"/>
      <c r="C352" s="602"/>
      <c r="D352" s="602"/>
      <c r="G352" s="602"/>
      <c r="H352" s="602"/>
      <c r="I352" s="602"/>
      <c r="J352" s="602"/>
      <c r="K352" s="602"/>
      <c r="L352" s="602"/>
      <c r="M352" s="602"/>
      <c r="N352" s="602"/>
      <c r="O352" s="602"/>
      <c r="P352" s="602"/>
      <c r="Q352" s="602"/>
      <c r="R352" s="602"/>
      <c r="S352" s="602"/>
      <c r="T352" s="602"/>
      <c r="U352" s="602"/>
      <c r="V352" s="602"/>
      <c r="W352" s="602"/>
      <c r="X352" s="602"/>
      <c r="Y352" s="602"/>
      <c r="Z352" s="602"/>
      <c r="AA352" s="602"/>
      <c r="AB352" s="602"/>
      <c r="AC352" s="602"/>
      <c r="AD352" s="602"/>
      <c r="AE352" s="602"/>
      <c r="AF352" s="602"/>
      <c r="AG352" s="602"/>
      <c r="AH352" s="602"/>
      <c r="AI352" s="602"/>
      <c r="AJ352" s="602"/>
      <c r="AK352" s="602"/>
      <c r="AL352" s="602"/>
      <c r="AM352" s="602"/>
      <c r="AN352" s="602"/>
      <c r="AO352" s="602"/>
      <c r="AP352" s="602"/>
      <c r="AQ352" s="602"/>
      <c r="AR352" s="602"/>
      <c r="AS352" s="602"/>
      <c r="AT352" s="602"/>
      <c r="AU352" s="602"/>
      <c r="AV352" s="602"/>
      <c r="AW352" s="602"/>
      <c r="AX352" s="602"/>
      <c r="AY352" s="602"/>
      <c r="AZ352" s="602"/>
      <c r="BA352" s="602"/>
    </row>
    <row r="353" spans="2:53">
      <c r="B353" s="602"/>
      <c r="C353" s="602"/>
      <c r="D353" s="602"/>
      <c r="G353" s="602"/>
      <c r="H353" s="602"/>
      <c r="I353" s="602"/>
      <c r="J353" s="602"/>
      <c r="K353" s="602"/>
      <c r="L353" s="602"/>
      <c r="M353" s="602"/>
      <c r="N353" s="602"/>
      <c r="O353" s="602"/>
      <c r="P353" s="602"/>
      <c r="Q353" s="602"/>
      <c r="R353" s="602"/>
      <c r="S353" s="602"/>
      <c r="T353" s="602"/>
      <c r="U353" s="602"/>
      <c r="V353" s="602"/>
      <c r="W353" s="602"/>
      <c r="X353" s="602"/>
      <c r="Y353" s="602"/>
      <c r="Z353" s="602"/>
      <c r="AA353" s="602"/>
      <c r="AB353" s="602"/>
      <c r="AC353" s="602"/>
      <c r="AD353" s="602"/>
      <c r="AE353" s="602"/>
      <c r="AF353" s="602"/>
      <c r="AG353" s="602"/>
      <c r="AH353" s="602"/>
      <c r="AI353" s="602"/>
      <c r="AJ353" s="602"/>
      <c r="AK353" s="602"/>
      <c r="AL353" s="602"/>
      <c r="AM353" s="602"/>
      <c r="AN353" s="602"/>
      <c r="AO353" s="602"/>
      <c r="AP353" s="602"/>
      <c r="AQ353" s="602"/>
      <c r="AR353" s="602"/>
      <c r="AS353" s="602"/>
      <c r="AT353" s="602"/>
      <c r="AU353" s="602"/>
      <c r="AV353" s="602"/>
      <c r="AW353" s="602"/>
      <c r="AX353" s="602"/>
      <c r="AY353" s="602"/>
      <c r="AZ353" s="602"/>
      <c r="BA353" s="602"/>
    </row>
    <row r="354" spans="2:53">
      <c r="B354" s="602"/>
      <c r="C354" s="602"/>
      <c r="D354" s="602"/>
      <c r="G354" s="602"/>
      <c r="H354" s="602"/>
      <c r="I354" s="602"/>
      <c r="J354" s="602"/>
      <c r="K354" s="602"/>
      <c r="L354" s="602"/>
      <c r="M354" s="602"/>
      <c r="N354" s="602"/>
      <c r="O354" s="602"/>
      <c r="P354" s="602"/>
      <c r="Q354" s="602"/>
      <c r="R354" s="602"/>
      <c r="S354" s="602"/>
      <c r="T354" s="602"/>
      <c r="U354" s="602"/>
      <c r="V354" s="602"/>
      <c r="W354" s="602"/>
      <c r="X354" s="602"/>
      <c r="Y354" s="602"/>
      <c r="Z354" s="602"/>
      <c r="AA354" s="602"/>
      <c r="AB354" s="602"/>
      <c r="AC354" s="602"/>
      <c r="AD354" s="602"/>
      <c r="AE354" s="602"/>
      <c r="AF354" s="602"/>
      <c r="AG354" s="602"/>
      <c r="AH354" s="602"/>
      <c r="AI354" s="602"/>
      <c r="AJ354" s="602"/>
      <c r="AK354" s="602"/>
      <c r="AL354" s="602"/>
      <c r="AM354" s="602"/>
      <c r="AN354" s="602"/>
      <c r="AO354" s="602"/>
      <c r="AP354" s="602"/>
      <c r="AQ354" s="602"/>
      <c r="AR354" s="602"/>
      <c r="AS354" s="602"/>
      <c r="AT354" s="602"/>
      <c r="AU354" s="602"/>
      <c r="AV354" s="602"/>
      <c r="AW354" s="602"/>
      <c r="AX354" s="602"/>
      <c r="AY354" s="602"/>
      <c r="AZ354" s="602"/>
      <c r="BA354" s="602"/>
    </row>
    <row r="355" spans="2:53">
      <c r="B355" s="602"/>
      <c r="C355" s="602"/>
      <c r="D355" s="602"/>
      <c r="G355" s="602"/>
      <c r="H355" s="602"/>
      <c r="I355" s="602"/>
      <c r="J355" s="602"/>
      <c r="K355" s="602"/>
      <c r="L355" s="602"/>
      <c r="M355" s="602"/>
      <c r="N355" s="602"/>
      <c r="O355" s="602"/>
      <c r="P355" s="602"/>
      <c r="Q355" s="602"/>
      <c r="R355" s="602"/>
      <c r="S355" s="602"/>
      <c r="T355" s="602"/>
      <c r="U355" s="602"/>
      <c r="V355" s="602"/>
      <c r="W355" s="602"/>
      <c r="X355" s="602"/>
      <c r="Y355" s="602"/>
      <c r="Z355" s="602"/>
      <c r="AA355" s="602"/>
      <c r="AB355" s="602"/>
      <c r="AC355" s="602"/>
      <c r="AD355" s="602"/>
      <c r="AE355" s="602"/>
      <c r="AF355" s="602"/>
      <c r="AG355" s="602"/>
      <c r="AH355" s="602"/>
      <c r="AI355" s="602"/>
      <c r="AJ355" s="602"/>
      <c r="AK355" s="602"/>
      <c r="AL355" s="602"/>
      <c r="AM355" s="602"/>
      <c r="AN355" s="602"/>
      <c r="AO355" s="602"/>
      <c r="AP355" s="602"/>
      <c r="AQ355" s="602"/>
      <c r="AR355" s="602"/>
      <c r="AS355" s="602"/>
      <c r="AT355" s="602"/>
      <c r="AU355" s="602"/>
      <c r="AV355" s="602"/>
      <c r="AW355" s="602"/>
      <c r="AX355" s="602"/>
      <c r="AY355" s="602"/>
      <c r="AZ355" s="602"/>
      <c r="BA355" s="602"/>
    </row>
    <row r="356" spans="2:53">
      <c r="B356" s="602"/>
      <c r="C356" s="602"/>
      <c r="D356" s="602"/>
      <c r="G356" s="602"/>
      <c r="H356" s="602"/>
      <c r="I356" s="602"/>
      <c r="J356" s="602"/>
      <c r="K356" s="602"/>
      <c r="L356" s="602"/>
      <c r="M356" s="602"/>
      <c r="N356" s="602"/>
      <c r="O356" s="602"/>
      <c r="P356" s="602"/>
      <c r="Q356" s="602"/>
      <c r="R356" s="602"/>
      <c r="S356" s="602"/>
      <c r="T356" s="602"/>
      <c r="U356" s="602"/>
      <c r="V356" s="602"/>
      <c r="W356" s="602"/>
      <c r="X356" s="602"/>
      <c r="Y356" s="602"/>
      <c r="Z356" s="602"/>
      <c r="AA356" s="602"/>
      <c r="AB356" s="602"/>
      <c r="AC356" s="602"/>
      <c r="AD356" s="602"/>
      <c r="AE356" s="602"/>
      <c r="AF356" s="602"/>
      <c r="AG356" s="602"/>
      <c r="AH356" s="602"/>
      <c r="AI356" s="602"/>
      <c r="AJ356" s="602"/>
      <c r="AK356" s="602"/>
      <c r="AL356" s="602"/>
      <c r="AM356" s="602"/>
      <c r="AN356" s="602"/>
      <c r="AO356" s="602"/>
      <c r="AP356" s="602"/>
      <c r="AQ356" s="602"/>
      <c r="AR356" s="602"/>
      <c r="AS356" s="602"/>
      <c r="AT356" s="602"/>
      <c r="AU356" s="602"/>
      <c r="AV356" s="602"/>
      <c r="AW356" s="602"/>
      <c r="AX356" s="602"/>
      <c r="AY356" s="602"/>
      <c r="AZ356" s="602"/>
      <c r="BA356" s="602"/>
    </row>
    <row r="357" spans="2:53">
      <c r="B357" s="602"/>
      <c r="C357" s="602"/>
      <c r="D357" s="602"/>
      <c r="G357" s="602"/>
      <c r="H357" s="602"/>
      <c r="I357" s="602"/>
      <c r="J357" s="602"/>
      <c r="K357" s="602"/>
      <c r="L357" s="602"/>
      <c r="M357" s="602"/>
      <c r="N357" s="602"/>
      <c r="O357" s="602"/>
      <c r="P357" s="602"/>
      <c r="Q357" s="602"/>
      <c r="R357" s="602"/>
      <c r="S357" s="602"/>
      <c r="T357" s="602"/>
      <c r="U357" s="602"/>
      <c r="V357" s="602"/>
      <c r="W357" s="602"/>
      <c r="X357" s="602"/>
      <c r="Y357" s="602"/>
      <c r="Z357" s="602"/>
      <c r="AA357" s="602"/>
      <c r="AB357" s="602"/>
      <c r="AC357" s="602"/>
      <c r="AD357" s="602"/>
      <c r="AE357" s="602"/>
      <c r="AF357" s="602"/>
      <c r="AG357" s="602"/>
      <c r="AH357" s="602"/>
      <c r="AI357" s="602"/>
      <c r="AJ357" s="602"/>
      <c r="AK357" s="602"/>
      <c r="AL357" s="602"/>
      <c r="AM357" s="602"/>
      <c r="AN357" s="602"/>
      <c r="AO357" s="602"/>
      <c r="AP357" s="602"/>
      <c r="AQ357" s="602"/>
      <c r="AR357" s="602"/>
      <c r="AS357" s="602"/>
      <c r="AT357" s="602"/>
      <c r="AU357" s="602"/>
      <c r="AV357" s="602"/>
      <c r="AW357" s="602"/>
      <c r="AX357" s="602"/>
      <c r="AY357" s="602"/>
      <c r="AZ357" s="602"/>
      <c r="BA357" s="602"/>
    </row>
    <row r="358" spans="2:53">
      <c r="B358" s="602"/>
      <c r="C358" s="602"/>
      <c r="D358" s="602"/>
      <c r="G358" s="602"/>
      <c r="H358" s="602"/>
      <c r="I358" s="602"/>
      <c r="J358" s="602"/>
      <c r="K358" s="602"/>
      <c r="L358" s="602"/>
      <c r="M358" s="602"/>
      <c r="N358" s="602"/>
      <c r="O358" s="602"/>
      <c r="P358" s="602"/>
      <c r="Q358" s="602"/>
      <c r="R358" s="602"/>
      <c r="S358" s="602"/>
      <c r="T358" s="602"/>
      <c r="U358" s="602"/>
      <c r="V358" s="602"/>
      <c r="W358" s="602"/>
      <c r="X358" s="602"/>
      <c r="Y358" s="602"/>
      <c r="Z358" s="602"/>
      <c r="AA358" s="602"/>
      <c r="AB358" s="602"/>
      <c r="AC358" s="602"/>
      <c r="AD358" s="602"/>
      <c r="AE358" s="602"/>
      <c r="AF358" s="602"/>
      <c r="AG358" s="602"/>
      <c r="AH358" s="602"/>
      <c r="AI358" s="602"/>
      <c r="AJ358" s="602"/>
      <c r="AK358" s="602"/>
      <c r="AL358" s="602"/>
      <c r="AM358" s="602"/>
      <c r="AN358" s="602"/>
      <c r="AO358" s="602"/>
      <c r="AP358" s="602"/>
      <c r="AQ358" s="602"/>
      <c r="AR358" s="602"/>
      <c r="AS358" s="602"/>
      <c r="AT358" s="602"/>
      <c r="AU358" s="602"/>
      <c r="AV358" s="602"/>
      <c r="AW358" s="602"/>
      <c r="AX358" s="602"/>
      <c r="AY358" s="602"/>
      <c r="AZ358" s="602"/>
      <c r="BA358" s="602"/>
    </row>
    <row r="359" spans="2:53">
      <c r="B359" s="602"/>
      <c r="C359" s="602"/>
      <c r="D359" s="602"/>
      <c r="G359" s="602"/>
      <c r="H359" s="602"/>
      <c r="I359" s="602"/>
      <c r="J359" s="602"/>
      <c r="K359" s="602"/>
      <c r="L359" s="602"/>
      <c r="M359" s="602"/>
      <c r="N359" s="602"/>
      <c r="O359" s="602"/>
      <c r="P359" s="602"/>
      <c r="Q359" s="602"/>
      <c r="R359" s="602"/>
      <c r="S359" s="602"/>
      <c r="T359" s="602"/>
      <c r="U359" s="602"/>
      <c r="V359" s="602"/>
      <c r="W359" s="602"/>
      <c r="X359" s="602"/>
      <c r="Y359" s="602"/>
      <c r="Z359" s="602"/>
      <c r="AA359" s="602"/>
      <c r="AB359" s="602"/>
      <c r="AC359" s="602"/>
      <c r="AD359" s="602"/>
      <c r="AE359" s="602"/>
      <c r="AF359" s="602"/>
      <c r="AG359" s="602"/>
      <c r="AH359" s="602"/>
      <c r="AI359" s="602"/>
      <c r="AJ359" s="602"/>
      <c r="AK359" s="602"/>
      <c r="AL359" s="602"/>
      <c r="AM359" s="602"/>
      <c r="AN359" s="602"/>
      <c r="AO359" s="602"/>
      <c r="AP359" s="602"/>
      <c r="AQ359" s="602"/>
      <c r="AR359" s="602"/>
      <c r="AS359" s="602"/>
      <c r="AT359" s="602"/>
      <c r="AU359" s="602"/>
      <c r="AV359" s="602"/>
      <c r="AW359" s="602"/>
      <c r="AX359" s="602"/>
      <c r="AY359" s="602"/>
      <c r="AZ359" s="602"/>
      <c r="BA359" s="602"/>
    </row>
    <row r="360" spans="2:53">
      <c r="B360" s="602"/>
      <c r="C360" s="602"/>
      <c r="D360" s="602"/>
      <c r="G360" s="602"/>
      <c r="H360" s="602"/>
      <c r="I360" s="602"/>
      <c r="J360" s="602"/>
      <c r="K360" s="602"/>
      <c r="L360" s="602"/>
      <c r="M360" s="602"/>
      <c r="N360" s="602"/>
      <c r="O360" s="602"/>
      <c r="P360" s="602"/>
      <c r="Q360" s="602"/>
      <c r="R360" s="602"/>
      <c r="S360" s="602"/>
      <c r="T360" s="602"/>
      <c r="U360" s="602"/>
      <c r="V360" s="602"/>
      <c r="W360" s="602"/>
      <c r="X360" s="602"/>
      <c r="Y360" s="602"/>
      <c r="Z360" s="602"/>
      <c r="AA360" s="602"/>
      <c r="AB360" s="602"/>
      <c r="AC360" s="602"/>
      <c r="AD360" s="602"/>
      <c r="AE360" s="602"/>
      <c r="AF360" s="602"/>
      <c r="AG360" s="602"/>
      <c r="AH360" s="602"/>
      <c r="AI360" s="602"/>
      <c r="AJ360" s="602"/>
      <c r="AK360" s="602"/>
      <c r="AL360" s="602"/>
      <c r="AM360" s="602"/>
      <c r="AN360" s="602"/>
      <c r="AO360" s="602"/>
      <c r="AP360" s="602"/>
      <c r="AQ360" s="602"/>
      <c r="AR360" s="602"/>
      <c r="AS360" s="602"/>
      <c r="AT360" s="602"/>
      <c r="AU360" s="602"/>
      <c r="AV360" s="602"/>
      <c r="AW360" s="602"/>
      <c r="AX360" s="602"/>
      <c r="AY360" s="602"/>
      <c r="AZ360" s="602"/>
      <c r="BA360" s="602"/>
    </row>
    <row r="361" spans="2:53">
      <c r="B361" s="602"/>
      <c r="C361" s="602"/>
      <c r="D361" s="602"/>
      <c r="G361" s="602"/>
      <c r="H361" s="602"/>
      <c r="I361" s="602"/>
      <c r="J361" s="602"/>
      <c r="K361" s="602"/>
      <c r="L361" s="602"/>
      <c r="M361" s="602"/>
      <c r="N361" s="602"/>
      <c r="O361" s="602"/>
      <c r="P361" s="602"/>
      <c r="Q361" s="602"/>
      <c r="R361" s="602"/>
      <c r="S361" s="602"/>
      <c r="T361" s="602"/>
      <c r="U361" s="602"/>
      <c r="V361" s="602"/>
      <c r="W361" s="602"/>
      <c r="X361" s="602"/>
      <c r="Y361" s="602"/>
      <c r="Z361" s="602"/>
      <c r="AA361" s="602"/>
      <c r="AB361" s="602"/>
      <c r="AC361" s="602"/>
      <c r="AD361" s="602"/>
      <c r="AE361" s="602"/>
      <c r="AF361" s="602"/>
      <c r="AG361" s="602"/>
      <c r="AH361" s="602"/>
      <c r="AI361" s="602"/>
      <c r="AJ361" s="602"/>
      <c r="AK361" s="602"/>
      <c r="AL361" s="602"/>
      <c r="AM361" s="602"/>
      <c r="AN361" s="602"/>
      <c r="AO361" s="602"/>
      <c r="AP361" s="602"/>
      <c r="AQ361" s="602"/>
      <c r="AR361" s="602"/>
      <c r="AS361" s="602"/>
      <c r="AT361" s="602"/>
      <c r="AU361" s="602"/>
      <c r="AV361" s="602"/>
      <c r="AW361" s="602"/>
      <c r="AX361" s="602"/>
      <c r="AY361" s="602"/>
      <c r="AZ361" s="602"/>
      <c r="BA361" s="602"/>
    </row>
    <row r="362" spans="2:53">
      <c r="B362" s="602"/>
      <c r="C362" s="602"/>
      <c r="D362" s="602"/>
      <c r="G362" s="602"/>
      <c r="H362" s="602"/>
      <c r="I362" s="602"/>
      <c r="J362" s="602"/>
      <c r="K362" s="602"/>
      <c r="L362" s="602"/>
      <c r="M362" s="602"/>
      <c r="N362" s="602"/>
      <c r="O362" s="602"/>
      <c r="P362" s="602"/>
      <c r="Q362" s="602"/>
      <c r="R362" s="602"/>
      <c r="S362" s="602"/>
      <c r="T362" s="602"/>
      <c r="U362" s="602"/>
      <c r="V362" s="602"/>
      <c r="W362" s="602"/>
      <c r="X362" s="602"/>
      <c r="Y362" s="602"/>
      <c r="Z362" s="602"/>
      <c r="AA362" s="602"/>
      <c r="AB362" s="602"/>
      <c r="AC362" s="602"/>
      <c r="AD362" s="602"/>
      <c r="AE362" s="602"/>
      <c r="AF362" s="602"/>
      <c r="AG362" s="602"/>
      <c r="AH362" s="602"/>
      <c r="AI362" s="602"/>
      <c r="AJ362" s="602"/>
      <c r="AK362" s="602"/>
      <c r="AL362" s="602"/>
      <c r="AM362" s="602"/>
      <c r="AN362" s="602"/>
      <c r="AO362" s="602"/>
      <c r="AP362" s="602"/>
      <c r="AQ362" s="602"/>
      <c r="AR362" s="602"/>
      <c r="AS362" s="602"/>
      <c r="AT362" s="602"/>
      <c r="AU362" s="602"/>
      <c r="AV362" s="602"/>
      <c r="AW362" s="602"/>
      <c r="AX362" s="602"/>
      <c r="AY362" s="602"/>
      <c r="AZ362" s="602"/>
      <c r="BA362" s="602"/>
    </row>
    <row r="363" spans="2:53">
      <c r="B363" s="602"/>
      <c r="C363" s="602"/>
      <c r="D363" s="602"/>
      <c r="G363" s="602"/>
      <c r="H363" s="602"/>
      <c r="I363" s="602"/>
      <c r="J363" s="602"/>
      <c r="K363" s="602"/>
      <c r="L363" s="602"/>
      <c r="M363" s="602"/>
      <c r="N363" s="602"/>
      <c r="O363" s="602"/>
      <c r="P363" s="602"/>
      <c r="Q363" s="602"/>
      <c r="R363" s="602"/>
      <c r="S363" s="602"/>
      <c r="T363" s="602"/>
      <c r="U363" s="602"/>
      <c r="V363" s="602"/>
      <c r="W363" s="602"/>
      <c r="X363" s="602"/>
      <c r="Y363" s="602"/>
      <c r="Z363" s="602"/>
      <c r="AA363" s="602"/>
      <c r="AB363" s="602"/>
      <c r="AC363" s="602"/>
      <c r="AD363" s="602"/>
      <c r="AE363" s="602"/>
      <c r="AF363" s="602"/>
      <c r="AG363" s="602"/>
      <c r="AH363" s="602"/>
      <c r="AI363" s="602"/>
      <c r="AJ363" s="602"/>
      <c r="AK363" s="602"/>
      <c r="AL363" s="602"/>
      <c r="AM363" s="602"/>
      <c r="AN363" s="602"/>
      <c r="AO363" s="602"/>
      <c r="AP363" s="602"/>
      <c r="AQ363" s="602"/>
      <c r="AR363" s="602"/>
      <c r="AS363" s="602"/>
      <c r="AT363" s="602"/>
      <c r="AU363" s="602"/>
      <c r="AV363" s="602"/>
      <c r="AW363" s="602"/>
      <c r="AX363" s="602"/>
      <c r="AY363" s="602"/>
      <c r="AZ363" s="602"/>
      <c r="BA363" s="602"/>
    </row>
    <row r="364" spans="2:53">
      <c r="B364" s="602"/>
      <c r="C364" s="602"/>
      <c r="D364" s="602"/>
      <c r="G364" s="602"/>
      <c r="H364" s="602"/>
      <c r="I364" s="602"/>
      <c r="J364" s="602"/>
      <c r="K364" s="602"/>
      <c r="L364" s="602"/>
      <c r="M364" s="602"/>
      <c r="N364" s="602"/>
      <c r="O364" s="602"/>
      <c r="P364" s="602"/>
      <c r="Q364" s="602"/>
      <c r="R364" s="602"/>
      <c r="S364" s="602"/>
      <c r="T364" s="602"/>
      <c r="U364" s="602"/>
      <c r="V364" s="602"/>
      <c r="W364" s="602"/>
      <c r="X364" s="602"/>
      <c r="Y364" s="602"/>
      <c r="Z364" s="602"/>
      <c r="AA364" s="602"/>
      <c r="AB364" s="602"/>
      <c r="AC364" s="602"/>
      <c r="AD364" s="602"/>
      <c r="AE364" s="602"/>
      <c r="AF364" s="602"/>
      <c r="AG364" s="602"/>
      <c r="AH364" s="602"/>
      <c r="AI364" s="602"/>
      <c r="AJ364" s="602"/>
      <c r="AK364" s="602"/>
      <c r="AL364" s="602"/>
      <c r="AM364" s="602"/>
      <c r="AN364" s="602"/>
      <c r="AO364" s="602"/>
      <c r="AP364" s="602"/>
      <c r="AQ364" s="602"/>
      <c r="AR364" s="602"/>
      <c r="AS364" s="602"/>
      <c r="AT364" s="602"/>
      <c r="AU364" s="602"/>
      <c r="AV364" s="602"/>
      <c r="AW364" s="602"/>
      <c r="AX364" s="602"/>
      <c r="AY364" s="602"/>
      <c r="AZ364" s="602"/>
      <c r="BA364" s="602"/>
    </row>
    <row r="365" spans="2:53">
      <c r="B365" s="602"/>
      <c r="C365" s="602"/>
      <c r="D365" s="602"/>
      <c r="G365" s="602"/>
      <c r="H365" s="602"/>
      <c r="I365" s="602"/>
      <c r="J365" s="602"/>
      <c r="K365" s="602"/>
      <c r="L365" s="602"/>
      <c r="M365" s="602"/>
      <c r="N365" s="602"/>
      <c r="O365" s="602"/>
      <c r="P365" s="602"/>
      <c r="Q365" s="602"/>
      <c r="R365" s="602"/>
      <c r="S365" s="602"/>
      <c r="T365" s="602"/>
      <c r="U365" s="602"/>
      <c r="V365" s="602"/>
      <c r="W365" s="602"/>
      <c r="X365" s="602"/>
      <c r="Y365" s="602"/>
      <c r="Z365" s="602"/>
      <c r="AA365" s="602"/>
      <c r="AB365" s="602"/>
      <c r="AC365" s="602"/>
      <c r="AD365" s="602"/>
      <c r="AE365" s="602"/>
      <c r="AF365" s="602"/>
      <c r="AG365" s="602"/>
      <c r="AH365" s="602"/>
      <c r="AI365" s="602"/>
      <c r="AJ365" s="602"/>
      <c r="AK365" s="602"/>
      <c r="AL365" s="602"/>
      <c r="AM365" s="602"/>
      <c r="AN365" s="602"/>
      <c r="AO365" s="602"/>
      <c r="AP365" s="602"/>
      <c r="AQ365" s="602"/>
      <c r="AR365" s="602"/>
      <c r="AS365" s="602"/>
      <c r="AT365" s="602"/>
      <c r="AU365" s="602"/>
      <c r="AV365" s="602"/>
      <c r="AW365" s="602"/>
      <c r="AX365" s="602"/>
      <c r="AY365" s="602"/>
      <c r="AZ365" s="602"/>
      <c r="BA365" s="602"/>
    </row>
    <row r="366" spans="2:53">
      <c r="B366" s="602"/>
      <c r="C366" s="602"/>
      <c r="D366" s="602"/>
      <c r="G366" s="602"/>
      <c r="H366" s="602"/>
      <c r="I366" s="602"/>
      <c r="J366" s="602"/>
      <c r="K366" s="602"/>
      <c r="L366" s="602"/>
      <c r="M366" s="602"/>
      <c r="N366" s="602"/>
      <c r="O366" s="602"/>
      <c r="P366" s="602"/>
      <c r="Q366" s="602"/>
      <c r="R366" s="602"/>
      <c r="S366" s="602"/>
      <c r="T366" s="602"/>
      <c r="U366" s="602"/>
      <c r="V366" s="602"/>
      <c r="W366" s="602"/>
      <c r="X366" s="602"/>
      <c r="Y366" s="602"/>
      <c r="Z366" s="602"/>
      <c r="AA366" s="602"/>
      <c r="AB366" s="602"/>
      <c r="AC366" s="602"/>
      <c r="AD366" s="602"/>
      <c r="AE366" s="602"/>
      <c r="AF366" s="602"/>
      <c r="AG366" s="602"/>
      <c r="AH366" s="602"/>
      <c r="AI366" s="602"/>
      <c r="AJ366" s="602"/>
      <c r="AK366" s="602"/>
      <c r="AL366" s="602"/>
      <c r="AM366" s="602"/>
      <c r="AN366" s="602"/>
      <c r="AO366" s="602"/>
      <c r="AP366" s="602"/>
      <c r="AQ366" s="602"/>
      <c r="AR366" s="602"/>
      <c r="AS366" s="602"/>
      <c r="AT366" s="602"/>
      <c r="AU366" s="602"/>
      <c r="AV366" s="602"/>
      <c r="AW366" s="602"/>
      <c r="AX366" s="602"/>
      <c r="AY366" s="602"/>
      <c r="AZ366" s="602"/>
      <c r="BA366" s="602"/>
    </row>
    <row r="367" spans="2:53">
      <c r="B367" s="602"/>
      <c r="C367" s="602"/>
      <c r="D367" s="602"/>
      <c r="G367" s="602"/>
      <c r="H367" s="602"/>
      <c r="I367" s="602"/>
      <c r="J367" s="602"/>
      <c r="K367" s="602"/>
      <c r="L367" s="602"/>
      <c r="M367" s="602"/>
      <c r="N367" s="602"/>
      <c r="O367" s="602"/>
      <c r="P367" s="602"/>
      <c r="Q367" s="602"/>
      <c r="R367" s="602"/>
      <c r="S367" s="602"/>
      <c r="T367" s="602"/>
      <c r="U367" s="602"/>
      <c r="V367" s="602"/>
      <c r="W367" s="602"/>
      <c r="X367" s="602"/>
      <c r="Y367" s="602"/>
      <c r="Z367" s="602"/>
      <c r="AA367" s="602"/>
      <c r="AB367" s="602"/>
      <c r="AC367" s="602"/>
      <c r="AD367" s="602"/>
      <c r="AE367" s="602"/>
      <c r="AF367" s="602"/>
      <c r="AG367" s="602"/>
      <c r="AH367" s="602"/>
      <c r="AI367" s="602"/>
      <c r="AJ367" s="602"/>
      <c r="AK367" s="602"/>
      <c r="AL367" s="602"/>
      <c r="AM367" s="602"/>
      <c r="AN367" s="602"/>
      <c r="AO367" s="602"/>
      <c r="AP367" s="602"/>
      <c r="AQ367" s="602"/>
      <c r="AR367" s="602"/>
      <c r="AS367" s="602"/>
      <c r="AT367" s="602"/>
      <c r="AU367" s="602"/>
      <c r="AV367" s="602"/>
      <c r="AW367" s="602"/>
      <c r="AX367" s="602"/>
      <c r="AY367" s="602"/>
      <c r="AZ367" s="602"/>
      <c r="BA367" s="602"/>
    </row>
    <row r="368" spans="2:53">
      <c r="B368" s="602"/>
      <c r="C368" s="602"/>
      <c r="D368" s="602"/>
      <c r="G368" s="602"/>
      <c r="H368" s="602"/>
      <c r="I368" s="602"/>
      <c r="J368" s="602"/>
      <c r="K368" s="602"/>
      <c r="L368" s="602"/>
      <c r="M368" s="602"/>
      <c r="N368" s="602"/>
      <c r="O368" s="602"/>
      <c r="P368" s="602"/>
      <c r="Q368" s="602"/>
      <c r="R368" s="602"/>
      <c r="S368" s="602"/>
      <c r="T368" s="602"/>
      <c r="U368" s="602"/>
      <c r="V368" s="602"/>
      <c r="W368" s="602"/>
      <c r="X368" s="602"/>
      <c r="Y368" s="602"/>
      <c r="Z368" s="602"/>
      <c r="AA368" s="602"/>
      <c r="AB368" s="602"/>
      <c r="AC368" s="602"/>
      <c r="AD368" s="602"/>
      <c r="AE368" s="602"/>
      <c r="AF368" s="602"/>
      <c r="AG368" s="602"/>
      <c r="AH368" s="602"/>
      <c r="AI368" s="602"/>
      <c r="AJ368" s="602"/>
      <c r="AK368" s="602"/>
      <c r="AL368" s="602"/>
      <c r="AM368" s="602"/>
      <c r="AN368" s="602"/>
      <c r="AO368" s="602"/>
      <c r="AP368" s="602"/>
      <c r="AQ368" s="602"/>
      <c r="AR368" s="602"/>
      <c r="AS368" s="602"/>
      <c r="AT368" s="602"/>
      <c r="AU368" s="602"/>
      <c r="AV368" s="602"/>
      <c r="AW368" s="602"/>
      <c r="AX368" s="602"/>
      <c r="AY368" s="602"/>
      <c r="AZ368" s="602"/>
      <c r="BA368" s="602"/>
    </row>
    <row r="369" spans="2:53">
      <c r="B369" s="602"/>
      <c r="C369" s="602"/>
      <c r="D369" s="602"/>
      <c r="G369" s="602"/>
      <c r="H369" s="602"/>
      <c r="I369" s="602"/>
      <c r="J369" s="602"/>
      <c r="K369" s="602"/>
      <c r="L369" s="602"/>
      <c r="M369" s="602"/>
      <c r="N369" s="602"/>
      <c r="O369" s="602"/>
      <c r="P369" s="602"/>
      <c r="Q369" s="602"/>
      <c r="R369" s="602"/>
      <c r="S369" s="602"/>
      <c r="T369" s="602"/>
      <c r="U369" s="602"/>
      <c r="V369" s="602"/>
      <c r="W369" s="602"/>
      <c r="X369" s="602"/>
      <c r="Y369" s="602"/>
      <c r="Z369" s="602"/>
      <c r="AA369" s="602"/>
      <c r="AB369" s="602"/>
      <c r="AC369" s="602"/>
      <c r="AD369" s="602"/>
      <c r="AE369" s="602"/>
      <c r="AF369" s="602"/>
      <c r="AG369" s="602"/>
      <c r="AH369" s="602"/>
      <c r="AI369" s="602"/>
      <c r="AJ369" s="602"/>
      <c r="AK369" s="602"/>
      <c r="AL369" s="602"/>
      <c r="AM369" s="602"/>
      <c r="AN369" s="602"/>
      <c r="AO369" s="602"/>
      <c r="AP369" s="602"/>
      <c r="AQ369" s="602"/>
      <c r="AR369" s="602"/>
      <c r="AS369" s="602"/>
      <c r="AT369" s="602"/>
      <c r="AU369" s="602"/>
      <c r="AV369" s="602"/>
      <c r="AW369" s="602"/>
      <c r="AX369" s="602"/>
      <c r="AY369" s="602"/>
      <c r="AZ369" s="602"/>
      <c r="BA369" s="602"/>
    </row>
    <row r="370" spans="2:53">
      <c r="B370" s="602"/>
      <c r="C370" s="602"/>
      <c r="D370" s="602"/>
      <c r="G370" s="602"/>
      <c r="H370" s="602"/>
      <c r="I370" s="602"/>
      <c r="J370" s="602"/>
      <c r="K370" s="602"/>
      <c r="L370" s="602"/>
      <c r="M370" s="602"/>
      <c r="N370" s="602"/>
      <c r="O370" s="602"/>
      <c r="P370" s="602"/>
      <c r="Q370" s="602"/>
      <c r="R370" s="602"/>
      <c r="S370" s="602"/>
      <c r="T370" s="602"/>
      <c r="U370" s="602"/>
      <c r="V370" s="602"/>
      <c r="W370" s="602"/>
      <c r="X370" s="602"/>
      <c r="Y370" s="602"/>
      <c r="Z370" s="602"/>
      <c r="AA370" s="602"/>
      <c r="AB370" s="602"/>
      <c r="AC370" s="602"/>
      <c r="AD370" s="602"/>
      <c r="AE370" s="602"/>
      <c r="AF370" s="602"/>
      <c r="AG370" s="602"/>
      <c r="AH370" s="602"/>
      <c r="AI370" s="602"/>
      <c r="AJ370" s="602"/>
      <c r="AK370" s="602"/>
      <c r="AL370" s="602"/>
      <c r="AM370" s="602"/>
      <c r="AN370" s="602"/>
      <c r="AO370" s="602"/>
      <c r="AP370" s="602"/>
      <c r="AQ370" s="602"/>
      <c r="AR370" s="602"/>
      <c r="AS370" s="602"/>
      <c r="AT370" s="602"/>
      <c r="AU370" s="602"/>
      <c r="AV370" s="602"/>
      <c r="AW370" s="602"/>
      <c r="AX370" s="602"/>
      <c r="AY370" s="602"/>
      <c r="AZ370" s="602"/>
      <c r="BA370" s="602"/>
    </row>
    <row r="371" spans="2:53">
      <c r="B371" s="602"/>
      <c r="C371" s="602"/>
      <c r="D371" s="602"/>
      <c r="G371" s="602"/>
      <c r="H371" s="602"/>
      <c r="I371" s="602"/>
      <c r="J371" s="602"/>
      <c r="K371" s="602"/>
      <c r="L371" s="602"/>
      <c r="M371" s="602"/>
      <c r="N371" s="602"/>
      <c r="O371" s="602"/>
      <c r="P371" s="602"/>
      <c r="Q371" s="602"/>
      <c r="R371" s="602"/>
      <c r="S371" s="602"/>
      <c r="T371" s="602"/>
      <c r="U371" s="602"/>
      <c r="V371" s="602"/>
      <c r="W371" s="602"/>
      <c r="X371" s="602"/>
      <c r="Y371" s="602"/>
      <c r="Z371" s="602"/>
      <c r="AA371" s="602"/>
      <c r="AB371" s="602"/>
      <c r="AC371" s="602"/>
      <c r="AD371" s="602"/>
      <c r="AE371" s="602"/>
      <c r="AF371" s="602"/>
      <c r="AG371" s="602"/>
      <c r="AH371" s="602"/>
      <c r="AI371" s="602"/>
      <c r="AJ371" s="602"/>
      <c r="AK371" s="602"/>
      <c r="AL371" s="602"/>
      <c r="AM371" s="602"/>
      <c r="AN371" s="602"/>
      <c r="AO371" s="602"/>
      <c r="AP371" s="602"/>
      <c r="AQ371" s="602"/>
      <c r="AR371" s="602"/>
      <c r="AS371" s="602"/>
      <c r="AT371" s="602"/>
      <c r="AU371" s="602"/>
      <c r="AV371" s="602"/>
      <c r="AW371" s="602"/>
      <c r="AX371" s="602"/>
      <c r="AY371" s="602"/>
      <c r="AZ371" s="602"/>
      <c r="BA371" s="602"/>
    </row>
    <row r="372" spans="2:53">
      <c r="B372" s="602"/>
      <c r="C372" s="602"/>
      <c r="D372" s="602"/>
      <c r="G372" s="602"/>
      <c r="H372" s="602"/>
      <c r="I372" s="602"/>
      <c r="J372" s="602"/>
      <c r="K372" s="602"/>
      <c r="L372" s="602"/>
      <c r="M372" s="602"/>
      <c r="N372" s="602"/>
      <c r="O372" s="602"/>
      <c r="P372" s="602"/>
      <c r="Q372" s="602"/>
      <c r="R372" s="602"/>
      <c r="S372" s="602"/>
      <c r="T372" s="602"/>
      <c r="U372" s="602"/>
      <c r="V372" s="602"/>
      <c r="W372" s="602"/>
      <c r="X372" s="602"/>
      <c r="Y372" s="602"/>
      <c r="Z372" s="602"/>
      <c r="AA372" s="602"/>
      <c r="AB372" s="602"/>
      <c r="AC372" s="602"/>
      <c r="AD372" s="602"/>
      <c r="AE372" s="602"/>
      <c r="AF372" s="602"/>
      <c r="AG372" s="602"/>
      <c r="AH372" s="602"/>
      <c r="AI372" s="602"/>
      <c r="AJ372" s="602"/>
      <c r="AK372" s="602"/>
      <c r="AL372" s="602"/>
      <c r="AM372" s="602"/>
      <c r="AN372" s="602"/>
      <c r="AO372" s="602"/>
      <c r="AP372" s="602"/>
      <c r="AQ372" s="602"/>
      <c r="AR372" s="602"/>
      <c r="AS372" s="602"/>
      <c r="AT372" s="602"/>
      <c r="AU372" s="602"/>
      <c r="AV372" s="602"/>
      <c r="AW372" s="602"/>
      <c r="AX372" s="602"/>
      <c r="AY372" s="602"/>
      <c r="AZ372" s="602"/>
      <c r="BA372" s="602"/>
    </row>
    <row r="373" spans="2:53">
      <c r="B373" s="602"/>
      <c r="C373" s="602"/>
      <c r="D373" s="602"/>
      <c r="G373" s="602"/>
      <c r="H373" s="602"/>
      <c r="I373" s="602"/>
      <c r="J373" s="602"/>
      <c r="K373" s="602"/>
      <c r="L373" s="602"/>
      <c r="M373" s="602"/>
      <c r="N373" s="602"/>
      <c r="O373" s="602"/>
      <c r="P373" s="602"/>
      <c r="Q373" s="602"/>
      <c r="R373" s="602"/>
      <c r="S373" s="602"/>
      <c r="T373" s="602"/>
      <c r="U373" s="602"/>
      <c r="V373" s="602"/>
      <c r="W373" s="602"/>
      <c r="X373" s="602"/>
      <c r="Y373" s="602"/>
      <c r="Z373" s="602"/>
      <c r="AA373" s="602"/>
      <c r="AB373" s="602"/>
      <c r="AC373" s="602"/>
      <c r="AD373" s="602"/>
      <c r="AE373" s="602"/>
      <c r="AF373" s="602"/>
      <c r="AG373" s="602"/>
      <c r="AH373" s="602"/>
      <c r="AI373" s="602"/>
      <c r="AJ373" s="602"/>
      <c r="AK373" s="602"/>
      <c r="AL373" s="602"/>
      <c r="AM373" s="602"/>
      <c r="AN373" s="602"/>
      <c r="AO373" s="602"/>
      <c r="AP373" s="602"/>
      <c r="AQ373" s="602"/>
      <c r="AR373" s="602"/>
      <c r="AS373" s="602"/>
      <c r="AT373" s="602"/>
      <c r="AU373" s="602"/>
      <c r="AV373" s="602"/>
      <c r="AW373" s="602"/>
      <c r="AX373" s="602"/>
      <c r="AY373" s="602"/>
      <c r="AZ373" s="602"/>
      <c r="BA373" s="602"/>
    </row>
    <row r="374" spans="2:53">
      <c r="B374" s="602"/>
      <c r="C374" s="602"/>
      <c r="D374" s="602"/>
      <c r="G374" s="602"/>
      <c r="H374" s="602"/>
      <c r="I374" s="602"/>
      <c r="J374" s="602"/>
      <c r="K374" s="602"/>
      <c r="L374" s="602"/>
      <c r="M374" s="602"/>
      <c r="N374" s="602"/>
      <c r="O374" s="602"/>
      <c r="P374" s="602"/>
      <c r="Q374" s="602"/>
      <c r="R374" s="602"/>
      <c r="S374" s="602"/>
      <c r="T374" s="602"/>
      <c r="U374" s="602"/>
      <c r="V374" s="602"/>
      <c r="W374" s="602"/>
      <c r="X374" s="602"/>
      <c r="Y374" s="602"/>
      <c r="Z374" s="602"/>
      <c r="AA374" s="602"/>
      <c r="AB374" s="602"/>
      <c r="AC374" s="602"/>
      <c r="AD374" s="602"/>
      <c r="AE374" s="602"/>
      <c r="AF374" s="602"/>
      <c r="AG374" s="602"/>
      <c r="AH374" s="602"/>
      <c r="AI374" s="602"/>
      <c r="AJ374" s="602"/>
      <c r="AK374" s="602"/>
      <c r="AL374" s="602"/>
      <c r="AM374" s="602"/>
      <c r="AN374" s="602"/>
      <c r="AO374" s="602"/>
      <c r="AP374" s="602"/>
      <c r="AQ374" s="602"/>
      <c r="AR374" s="602"/>
      <c r="AS374" s="602"/>
      <c r="AT374" s="602"/>
      <c r="AU374" s="602"/>
      <c r="AV374" s="602"/>
      <c r="AW374" s="602"/>
      <c r="AX374" s="602"/>
      <c r="AY374" s="602"/>
      <c r="AZ374" s="602"/>
      <c r="BA374" s="602"/>
    </row>
    <row r="375" spans="2:53">
      <c r="B375" s="602"/>
      <c r="C375" s="602"/>
      <c r="D375" s="602"/>
      <c r="G375" s="602"/>
      <c r="H375" s="602"/>
      <c r="I375" s="602"/>
      <c r="J375" s="602"/>
      <c r="K375" s="602"/>
      <c r="L375" s="602"/>
      <c r="M375" s="602"/>
      <c r="N375" s="602"/>
      <c r="O375" s="602"/>
      <c r="P375" s="602"/>
      <c r="Q375" s="602"/>
      <c r="R375" s="602"/>
      <c r="S375" s="602"/>
      <c r="T375" s="602"/>
      <c r="U375" s="602"/>
      <c r="V375" s="602"/>
      <c r="W375" s="602"/>
      <c r="X375" s="602"/>
      <c r="Y375" s="602"/>
      <c r="Z375" s="602"/>
      <c r="AA375" s="602"/>
      <c r="AB375" s="602"/>
      <c r="AC375" s="602"/>
      <c r="AD375" s="602"/>
      <c r="AE375" s="602"/>
      <c r="AF375" s="602"/>
      <c r="AG375" s="602"/>
      <c r="AH375" s="602"/>
      <c r="AI375" s="602"/>
      <c r="AJ375" s="602"/>
      <c r="AK375" s="602"/>
      <c r="AL375" s="602"/>
      <c r="AM375" s="602"/>
      <c r="AN375" s="602"/>
      <c r="AO375" s="602"/>
      <c r="AP375" s="602"/>
      <c r="AQ375" s="602"/>
      <c r="AR375" s="602"/>
      <c r="AS375" s="602"/>
      <c r="AT375" s="602"/>
      <c r="AU375" s="602"/>
      <c r="AV375" s="602"/>
      <c r="AW375" s="602"/>
      <c r="AX375" s="602"/>
      <c r="AY375" s="602"/>
      <c r="AZ375" s="602"/>
      <c r="BA375" s="602"/>
    </row>
    <row r="376" spans="2:53">
      <c r="B376" s="602"/>
      <c r="C376" s="602"/>
      <c r="D376" s="602"/>
      <c r="G376" s="602"/>
      <c r="H376" s="602"/>
      <c r="I376" s="602"/>
      <c r="J376" s="602"/>
      <c r="K376" s="602"/>
      <c r="L376" s="602"/>
      <c r="M376" s="602"/>
      <c r="N376" s="602"/>
      <c r="O376" s="602"/>
      <c r="P376" s="602"/>
      <c r="Q376" s="602"/>
      <c r="R376" s="602"/>
      <c r="S376" s="602"/>
      <c r="T376" s="602"/>
      <c r="U376" s="602"/>
      <c r="V376" s="602"/>
      <c r="W376" s="602"/>
      <c r="X376" s="602"/>
      <c r="Y376" s="602"/>
      <c r="Z376" s="602"/>
      <c r="AA376" s="602"/>
      <c r="AB376" s="602"/>
      <c r="AC376" s="602"/>
      <c r="AD376" s="602"/>
      <c r="AE376" s="602"/>
      <c r="AF376" s="602"/>
      <c r="AG376" s="602"/>
      <c r="AH376" s="602"/>
      <c r="AI376" s="602"/>
      <c r="AJ376" s="602"/>
      <c r="AK376" s="602"/>
      <c r="AL376" s="602"/>
      <c r="AM376" s="602"/>
      <c r="AN376" s="602"/>
      <c r="AO376" s="602"/>
      <c r="AP376" s="602"/>
      <c r="AQ376" s="602"/>
      <c r="AR376" s="602"/>
      <c r="AS376" s="602"/>
      <c r="AT376" s="602"/>
      <c r="AU376" s="602"/>
      <c r="AV376" s="602"/>
      <c r="AW376" s="602"/>
      <c r="AX376" s="602"/>
      <c r="AY376" s="602"/>
      <c r="AZ376" s="602"/>
      <c r="BA376" s="602"/>
    </row>
    <row r="377" spans="2:53">
      <c r="B377" s="602"/>
      <c r="C377" s="602"/>
      <c r="D377" s="602"/>
      <c r="G377" s="602"/>
      <c r="H377" s="602"/>
      <c r="I377" s="602"/>
      <c r="J377" s="602"/>
      <c r="K377" s="602"/>
      <c r="L377" s="602"/>
      <c r="M377" s="602"/>
      <c r="N377" s="602"/>
      <c r="O377" s="602"/>
      <c r="P377" s="602"/>
      <c r="Q377" s="602"/>
      <c r="R377" s="602"/>
      <c r="S377" s="602"/>
      <c r="T377" s="602"/>
      <c r="U377" s="602"/>
      <c r="V377" s="602"/>
      <c r="W377" s="602"/>
      <c r="X377" s="602"/>
      <c r="Y377" s="602"/>
      <c r="Z377" s="602"/>
      <c r="AA377" s="602"/>
      <c r="AB377" s="602"/>
      <c r="AC377" s="602"/>
      <c r="AD377" s="602"/>
      <c r="AE377" s="602"/>
      <c r="AF377" s="602"/>
      <c r="AG377" s="602"/>
      <c r="AH377" s="602"/>
      <c r="AI377" s="602"/>
      <c r="AJ377" s="602"/>
      <c r="AK377" s="602"/>
      <c r="AL377" s="602"/>
      <c r="AM377" s="602"/>
      <c r="AN377" s="602"/>
      <c r="AO377" s="602"/>
      <c r="AP377" s="602"/>
      <c r="AQ377" s="602"/>
      <c r="AR377" s="602"/>
      <c r="AS377" s="602"/>
      <c r="AT377" s="602"/>
      <c r="AU377" s="602"/>
      <c r="AV377" s="602"/>
      <c r="AW377" s="602"/>
      <c r="AX377" s="602"/>
      <c r="AY377" s="602"/>
      <c r="AZ377" s="602"/>
      <c r="BA377" s="602"/>
    </row>
    <row r="378" spans="2:53">
      <c r="B378" s="602"/>
      <c r="C378" s="602"/>
      <c r="D378" s="602"/>
      <c r="G378" s="602"/>
      <c r="H378" s="602"/>
      <c r="I378" s="602"/>
      <c r="J378" s="602"/>
      <c r="K378" s="602"/>
      <c r="L378" s="602"/>
      <c r="M378" s="602"/>
      <c r="N378" s="602"/>
      <c r="O378" s="602"/>
      <c r="P378" s="602"/>
      <c r="Q378" s="602"/>
      <c r="R378" s="602"/>
      <c r="S378" s="602"/>
      <c r="T378" s="602"/>
      <c r="U378" s="602"/>
      <c r="V378" s="602"/>
      <c r="W378" s="602"/>
      <c r="X378" s="602"/>
      <c r="Y378" s="602"/>
      <c r="Z378" s="602"/>
      <c r="AA378" s="602"/>
      <c r="AB378" s="602"/>
      <c r="AC378" s="602"/>
      <c r="AD378" s="602"/>
      <c r="AE378" s="602"/>
      <c r="AF378" s="602"/>
      <c r="AG378" s="602"/>
      <c r="AH378" s="602"/>
      <c r="AI378" s="602"/>
      <c r="AJ378" s="602"/>
      <c r="AK378" s="602"/>
      <c r="AL378" s="602"/>
      <c r="AM378" s="602"/>
      <c r="AN378" s="602"/>
      <c r="AO378" s="602"/>
      <c r="AP378" s="602"/>
      <c r="AQ378" s="602"/>
      <c r="AR378" s="602"/>
      <c r="AS378" s="602"/>
      <c r="AT378" s="602"/>
      <c r="AU378" s="602"/>
      <c r="AV378" s="602"/>
      <c r="AW378" s="602"/>
      <c r="AX378" s="602"/>
      <c r="AY378" s="602"/>
      <c r="AZ378" s="602"/>
      <c r="BA378" s="602"/>
    </row>
    <row r="379" spans="2:53">
      <c r="B379" s="602"/>
      <c r="C379" s="602"/>
      <c r="D379" s="602"/>
      <c r="G379" s="602"/>
      <c r="H379" s="602"/>
      <c r="I379" s="602"/>
      <c r="J379" s="602"/>
      <c r="K379" s="602"/>
      <c r="L379" s="602"/>
      <c r="M379" s="602"/>
      <c r="N379" s="602"/>
      <c r="O379" s="602"/>
      <c r="P379" s="602"/>
      <c r="Q379" s="602"/>
      <c r="R379" s="602"/>
      <c r="S379" s="602"/>
      <c r="T379" s="602"/>
      <c r="U379" s="602"/>
      <c r="V379" s="602"/>
      <c r="W379" s="602"/>
      <c r="X379" s="602"/>
      <c r="Y379" s="602"/>
      <c r="Z379" s="602"/>
      <c r="AA379" s="602"/>
      <c r="AB379" s="602"/>
      <c r="AC379" s="602"/>
      <c r="AD379" s="602"/>
      <c r="AE379" s="602"/>
      <c r="AF379" s="602"/>
      <c r="AG379" s="602"/>
      <c r="AH379" s="602"/>
      <c r="AI379" s="602"/>
      <c r="AJ379" s="602"/>
      <c r="AK379" s="602"/>
      <c r="AL379" s="602"/>
      <c r="AM379" s="602"/>
      <c r="AN379" s="602"/>
      <c r="AO379" s="602"/>
      <c r="AP379" s="602"/>
      <c r="AQ379" s="602"/>
      <c r="AR379" s="602"/>
      <c r="AS379" s="602"/>
      <c r="AT379" s="602"/>
      <c r="AU379" s="602"/>
      <c r="AV379" s="602"/>
      <c r="AW379" s="602"/>
      <c r="AX379" s="602"/>
      <c r="AY379" s="602"/>
      <c r="AZ379" s="602"/>
      <c r="BA379" s="602"/>
    </row>
    <row r="380" spans="2:53">
      <c r="B380" s="602"/>
      <c r="C380" s="602"/>
      <c r="D380" s="602"/>
      <c r="G380" s="602"/>
      <c r="H380" s="602"/>
      <c r="I380" s="602"/>
      <c r="J380" s="602"/>
      <c r="K380" s="602"/>
      <c r="L380" s="602"/>
      <c r="M380" s="602"/>
      <c r="N380" s="602"/>
      <c r="O380" s="602"/>
      <c r="P380" s="602"/>
      <c r="Q380" s="602"/>
      <c r="R380" s="602"/>
      <c r="S380" s="602"/>
      <c r="T380" s="602"/>
      <c r="U380" s="602"/>
      <c r="V380" s="602"/>
      <c r="W380" s="602"/>
      <c r="X380" s="602"/>
      <c r="Y380" s="602"/>
      <c r="Z380" s="602"/>
      <c r="AA380" s="602"/>
      <c r="AB380" s="602"/>
      <c r="AC380" s="602"/>
      <c r="AD380" s="602"/>
      <c r="AE380" s="602"/>
      <c r="AF380" s="602"/>
      <c r="AG380" s="602"/>
      <c r="AH380" s="602"/>
      <c r="AI380" s="602"/>
      <c r="AJ380" s="602"/>
      <c r="AK380" s="602"/>
      <c r="AL380" s="602"/>
      <c r="AM380" s="602"/>
      <c r="AN380" s="602"/>
      <c r="AO380" s="602"/>
      <c r="AP380" s="602"/>
      <c r="AQ380" s="602"/>
      <c r="AR380" s="602"/>
      <c r="AS380" s="602"/>
      <c r="AT380" s="602"/>
      <c r="AU380" s="602"/>
      <c r="AV380" s="602"/>
      <c r="AW380" s="602"/>
      <c r="AX380" s="602"/>
      <c r="AY380" s="602"/>
      <c r="AZ380" s="602"/>
      <c r="BA380" s="602"/>
    </row>
    <row r="381" spans="2:53">
      <c r="B381" s="602"/>
      <c r="C381" s="602"/>
      <c r="D381" s="602"/>
      <c r="G381" s="602"/>
      <c r="H381" s="602"/>
      <c r="I381" s="602"/>
      <c r="J381" s="602"/>
      <c r="K381" s="602"/>
      <c r="L381" s="602"/>
      <c r="M381" s="602"/>
      <c r="N381" s="602"/>
      <c r="O381" s="602"/>
      <c r="P381" s="602"/>
      <c r="Q381" s="602"/>
      <c r="R381" s="602"/>
      <c r="S381" s="602"/>
      <c r="T381" s="602"/>
      <c r="U381" s="602"/>
      <c r="V381" s="602"/>
      <c r="W381" s="602"/>
      <c r="X381" s="602"/>
      <c r="Y381" s="602"/>
      <c r="Z381" s="602"/>
      <c r="AA381" s="602"/>
      <c r="AB381" s="602"/>
      <c r="AC381" s="602"/>
      <c r="AD381" s="602"/>
      <c r="AE381" s="602"/>
      <c r="AF381" s="602"/>
      <c r="AG381" s="602"/>
      <c r="AH381" s="602"/>
      <c r="AI381" s="602"/>
      <c r="AJ381" s="602"/>
      <c r="AK381" s="602"/>
      <c r="AL381" s="602"/>
      <c r="AM381" s="602"/>
      <c r="AN381" s="602"/>
      <c r="AO381" s="602"/>
      <c r="AP381" s="602"/>
      <c r="AQ381" s="602"/>
      <c r="AR381" s="602"/>
      <c r="AS381" s="602"/>
      <c r="AT381" s="602"/>
      <c r="AU381" s="602"/>
      <c r="AV381" s="602"/>
      <c r="AW381" s="602"/>
      <c r="AX381" s="602"/>
      <c r="AY381" s="602"/>
      <c r="AZ381" s="602"/>
      <c r="BA381" s="602"/>
    </row>
    <row r="382" spans="2:53">
      <c r="B382" s="602"/>
      <c r="C382" s="602"/>
      <c r="D382" s="602"/>
      <c r="G382" s="602"/>
      <c r="H382" s="602"/>
      <c r="I382" s="602"/>
      <c r="J382" s="602"/>
      <c r="K382" s="602"/>
      <c r="L382" s="602"/>
      <c r="M382" s="602"/>
      <c r="N382" s="602"/>
      <c r="O382" s="602"/>
      <c r="P382" s="602"/>
      <c r="Q382" s="602"/>
      <c r="R382" s="602"/>
      <c r="S382" s="602"/>
      <c r="T382" s="602"/>
      <c r="U382" s="602"/>
      <c r="V382" s="602"/>
      <c r="W382" s="602"/>
      <c r="X382" s="602"/>
      <c r="Y382" s="602"/>
      <c r="Z382" s="602"/>
      <c r="AA382" s="602"/>
      <c r="AB382" s="602"/>
      <c r="AC382" s="602"/>
      <c r="AD382" s="602"/>
      <c r="AE382" s="602"/>
      <c r="AF382" s="602"/>
      <c r="AG382" s="602"/>
      <c r="AH382" s="602"/>
      <c r="AI382" s="602"/>
      <c r="AJ382" s="602"/>
      <c r="AK382" s="602"/>
      <c r="AL382" s="602"/>
      <c r="AM382" s="602"/>
      <c r="AN382" s="602"/>
      <c r="AO382" s="602"/>
      <c r="AP382" s="602"/>
      <c r="AQ382" s="602"/>
      <c r="AR382" s="602"/>
      <c r="AS382" s="602"/>
      <c r="AT382" s="602"/>
      <c r="AU382" s="602"/>
      <c r="AV382" s="602"/>
      <c r="AW382" s="602"/>
      <c r="AX382" s="602"/>
      <c r="AY382" s="602"/>
      <c r="AZ382" s="602"/>
      <c r="BA382" s="602"/>
    </row>
    <row r="383" spans="2:53">
      <c r="B383" s="602"/>
      <c r="C383" s="602"/>
      <c r="D383" s="602"/>
      <c r="G383" s="602"/>
      <c r="H383" s="602"/>
      <c r="I383" s="602"/>
      <c r="J383" s="602"/>
      <c r="K383" s="602"/>
      <c r="L383" s="602"/>
      <c r="M383" s="602"/>
      <c r="N383" s="602"/>
      <c r="O383" s="602"/>
      <c r="P383" s="602"/>
      <c r="Q383" s="602"/>
      <c r="R383" s="602"/>
      <c r="S383" s="602"/>
      <c r="T383" s="602"/>
      <c r="U383" s="602"/>
      <c r="V383" s="602"/>
      <c r="W383" s="602"/>
      <c r="X383" s="602"/>
      <c r="Y383" s="602"/>
      <c r="Z383" s="602"/>
      <c r="AA383" s="602"/>
      <c r="AB383" s="602"/>
      <c r="AC383" s="602"/>
      <c r="AD383" s="602"/>
      <c r="AE383" s="602"/>
      <c r="AF383" s="602"/>
      <c r="AG383" s="602"/>
      <c r="AH383" s="602"/>
      <c r="AI383" s="602"/>
      <c r="AJ383" s="602"/>
      <c r="AK383" s="602"/>
      <c r="AL383" s="602"/>
      <c r="AM383" s="602"/>
      <c r="AN383" s="602"/>
      <c r="AO383" s="602"/>
      <c r="AP383" s="602"/>
      <c r="AQ383" s="602"/>
      <c r="AR383" s="602"/>
      <c r="AS383" s="602"/>
      <c r="AT383" s="602"/>
      <c r="AU383" s="602"/>
      <c r="AV383" s="602"/>
      <c r="AW383" s="602"/>
      <c r="AX383" s="602"/>
      <c r="AY383" s="602"/>
      <c r="AZ383" s="602"/>
      <c r="BA383" s="602"/>
    </row>
    <row r="384" spans="2:53">
      <c r="B384" s="602"/>
      <c r="C384" s="602"/>
      <c r="D384" s="602"/>
      <c r="G384" s="602"/>
      <c r="H384" s="602"/>
      <c r="I384" s="602"/>
      <c r="J384" s="602"/>
      <c r="K384" s="602"/>
      <c r="L384" s="602"/>
      <c r="M384" s="602"/>
      <c r="N384" s="602"/>
      <c r="O384" s="602"/>
      <c r="P384" s="602"/>
      <c r="Q384" s="602"/>
      <c r="R384" s="602"/>
      <c r="S384" s="602"/>
      <c r="T384" s="602"/>
      <c r="U384" s="602"/>
      <c r="V384" s="602"/>
      <c r="W384" s="602"/>
      <c r="X384" s="602"/>
      <c r="Y384" s="602"/>
      <c r="Z384" s="602"/>
      <c r="AA384" s="602"/>
      <c r="AB384" s="602"/>
      <c r="AC384" s="602"/>
      <c r="AD384" s="602"/>
      <c r="AE384" s="602"/>
      <c r="AF384" s="602"/>
      <c r="AG384" s="602"/>
      <c r="AH384" s="602"/>
      <c r="AI384" s="602"/>
      <c r="AJ384" s="602"/>
      <c r="AK384" s="602"/>
      <c r="AL384" s="602"/>
      <c r="AM384" s="602"/>
      <c r="AN384" s="602"/>
      <c r="AO384" s="602"/>
      <c r="AP384" s="602"/>
      <c r="AQ384" s="602"/>
      <c r="AR384" s="602"/>
      <c r="AS384" s="602"/>
      <c r="AT384" s="602"/>
      <c r="AU384" s="602"/>
      <c r="AV384" s="602"/>
      <c r="AW384" s="602"/>
      <c r="AX384" s="602"/>
      <c r="AY384" s="602"/>
      <c r="AZ384" s="602"/>
      <c r="BA384" s="602"/>
    </row>
    <row r="385" spans="2:53">
      <c r="B385" s="602"/>
      <c r="C385" s="602"/>
      <c r="D385" s="602"/>
      <c r="G385" s="602"/>
      <c r="H385" s="602"/>
      <c r="I385" s="602"/>
      <c r="J385" s="602"/>
      <c r="K385" s="602"/>
      <c r="L385" s="602"/>
      <c r="M385" s="602"/>
      <c r="N385" s="602"/>
      <c r="O385" s="602"/>
      <c r="P385" s="602"/>
      <c r="Q385" s="602"/>
      <c r="R385" s="602"/>
      <c r="S385" s="602"/>
      <c r="T385" s="602"/>
      <c r="U385" s="602"/>
      <c r="V385" s="602"/>
      <c r="W385" s="602"/>
      <c r="X385" s="602"/>
      <c r="Y385" s="602"/>
      <c r="Z385" s="602"/>
      <c r="AA385" s="602"/>
      <c r="AB385" s="602"/>
      <c r="AC385" s="602"/>
      <c r="AD385" s="602"/>
      <c r="AE385" s="602"/>
      <c r="AF385" s="602"/>
      <c r="AG385" s="602"/>
      <c r="AH385" s="602"/>
      <c r="AI385" s="602"/>
      <c r="AJ385" s="602"/>
      <c r="AK385" s="602"/>
      <c r="AL385" s="602"/>
      <c r="AM385" s="602"/>
      <c r="AN385" s="602"/>
      <c r="AO385" s="602"/>
      <c r="AP385" s="602"/>
      <c r="AQ385" s="602"/>
      <c r="AR385" s="602"/>
      <c r="AS385" s="602"/>
      <c r="AT385" s="602"/>
      <c r="AU385" s="602"/>
      <c r="AV385" s="602"/>
      <c r="AW385" s="602"/>
      <c r="AX385" s="602"/>
      <c r="AY385" s="602"/>
      <c r="AZ385" s="602"/>
      <c r="BA385" s="602"/>
    </row>
    <row r="386" spans="2:53">
      <c r="B386" s="602"/>
      <c r="C386" s="602"/>
      <c r="D386" s="602"/>
      <c r="G386" s="602"/>
      <c r="H386" s="602"/>
      <c r="I386" s="602"/>
      <c r="J386" s="602"/>
      <c r="K386" s="602"/>
      <c r="L386" s="602"/>
      <c r="M386" s="602"/>
      <c r="N386" s="602"/>
      <c r="O386" s="602"/>
      <c r="P386" s="602"/>
      <c r="Q386" s="602"/>
      <c r="R386" s="602"/>
      <c r="S386" s="602"/>
      <c r="T386" s="602"/>
      <c r="U386" s="602"/>
      <c r="V386" s="602"/>
      <c r="W386" s="602"/>
      <c r="X386" s="602"/>
      <c r="Y386" s="602"/>
      <c r="Z386" s="602"/>
      <c r="AA386" s="602"/>
      <c r="AB386" s="602"/>
      <c r="AC386" s="602"/>
      <c r="AD386" s="602"/>
      <c r="AE386" s="602"/>
      <c r="AF386" s="602"/>
      <c r="AG386" s="602"/>
      <c r="AH386" s="602"/>
      <c r="AI386" s="602"/>
      <c r="AJ386" s="602"/>
      <c r="AK386" s="602"/>
      <c r="AL386" s="602"/>
      <c r="AM386" s="602"/>
      <c r="AN386" s="602"/>
      <c r="AO386" s="602"/>
      <c r="AP386" s="602"/>
      <c r="AQ386" s="602"/>
      <c r="AR386" s="602"/>
      <c r="AS386" s="602"/>
      <c r="AT386" s="602"/>
      <c r="AU386" s="602"/>
      <c r="AV386" s="602"/>
      <c r="AW386" s="602"/>
      <c r="AX386" s="602"/>
      <c r="AY386" s="602"/>
      <c r="AZ386" s="602"/>
      <c r="BA386" s="602"/>
    </row>
    <row r="387" spans="2:53">
      <c r="B387" s="602"/>
      <c r="C387" s="602"/>
      <c r="D387" s="602"/>
      <c r="G387" s="602"/>
      <c r="H387" s="602"/>
      <c r="I387" s="602"/>
      <c r="J387" s="602"/>
      <c r="K387" s="602"/>
      <c r="L387" s="602"/>
      <c r="M387" s="602"/>
      <c r="N387" s="602"/>
      <c r="O387" s="602"/>
      <c r="P387" s="602"/>
      <c r="Q387" s="602"/>
      <c r="R387" s="602"/>
      <c r="S387" s="602"/>
      <c r="T387" s="602"/>
      <c r="U387" s="602"/>
      <c r="V387" s="602"/>
      <c r="W387" s="602"/>
      <c r="X387" s="602"/>
      <c r="Y387" s="602"/>
      <c r="Z387" s="602"/>
      <c r="AA387" s="602"/>
      <c r="AB387" s="602"/>
      <c r="AC387" s="602"/>
      <c r="AD387" s="602"/>
      <c r="AE387" s="602"/>
      <c r="AF387" s="602"/>
      <c r="AG387" s="602"/>
      <c r="AH387" s="602"/>
      <c r="AI387" s="602"/>
      <c r="AJ387" s="602"/>
      <c r="AK387" s="602"/>
      <c r="AL387" s="602"/>
      <c r="AM387" s="602"/>
      <c r="AN387" s="602"/>
      <c r="AO387" s="602"/>
      <c r="AP387" s="602"/>
      <c r="AQ387" s="602"/>
      <c r="AR387" s="602"/>
      <c r="AS387" s="602"/>
      <c r="AT387" s="602"/>
      <c r="AU387" s="602"/>
      <c r="AV387" s="602"/>
      <c r="AW387" s="602"/>
      <c r="AX387" s="602"/>
      <c r="AY387" s="602"/>
      <c r="AZ387" s="602"/>
      <c r="BA387" s="602"/>
    </row>
    <row r="388" spans="2:53">
      <c r="B388" s="602"/>
      <c r="C388" s="602"/>
      <c r="D388" s="602"/>
      <c r="G388" s="602"/>
      <c r="H388" s="602"/>
      <c r="I388" s="602"/>
      <c r="J388" s="602"/>
      <c r="K388" s="602"/>
      <c r="L388" s="602"/>
      <c r="M388" s="602"/>
      <c r="N388" s="602"/>
      <c r="O388" s="602"/>
      <c r="P388" s="602"/>
      <c r="Q388" s="602"/>
      <c r="R388" s="602"/>
      <c r="S388" s="602"/>
      <c r="T388" s="602"/>
      <c r="U388" s="602"/>
      <c r="V388" s="602"/>
      <c r="W388" s="602"/>
      <c r="X388" s="602"/>
      <c r="Y388" s="602"/>
      <c r="Z388" s="602"/>
      <c r="AA388" s="602"/>
      <c r="AB388" s="602"/>
      <c r="AC388" s="602"/>
      <c r="AD388" s="602"/>
      <c r="AE388" s="602"/>
      <c r="AF388" s="602"/>
      <c r="AG388" s="602"/>
      <c r="AH388" s="602"/>
      <c r="AI388" s="602"/>
      <c r="AJ388" s="602"/>
      <c r="AK388" s="602"/>
      <c r="AL388" s="602"/>
      <c r="AM388" s="602"/>
      <c r="AN388" s="602"/>
      <c r="AO388" s="602"/>
      <c r="AP388" s="602"/>
      <c r="AQ388" s="602"/>
      <c r="AR388" s="602"/>
      <c r="AS388" s="602"/>
      <c r="AT388" s="602"/>
      <c r="AU388" s="602"/>
      <c r="AV388" s="602"/>
      <c r="AW388" s="602"/>
      <c r="AX388" s="602"/>
      <c r="AY388" s="602"/>
      <c r="AZ388" s="602"/>
      <c r="BA388" s="602"/>
    </row>
    <row r="389" spans="2:53">
      <c r="B389" s="602"/>
      <c r="C389" s="602"/>
      <c r="D389" s="602"/>
      <c r="G389" s="602"/>
      <c r="H389" s="602"/>
      <c r="I389" s="602"/>
      <c r="J389" s="602"/>
      <c r="K389" s="602"/>
      <c r="L389" s="602"/>
      <c r="M389" s="602"/>
      <c r="N389" s="602"/>
      <c r="O389" s="602"/>
      <c r="P389" s="602"/>
      <c r="Q389" s="602"/>
      <c r="R389" s="602"/>
      <c r="S389" s="602"/>
      <c r="T389" s="602"/>
      <c r="U389" s="602"/>
      <c r="V389" s="602"/>
      <c r="W389" s="602"/>
      <c r="X389" s="602"/>
      <c r="Y389" s="602"/>
      <c r="Z389" s="602"/>
      <c r="AA389" s="602"/>
      <c r="AB389" s="602"/>
      <c r="AC389" s="602"/>
      <c r="AD389" s="602"/>
      <c r="AE389" s="602"/>
      <c r="AF389" s="602"/>
      <c r="AG389" s="602"/>
      <c r="AH389" s="602"/>
      <c r="AI389" s="602"/>
      <c r="AJ389" s="602"/>
      <c r="AK389" s="602"/>
      <c r="AL389" s="602"/>
      <c r="AM389" s="602"/>
      <c r="AN389" s="602"/>
      <c r="AO389" s="602"/>
      <c r="AP389" s="602"/>
      <c r="AQ389" s="602"/>
      <c r="AR389" s="602"/>
      <c r="AS389" s="602"/>
      <c r="AT389" s="602"/>
      <c r="AU389" s="602"/>
      <c r="AV389" s="602"/>
      <c r="AW389" s="602"/>
      <c r="AX389" s="602"/>
      <c r="AY389" s="602"/>
      <c r="AZ389" s="602"/>
      <c r="BA389" s="602"/>
    </row>
    <row r="390" spans="2:53">
      <c r="B390" s="602"/>
      <c r="C390" s="602"/>
      <c r="D390" s="602"/>
      <c r="G390" s="602"/>
      <c r="H390" s="602"/>
      <c r="I390" s="602"/>
      <c r="J390" s="602"/>
      <c r="K390" s="602"/>
      <c r="L390" s="602"/>
      <c r="M390" s="602"/>
      <c r="N390" s="602"/>
      <c r="O390" s="602"/>
      <c r="P390" s="602"/>
      <c r="Q390" s="602"/>
      <c r="R390" s="602"/>
      <c r="S390" s="602"/>
      <c r="T390" s="602"/>
      <c r="U390" s="602"/>
      <c r="V390" s="602"/>
      <c r="W390" s="602"/>
      <c r="X390" s="602"/>
      <c r="Y390" s="602"/>
      <c r="Z390" s="602"/>
      <c r="AA390" s="602"/>
      <c r="AB390" s="602"/>
      <c r="AC390" s="602"/>
      <c r="AD390" s="602"/>
      <c r="AE390" s="602"/>
      <c r="AF390" s="602"/>
      <c r="AG390" s="602"/>
      <c r="AH390" s="602"/>
      <c r="AI390" s="602"/>
      <c r="AJ390" s="602"/>
      <c r="AK390" s="602"/>
      <c r="AL390" s="602"/>
      <c r="AM390" s="602"/>
      <c r="AN390" s="602"/>
      <c r="AO390" s="602"/>
      <c r="AP390" s="602"/>
      <c r="AQ390" s="602"/>
      <c r="AR390" s="602"/>
      <c r="AS390" s="602"/>
      <c r="AT390" s="602"/>
      <c r="AU390" s="602"/>
      <c r="AV390" s="602"/>
      <c r="AW390" s="602"/>
      <c r="AX390" s="602"/>
      <c r="AY390" s="602"/>
      <c r="AZ390" s="602"/>
      <c r="BA390" s="602"/>
    </row>
    <row r="391" spans="2:53">
      <c r="B391" s="602"/>
      <c r="C391" s="602"/>
      <c r="D391" s="602"/>
      <c r="G391" s="602"/>
      <c r="H391" s="602"/>
      <c r="I391" s="602"/>
      <c r="J391" s="602"/>
      <c r="K391" s="602"/>
      <c r="L391" s="602"/>
      <c r="M391" s="602"/>
      <c r="N391" s="602"/>
      <c r="O391" s="602"/>
      <c r="P391" s="602"/>
      <c r="Q391" s="602"/>
      <c r="R391" s="602"/>
      <c r="S391" s="602"/>
      <c r="T391" s="602"/>
      <c r="U391" s="602"/>
      <c r="V391" s="602"/>
      <c r="W391" s="602"/>
      <c r="X391" s="602"/>
      <c r="Y391" s="602"/>
      <c r="Z391" s="602"/>
      <c r="AA391" s="602"/>
      <c r="AB391" s="602"/>
      <c r="AC391" s="602"/>
      <c r="AD391" s="602"/>
      <c r="AE391" s="602"/>
      <c r="AF391" s="602"/>
      <c r="AG391" s="602"/>
      <c r="AH391" s="602"/>
      <c r="AI391" s="602"/>
      <c r="AJ391" s="602"/>
      <c r="AK391" s="602"/>
      <c r="AL391" s="602"/>
      <c r="AM391" s="602"/>
      <c r="AN391" s="602"/>
      <c r="AO391" s="602"/>
      <c r="AP391" s="602"/>
      <c r="AQ391" s="602"/>
      <c r="AR391" s="602"/>
      <c r="AS391" s="602"/>
      <c r="AT391" s="602"/>
      <c r="AU391" s="602"/>
      <c r="AV391" s="602"/>
      <c r="AW391" s="602"/>
      <c r="AX391" s="602"/>
      <c r="AY391" s="602"/>
      <c r="AZ391" s="602"/>
      <c r="BA391" s="602"/>
    </row>
    <row r="392" spans="2:53">
      <c r="B392" s="602"/>
      <c r="C392" s="602"/>
      <c r="D392" s="602"/>
      <c r="G392" s="602"/>
      <c r="H392" s="602"/>
      <c r="I392" s="602"/>
      <c r="J392" s="602"/>
      <c r="K392" s="602"/>
      <c r="L392" s="602"/>
      <c r="M392" s="602"/>
      <c r="N392" s="602"/>
      <c r="O392" s="602"/>
      <c r="P392" s="602"/>
      <c r="Q392" s="602"/>
      <c r="R392" s="602"/>
      <c r="S392" s="602"/>
      <c r="T392" s="602"/>
      <c r="U392" s="602"/>
      <c r="V392" s="602"/>
      <c r="W392" s="602"/>
      <c r="X392" s="602"/>
      <c r="Y392" s="602"/>
      <c r="Z392" s="602"/>
      <c r="AA392" s="602"/>
      <c r="AB392" s="602"/>
      <c r="AC392" s="602"/>
      <c r="AD392" s="602"/>
      <c r="AE392" s="602"/>
      <c r="AF392" s="602"/>
      <c r="AG392" s="602"/>
      <c r="AH392" s="602"/>
      <c r="AI392" s="602"/>
      <c r="AJ392" s="602"/>
      <c r="AK392" s="602"/>
      <c r="AL392" s="602"/>
      <c r="AM392" s="602"/>
      <c r="AN392" s="602"/>
      <c r="AO392" s="602"/>
      <c r="AP392" s="602"/>
      <c r="AQ392" s="602"/>
      <c r="AR392" s="602"/>
      <c r="AS392" s="602"/>
      <c r="AT392" s="602"/>
      <c r="AU392" s="602"/>
      <c r="AV392" s="602"/>
      <c r="AW392" s="602"/>
      <c r="AX392" s="602"/>
      <c r="AY392" s="602"/>
      <c r="AZ392" s="602"/>
      <c r="BA392" s="602"/>
    </row>
    <row r="393" spans="2:53">
      <c r="B393" s="602"/>
      <c r="C393" s="602"/>
      <c r="D393" s="602"/>
      <c r="G393" s="602"/>
      <c r="H393" s="602"/>
      <c r="I393" s="602"/>
      <c r="J393" s="602"/>
      <c r="K393" s="602"/>
      <c r="L393" s="602"/>
      <c r="M393" s="602"/>
      <c r="N393" s="602"/>
      <c r="O393" s="602"/>
      <c r="P393" s="602"/>
      <c r="Q393" s="602"/>
      <c r="R393" s="602"/>
      <c r="S393" s="602"/>
      <c r="T393" s="602"/>
      <c r="U393" s="602"/>
      <c r="V393" s="602"/>
      <c r="W393" s="602"/>
      <c r="X393" s="602"/>
      <c r="Y393" s="602"/>
      <c r="Z393" s="602"/>
      <c r="AA393" s="602"/>
      <c r="AB393" s="602"/>
      <c r="AC393" s="602"/>
      <c r="AD393" s="602"/>
      <c r="AE393" s="602"/>
      <c r="AF393" s="602"/>
      <c r="AG393" s="602"/>
      <c r="AH393" s="602"/>
      <c r="AI393" s="602"/>
      <c r="AJ393" s="602"/>
      <c r="AK393" s="602"/>
      <c r="AL393" s="602"/>
      <c r="AM393" s="602"/>
      <c r="AN393" s="602"/>
      <c r="AO393" s="602"/>
      <c r="AP393" s="602"/>
      <c r="AQ393" s="602"/>
      <c r="AR393" s="602"/>
      <c r="AS393" s="602"/>
      <c r="AT393" s="602"/>
      <c r="AU393" s="602"/>
      <c r="AV393" s="602"/>
      <c r="AW393" s="602"/>
      <c r="AX393" s="602"/>
      <c r="AY393" s="602"/>
      <c r="AZ393" s="602"/>
      <c r="BA393" s="602"/>
    </row>
    <row r="394" spans="2:53">
      <c r="B394" s="602"/>
      <c r="C394" s="602"/>
      <c r="D394" s="602"/>
      <c r="G394" s="602"/>
      <c r="H394" s="602"/>
      <c r="I394" s="602"/>
      <c r="J394" s="602"/>
      <c r="K394" s="602"/>
      <c r="L394" s="602"/>
      <c r="M394" s="602"/>
      <c r="N394" s="602"/>
      <c r="O394" s="602"/>
      <c r="P394" s="602"/>
      <c r="Q394" s="602"/>
      <c r="R394" s="602"/>
      <c r="S394" s="602"/>
      <c r="T394" s="602"/>
      <c r="U394" s="602"/>
      <c r="V394" s="602"/>
      <c r="W394" s="602"/>
      <c r="X394" s="602"/>
      <c r="Y394" s="602"/>
      <c r="Z394" s="602"/>
      <c r="AA394" s="602"/>
      <c r="AB394" s="602"/>
      <c r="AC394" s="602"/>
      <c r="AD394" s="602"/>
      <c r="AE394" s="602"/>
      <c r="AF394" s="602"/>
      <c r="AG394" s="602"/>
      <c r="AH394" s="602"/>
      <c r="AI394" s="602"/>
      <c r="AJ394" s="602"/>
      <c r="AK394" s="602"/>
      <c r="AL394" s="602"/>
      <c r="AM394" s="602"/>
      <c r="AN394" s="602"/>
      <c r="AO394" s="602"/>
      <c r="AP394" s="602"/>
      <c r="AQ394" s="602"/>
      <c r="AR394" s="602"/>
      <c r="AS394" s="602"/>
      <c r="AT394" s="602"/>
      <c r="AU394" s="602"/>
      <c r="AV394" s="602"/>
      <c r="AW394" s="602"/>
      <c r="AX394" s="602"/>
      <c r="AY394" s="602"/>
      <c r="AZ394" s="602"/>
      <c r="BA394" s="602"/>
    </row>
    <row r="395" spans="2:53">
      <c r="B395" s="602"/>
      <c r="C395" s="602"/>
      <c r="D395" s="602"/>
      <c r="G395" s="602"/>
      <c r="H395" s="602"/>
      <c r="I395" s="602"/>
      <c r="J395" s="602"/>
      <c r="K395" s="602"/>
      <c r="L395" s="602"/>
      <c r="M395" s="602"/>
      <c r="N395" s="602"/>
      <c r="O395" s="602"/>
      <c r="P395" s="602"/>
      <c r="Q395" s="602"/>
      <c r="R395" s="602"/>
      <c r="S395" s="602"/>
      <c r="T395" s="602"/>
      <c r="U395" s="602"/>
      <c r="V395" s="602"/>
      <c r="W395" s="602"/>
      <c r="X395" s="602"/>
      <c r="Y395" s="602"/>
      <c r="Z395" s="602"/>
      <c r="AA395" s="602"/>
      <c r="AB395" s="602"/>
      <c r="AC395" s="602"/>
      <c r="AD395" s="602"/>
      <c r="AE395" s="602"/>
      <c r="AF395" s="602"/>
      <c r="AG395" s="602"/>
      <c r="AH395" s="602"/>
      <c r="AI395" s="602"/>
      <c r="AJ395" s="602"/>
      <c r="AK395" s="602"/>
      <c r="AL395" s="602"/>
      <c r="AM395" s="602"/>
      <c r="AN395" s="602"/>
      <c r="AO395" s="602"/>
      <c r="AP395" s="602"/>
      <c r="AQ395" s="602"/>
      <c r="AR395" s="602"/>
      <c r="AS395" s="602"/>
      <c r="AT395" s="602"/>
      <c r="AU395" s="602"/>
      <c r="AV395" s="602"/>
      <c r="AW395" s="602"/>
      <c r="AX395" s="602"/>
      <c r="AY395" s="602"/>
      <c r="AZ395" s="602"/>
      <c r="BA395" s="602"/>
    </row>
    <row r="396" spans="2:53">
      <c r="B396" s="602"/>
      <c r="C396" s="602"/>
      <c r="D396" s="602"/>
      <c r="G396" s="602"/>
      <c r="H396" s="602"/>
      <c r="I396" s="602"/>
      <c r="J396" s="602"/>
      <c r="K396" s="602"/>
      <c r="L396" s="602"/>
      <c r="M396" s="602"/>
      <c r="N396" s="602"/>
      <c r="O396" s="602"/>
      <c r="P396" s="602"/>
      <c r="Q396" s="602"/>
      <c r="R396" s="602"/>
      <c r="S396" s="602"/>
      <c r="T396" s="602"/>
      <c r="U396" s="602"/>
      <c r="V396" s="602"/>
      <c r="W396" s="602"/>
      <c r="X396" s="602"/>
      <c r="Y396" s="602"/>
      <c r="Z396" s="602"/>
      <c r="AA396" s="602"/>
      <c r="AB396" s="602"/>
      <c r="AC396" s="602"/>
      <c r="AD396" s="602"/>
      <c r="AE396" s="602"/>
      <c r="AF396" s="602"/>
      <c r="AG396" s="602"/>
      <c r="AH396" s="602"/>
      <c r="AI396" s="602"/>
      <c r="AJ396" s="602"/>
      <c r="AK396" s="602"/>
      <c r="AL396" s="602"/>
      <c r="AM396" s="602"/>
      <c r="AN396" s="602"/>
      <c r="AO396" s="602"/>
      <c r="AP396" s="602"/>
      <c r="AQ396" s="602"/>
      <c r="AR396" s="602"/>
      <c r="AS396" s="602"/>
      <c r="AT396" s="602"/>
      <c r="AU396" s="602"/>
      <c r="AV396" s="602"/>
      <c r="AW396" s="602"/>
      <c r="AX396" s="602"/>
      <c r="AY396" s="602"/>
      <c r="AZ396" s="602"/>
      <c r="BA396" s="602"/>
    </row>
    <row r="397" spans="2:53">
      <c r="B397" s="602"/>
      <c r="C397" s="602"/>
      <c r="D397" s="602"/>
      <c r="G397" s="602"/>
      <c r="H397" s="602"/>
      <c r="I397" s="602"/>
      <c r="J397" s="602"/>
      <c r="K397" s="602"/>
      <c r="L397" s="602"/>
      <c r="M397" s="602"/>
      <c r="N397" s="602"/>
      <c r="O397" s="602"/>
      <c r="P397" s="602"/>
      <c r="Q397" s="602"/>
      <c r="R397" s="602"/>
      <c r="S397" s="602"/>
      <c r="T397" s="602"/>
      <c r="U397" s="602"/>
      <c r="V397" s="602"/>
      <c r="W397" s="602"/>
      <c r="X397" s="602"/>
      <c r="Y397" s="602"/>
      <c r="Z397" s="602"/>
      <c r="AA397" s="602"/>
      <c r="AB397" s="602"/>
      <c r="AC397" s="602"/>
      <c r="AD397" s="602"/>
      <c r="AE397" s="602"/>
      <c r="AF397" s="602"/>
      <c r="AG397" s="602"/>
      <c r="AH397" s="602"/>
      <c r="AI397" s="602"/>
      <c r="AJ397" s="602"/>
      <c r="AK397" s="602"/>
      <c r="AL397" s="602"/>
      <c r="AM397" s="602"/>
      <c r="AN397" s="602"/>
      <c r="AO397" s="602"/>
      <c r="AP397" s="602"/>
      <c r="AQ397" s="602"/>
      <c r="AR397" s="602"/>
      <c r="AS397" s="602"/>
      <c r="AT397" s="602"/>
      <c r="AU397" s="602"/>
      <c r="AV397" s="602"/>
      <c r="AW397" s="602"/>
      <c r="AX397" s="602"/>
      <c r="AY397" s="602"/>
      <c r="AZ397" s="602"/>
      <c r="BA397" s="602"/>
    </row>
    <row r="398" spans="2:53">
      <c r="B398" s="602"/>
      <c r="C398" s="602"/>
      <c r="D398" s="602"/>
      <c r="G398" s="602"/>
      <c r="H398" s="602"/>
      <c r="I398" s="602"/>
      <c r="J398" s="602"/>
      <c r="K398" s="602"/>
      <c r="L398" s="602"/>
      <c r="M398" s="602"/>
      <c r="N398" s="602"/>
      <c r="O398" s="602"/>
      <c r="P398" s="602"/>
      <c r="Q398" s="602"/>
      <c r="R398" s="602"/>
      <c r="S398" s="602"/>
      <c r="T398" s="602"/>
      <c r="U398" s="602"/>
      <c r="V398" s="602"/>
      <c r="W398" s="602"/>
      <c r="X398" s="602"/>
      <c r="Y398" s="602"/>
      <c r="Z398" s="602"/>
      <c r="AA398" s="602"/>
      <c r="AB398" s="602"/>
      <c r="AC398" s="602"/>
      <c r="AD398" s="602"/>
      <c r="AE398" s="602"/>
      <c r="AF398" s="602"/>
      <c r="AG398" s="602"/>
      <c r="AH398" s="602"/>
      <c r="AI398" s="602"/>
      <c r="AJ398" s="602"/>
      <c r="AK398" s="602"/>
      <c r="AL398" s="602"/>
      <c r="AM398" s="602"/>
      <c r="AN398" s="602"/>
      <c r="AO398" s="602"/>
      <c r="AP398" s="602"/>
      <c r="AQ398" s="602"/>
      <c r="AR398" s="602"/>
      <c r="AS398" s="602"/>
      <c r="AT398" s="602"/>
      <c r="AU398" s="602"/>
      <c r="AV398" s="602"/>
      <c r="AW398" s="602"/>
      <c r="AX398" s="602"/>
      <c r="AY398" s="602"/>
      <c r="AZ398" s="602"/>
      <c r="BA398" s="602"/>
    </row>
    <row r="399" spans="2:53">
      <c r="B399" s="602"/>
      <c r="C399" s="602"/>
      <c r="D399" s="602"/>
      <c r="G399" s="602"/>
      <c r="H399" s="602"/>
      <c r="I399" s="602"/>
      <c r="J399" s="602"/>
      <c r="K399" s="602"/>
      <c r="L399" s="602"/>
      <c r="M399" s="602"/>
      <c r="N399" s="602"/>
      <c r="O399" s="602"/>
      <c r="P399" s="602"/>
      <c r="Q399" s="602"/>
      <c r="R399" s="602"/>
      <c r="S399" s="602"/>
      <c r="T399" s="602"/>
      <c r="U399" s="602"/>
      <c r="V399" s="602"/>
      <c r="W399" s="602"/>
      <c r="X399" s="602"/>
      <c r="Y399" s="602"/>
      <c r="Z399" s="602"/>
      <c r="AA399" s="602"/>
      <c r="AB399" s="602"/>
      <c r="AC399" s="602"/>
      <c r="AD399" s="602"/>
      <c r="AE399" s="602"/>
      <c r="AF399" s="602"/>
      <c r="AG399" s="602"/>
      <c r="AH399" s="602"/>
      <c r="AI399" s="602"/>
      <c r="AJ399" s="602"/>
      <c r="AK399" s="602"/>
      <c r="AL399" s="602"/>
      <c r="AM399" s="602"/>
      <c r="AN399" s="602"/>
      <c r="AO399" s="602"/>
      <c r="AP399" s="602"/>
      <c r="AQ399" s="602"/>
      <c r="AR399" s="602"/>
      <c r="AS399" s="602"/>
      <c r="AT399" s="602"/>
      <c r="AU399" s="602"/>
      <c r="AV399" s="602"/>
      <c r="AW399" s="602"/>
      <c r="AX399" s="602"/>
      <c r="AY399" s="602"/>
      <c r="AZ399" s="602"/>
      <c r="BA399" s="602"/>
    </row>
    <row r="400" spans="2:53">
      <c r="B400" s="602"/>
      <c r="C400" s="602"/>
      <c r="D400" s="602"/>
      <c r="G400" s="602"/>
      <c r="H400" s="602"/>
      <c r="I400" s="602"/>
      <c r="J400" s="602"/>
      <c r="K400" s="602"/>
      <c r="L400" s="602"/>
      <c r="M400" s="602"/>
      <c r="N400" s="602"/>
      <c r="O400" s="602"/>
      <c r="P400" s="602"/>
      <c r="Q400" s="602"/>
      <c r="R400" s="602"/>
      <c r="S400" s="602"/>
      <c r="T400" s="602"/>
      <c r="U400" s="602"/>
      <c r="V400" s="602"/>
      <c r="W400" s="602"/>
      <c r="X400" s="602"/>
      <c r="Y400" s="602"/>
      <c r="Z400" s="602"/>
      <c r="AA400" s="602"/>
      <c r="AB400" s="602"/>
      <c r="AC400" s="602"/>
      <c r="AD400" s="602"/>
      <c r="AE400" s="602"/>
      <c r="AF400" s="602"/>
      <c r="AG400" s="602"/>
      <c r="AH400" s="602"/>
      <c r="AI400" s="602"/>
      <c r="AJ400" s="602"/>
      <c r="AK400" s="602"/>
      <c r="AL400" s="602"/>
      <c r="AM400" s="602"/>
      <c r="AN400" s="602"/>
      <c r="AO400" s="602"/>
      <c r="AP400" s="602"/>
      <c r="AQ400" s="602"/>
      <c r="AR400" s="602"/>
      <c r="AS400" s="602"/>
      <c r="AT400" s="602"/>
      <c r="AU400" s="602"/>
      <c r="AV400" s="602"/>
      <c r="AW400" s="602"/>
      <c r="AX400" s="602"/>
      <c r="AY400" s="602"/>
      <c r="AZ400" s="602"/>
      <c r="BA400" s="602"/>
    </row>
    <row r="401" spans="2:53">
      <c r="B401" s="602"/>
      <c r="C401" s="602"/>
      <c r="D401" s="602"/>
      <c r="G401" s="602"/>
      <c r="H401" s="602"/>
      <c r="I401" s="602"/>
      <c r="J401" s="602"/>
      <c r="K401" s="602"/>
      <c r="L401" s="602"/>
      <c r="M401" s="602"/>
      <c r="N401" s="602"/>
      <c r="O401" s="602"/>
      <c r="P401" s="602"/>
      <c r="Q401" s="602"/>
      <c r="R401" s="602"/>
      <c r="S401" s="602"/>
      <c r="T401" s="602"/>
      <c r="U401" s="602"/>
      <c r="V401" s="602"/>
      <c r="W401" s="602"/>
      <c r="X401" s="602"/>
      <c r="Y401" s="602"/>
      <c r="Z401" s="602"/>
      <c r="AA401" s="602"/>
      <c r="AB401" s="602"/>
      <c r="AC401" s="602"/>
      <c r="AD401" s="602"/>
      <c r="AE401" s="602"/>
      <c r="AF401" s="602"/>
      <c r="AG401" s="602"/>
      <c r="AH401" s="602"/>
      <c r="AI401" s="602"/>
      <c r="AJ401" s="602"/>
      <c r="AK401" s="602"/>
      <c r="AL401" s="602"/>
      <c r="AM401" s="602"/>
      <c r="AN401" s="602"/>
      <c r="AO401" s="602"/>
      <c r="AP401" s="602"/>
      <c r="AQ401" s="602"/>
      <c r="AR401" s="602"/>
      <c r="AS401" s="602"/>
      <c r="AT401" s="602"/>
      <c r="AU401" s="602"/>
      <c r="AV401" s="602"/>
      <c r="AW401" s="602"/>
      <c r="AX401" s="602"/>
      <c r="AY401" s="602"/>
      <c r="AZ401" s="602"/>
      <c r="BA401" s="602"/>
    </row>
    <row r="402" spans="2:53">
      <c r="B402" s="602"/>
      <c r="C402" s="602"/>
      <c r="D402" s="602"/>
      <c r="G402" s="602"/>
      <c r="H402" s="602"/>
      <c r="I402" s="602"/>
      <c r="J402" s="602"/>
      <c r="K402" s="602"/>
      <c r="L402" s="602"/>
      <c r="M402" s="602"/>
      <c r="N402" s="602"/>
      <c r="O402" s="602"/>
      <c r="P402" s="602"/>
      <c r="Q402" s="602"/>
      <c r="R402" s="602"/>
      <c r="S402" s="602"/>
      <c r="T402" s="602"/>
      <c r="U402" s="602"/>
      <c r="V402" s="602"/>
      <c r="W402" s="602"/>
      <c r="X402" s="602"/>
      <c r="Y402" s="602"/>
      <c r="Z402" s="602"/>
      <c r="AA402" s="602"/>
      <c r="AB402" s="602"/>
      <c r="AC402" s="602"/>
      <c r="AD402" s="602"/>
      <c r="AE402" s="602"/>
      <c r="AF402" s="602"/>
      <c r="AG402" s="602"/>
      <c r="AH402" s="602"/>
      <c r="AI402" s="602"/>
      <c r="AJ402" s="602"/>
      <c r="AK402" s="602"/>
      <c r="AL402" s="602"/>
      <c r="AM402" s="602"/>
      <c r="AN402" s="602"/>
      <c r="AO402" s="602"/>
      <c r="AP402" s="602"/>
      <c r="AQ402" s="602"/>
      <c r="AR402" s="602"/>
      <c r="AS402" s="602"/>
      <c r="AT402" s="602"/>
      <c r="AU402" s="602"/>
      <c r="AV402" s="602"/>
      <c r="AW402" s="602"/>
      <c r="AX402" s="602"/>
      <c r="AY402" s="602"/>
      <c r="AZ402" s="602"/>
      <c r="BA402" s="602"/>
    </row>
    <row r="403" spans="2:53">
      <c r="B403" s="602"/>
      <c r="C403" s="602"/>
      <c r="D403" s="602"/>
      <c r="G403" s="602"/>
      <c r="H403" s="602"/>
      <c r="I403" s="602"/>
      <c r="J403" s="602"/>
      <c r="K403" s="602"/>
      <c r="L403" s="602"/>
      <c r="M403" s="602"/>
      <c r="N403" s="602"/>
      <c r="O403" s="602"/>
      <c r="P403" s="602"/>
      <c r="Q403" s="602"/>
      <c r="R403" s="602"/>
      <c r="S403" s="602"/>
      <c r="T403" s="602"/>
      <c r="U403" s="602"/>
      <c r="V403" s="602"/>
      <c r="W403" s="602"/>
      <c r="X403" s="602"/>
      <c r="Y403" s="602"/>
      <c r="Z403" s="602"/>
      <c r="AA403" s="602"/>
      <c r="AB403" s="602"/>
      <c r="AC403" s="602"/>
      <c r="AD403" s="602"/>
      <c r="AE403" s="602"/>
      <c r="AF403" s="602"/>
      <c r="AG403" s="602"/>
      <c r="AH403" s="602"/>
      <c r="AI403" s="602"/>
      <c r="AJ403" s="602"/>
      <c r="AK403" s="602"/>
      <c r="AL403" s="602"/>
      <c r="AM403" s="602"/>
      <c r="AN403" s="602"/>
      <c r="AO403" s="602"/>
      <c r="AP403" s="602"/>
      <c r="AQ403" s="602"/>
      <c r="AR403" s="602"/>
      <c r="AS403" s="602"/>
      <c r="AT403" s="602"/>
      <c r="AU403" s="602"/>
      <c r="AV403" s="602"/>
      <c r="AW403" s="602"/>
      <c r="AX403" s="602"/>
      <c r="AY403" s="602"/>
      <c r="AZ403" s="602"/>
      <c r="BA403" s="602"/>
    </row>
    <row r="404" spans="2:53">
      <c r="B404" s="602"/>
      <c r="C404" s="602"/>
      <c r="D404" s="602"/>
      <c r="G404" s="602"/>
      <c r="H404" s="602"/>
      <c r="I404" s="602"/>
      <c r="J404" s="602"/>
      <c r="K404" s="602"/>
      <c r="L404" s="602"/>
      <c r="M404" s="602"/>
      <c r="N404" s="602"/>
      <c r="O404" s="602"/>
      <c r="P404" s="602"/>
      <c r="Q404" s="602"/>
      <c r="R404" s="602"/>
      <c r="S404" s="602"/>
      <c r="T404" s="602"/>
      <c r="U404" s="602"/>
      <c r="V404" s="602"/>
      <c r="W404" s="602"/>
      <c r="X404" s="602"/>
      <c r="Y404" s="602"/>
      <c r="Z404" s="602"/>
      <c r="AA404" s="602"/>
      <c r="AB404" s="602"/>
      <c r="AC404" s="602"/>
      <c r="AD404" s="602"/>
      <c r="AE404" s="602"/>
      <c r="AF404" s="602"/>
      <c r="AG404" s="602"/>
      <c r="AH404" s="602"/>
      <c r="AI404" s="602"/>
      <c r="AJ404" s="602"/>
      <c r="AK404" s="602"/>
      <c r="AL404" s="602"/>
      <c r="AM404" s="602"/>
      <c r="AN404" s="602"/>
      <c r="AO404" s="602"/>
      <c r="AP404" s="602"/>
      <c r="AQ404" s="602"/>
      <c r="AR404" s="602"/>
      <c r="AS404" s="602"/>
      <c r="AT404" s="602"/>
      <c r="AU404" s="602"/>
      <c r="AV404" s="602"/>
      <c r="AW404" s="602"/>
      <c r="AX404" s="602"/>
      <c r="AY404" s="602"/>
      <c r="AZ404" s="602"/>
      <c r="BA404" s="602"/>
    </row>
    <row r="405" spans="2:53">
      <c r="B405" s="602"/>
      <c r="C405" s="602"/>
      <c r="D405" s="602"/>
      <c r="G405" s="602"/>
      <c r="H405" s="602"/>
      <c r="I405" s="602"/>
      <c r="J405" s="602"/>
      <c r="K405" s="602"/>
      <c r="L405" s="602"/>
      <c r="M405" s="602"/>
      <c r="N405" s="602"/>
      <c r="O405" s="602"/>
      <c r="P405" s="602"/>
      <c r="Q405" s="602"/>
      <c r="R405" s="602"/>
      <c r="S405" s="602"/>
      <c r="T405" s="602"/>
      <c r="U405" s="602"/>
      <c r="V405" s="602"/>
      <c r="W405" s="602"/>
      <c r="X405" s="602"/>
      <c r="Y405" s="602"/>
      <c r="Z405" s="602"/>
      <c r="AA405" s="602"/>
      <c r="AB405" s="602"/>
      <c r="AC405" s="602"/>
      <c r="AD405" s="602"/>
      <c r="AE405" s="602"/>
      <c r="AF405" s="602"/>
      <c r="AG405" s="602"/>
      <c r="AH405" s="602"/>
      <c r="AI405" s="602"/>
      <c r="AJ405" s="602"/>
      <c r="AK405" s="602"/>
      <c r="AL405" s="602"/>
      <c r="AM405" s="602"/>
      <c r="AN405" s="602"/>
      <c r="AO405" s="602"/>
      <c r="AP405" s="602"/>
      <c r="AQ405" s="602"/>
      <c r="AR405" s="602"/>
      <c r="AS405" s="602"/>
      <c r="AT405" s="602"/>
      <c r="AU405" s="602"/>
      <c r="AV405" s="602"/>
      <c r="AW405" s="602"/>
      <c r="AX405" s="602"/>
      <c r="AY405" s="602"/>
      <c r="AZ405" s="602"/>
      <c r="BA405" s="602"/>
    </row>
    <row r="406" spans="2:53">
      <c r="B406" s="602"/>
      <c r="C406" s="602"/>
      <c r="D406" s="602"/>
      <c r="G406" s="602"/>
      <c r="H406" s="602"/>
      <c r="I406" s="602"/>
      <c r="J406" s="602"/>
      <c r="K406" s="602"/>
      <c r="L406" s="602"/>
      <c r="M406" s="602"/>
      <c r="N406" s="602"/>
      <c r="O406" s="602"/>
      <c r="P406" s="602"/>
      <c r="Q406" s="602"/>
      <c r="R406" s="602"/>
      <c r="S406" s="602"/>
      <c r="T406" s="602"/>
      <c r="U406" s="602"/>
      <c r="V406" s="602"/>
      <c r="W406" s="602"/>
      <c r="X406" s="602"/>
      <c r="Y406" s="602"/>
      <c r="Z406" s="602"/>
      <c r="AA406" s="602"/>
      <c r="AB406" s="602"/>
      <c r="AC406" s="602"/>
      <c r="AD406" s="602"/>
      <c r="AE406" s="602"/>
      <c r="AF406" s="602"/>
      <c r="AG406" s="602"/>
      <c r="AH406" s="602"/>
      <c r="AI406" s="602"/>
      <c r="AJ406" s="602"/>
      <c r="AK406" s="602"/>
      <c r="AL406" s="602"/>
      <c r="AM406" s="602"/>
      <c r="AN406" s="602"/>
      <c r="AO406" s="602"/>
      <c r="AP406" s="602"/>
      <c r="AQ406" s="602"/>
      <c r="AR406" s="602"/>
      <c r="AS406" s="602"/>
      <c r="AT406" s="602"/>
      <c r="AU406" s="602"/>
      <c r="AV406" s="602"/>
      <c r="AW406" s="602"/>
      <c r="AX406" s="602"/>
      <c r="AY406" s="602"/>
      <c r="AZ406" s="602"/>
      <c r="BA406" s="602"/>
    </row>
    <row r="407" spans="2:53">
      <c r="B407" s="602"/>
      <c r="C407" s="602"/>
      <c r="D407" s="602"/>
      <c r="G407" s="602"/>
      <c r="H407" s="602"/>
      <c r="I407" s="602"/>
      <c r="J407" s="602"/>
      <c r="K407" s="602"/>
      <c r="L407" s="602"/>
      <c r="M407" s="602"/>
      <c r="N407" s="602"/>
      <c r="O407" s="602"/>
      <c r="P407" s="602"/>
      <c r="Q407" s="602"/>
      <c r="R407" s="602"/>
      <c r="S407" s="602"/>
      <c r="T407" s="602"/>
      <c r="U407" s="602"/>
      <c r="V407" s="602"/>
      <c r="W407" s="602"/>
      <c r="X407" s="602"/>
      <c r="Y407" s="602"/>
      <c r="Z407" s="602"/>
      <c r="AA407" s="602"/>
      <c r="AB407" s="602"/>
      <c r="AC407" s="602"/>
      <c r="AD407" s="602"/>
      <c r="AE407" s="602"/>
      <c r="AF407" s="602"/>
      <c r="AG407" s="602"/>
      <c r="AH407" s="602"/>
      <c r="AI407" s="602"/>
      <c r="AJ407" s="602"/>
      <c r="AK407" s="602"/>
      <c r="AL407" s="602"/>
      <c r="AM407" s="602"/>
      <c r="AN407" s="602"/>
      <c r="AO407" s="602"/>
      <c r="AP407" s="602"/>
      <c r="AQ407" s="602"/>
      <c r="AR407" s="602"/>
      <c r="AS407" s="602"/>
      <c r="AT407" s="602"/>
      <c r="AU407" s="602"/>
      <c r="AV407" s="602"/>
      <c r="AW407" s="602"/>
      <c r="AX407" s="602"/>
      <c r="AY407" s="602"/>
      <c r="AZ407" s="602"/>
      <c r="BA407" s="602"/>
    </row>
    <row r="408" spans="2:53">
      <c r="B408" s="602"/>
      <c r="C408" s="602"/>
      <c r="D408" s="602"/>
      <c r="G408" s="602"/>
      <c r="H408" s="602"/>
      <c r="I408" s="602"/>
      <c r="J408" s="602"/>
      <c r="K408" s="602"/>
      <c r="L408" s="602"/>
      <c r="M408" s="602"/>
      <c r="N408" s="602"/>
      <c r="O408" s="602"/>
      <c r="P408" s="602"/>
      <c r="Q408" s="602"/>
      <c r="R408" s="602"/>
      <c r="S408" s="602"/>
      <c r="T408" s="602"/>
      <c r="U408" s="602"/>
      <c r="V408" s="602"/>
      <c r="W408" s="602"/>
      <c r="X408" s="602"/>
      <c r="Y408" s="602"/>
      <c r="Z408" s="602"/>
      <c r="AA408" s="602"/>
      <c r="AB408" s="602"/>
      <c r="AC408" s="602"/>
      <c r="AD408" s="602"/>
      <c r="AE408" s="602"/>
      <c r="AF408" s="602"/>
      <c r="AG408" s="602"/>
      <c r="AH408" s="602"/>
      <c r="AI408" s="602"/>
      <c r="AJ408" s="602"/>
      <c r="AK408" s="602"/>
      <c r="AL408" s="602"/>
      <c r="AM408" s="602"/>
      <c r="AN408" s="602"/>
      <c r="AO408" s="602"/>
      <c r="AP408" s="602"/>
      <c r="AQ408" s="602"/>
      <c r="AR408" s="602"/>
      <c r="AS408" s="602"/>
      <c r="AT408" s="602"/>
      <c r="AU408" s="602"/>
      <c r="AV408" s="602"/>
      <c r="AW408" s="602"/>
      <c r="AX408" s="602"/>
      <c r="AY408" s="602"/>
      <c r="AZ408" s="602"/>
      <c r="BA408" s="602"/>
    </row>
    <row r="409" spans="2:53">
      <c r="B409" s="602"/>
      <c r="C409" s="602"/>
      <c r="D409" s="602"/>
      <c r="G409" s="602"/>
      <c r="H409" s="602"/>
      <c r="I409" s="602"/>
      <c r="J409" s="602"/>
      <c r="K409" s="602"/>
      <c r="L409" s="602"/>
      <c r="M409" s="602"/>
      <c r="N409" s="602"/>
      <c r="O409" s="602"/>
      <c r="P409" s="602"/>
      <c r="Q409" s="602"/>
      <c r="R409" s="602"/>
      <c r="S409" s="602"/>
      <c r="T409" s="602"/>
      <c r="U409" s="602"/>
      <c r="V409" s="602"/>
      <c r="W409" s="602"/>
      <c r="X409" s="602"/>
      <c r="Y409" s="602"/>
      <c r="Z409" s="602"/>
      <c r="AA409" s="602"/>
      <c r="AB409" s="602"/>
      <c r="AC409" s="602"/>
      <c r="AD409" s="602"/>
      <c r="AE409" s="602"/>
      <c r="AF409" s="602"/>
      <c r="AG409" s="602"/>
      <c r="AH409" s="602"/>
      <c r="AI409" s="602"/>
      <c r="AJ409" s="602"/>
      <c r="AK409" s="602"/>
      <c r="AL409" s="602"/>
      <c r="AM409" s="602"/>
      <c r="AN409" s="602"/>
      <c r="AO409" s="602"/>
      <c r="AP409" s="602"/>
      <c r="AQ409" s="602"/>
      <c r="AR409" s="602"/>
      <c r="AS409" s="602"/>
      <c r="AT409" s="602"/>
      <c r="AU409" s="602"/>
      <c r="AV409" s="602"/>
      <c r="AW409" s="602"/>
      <c r="AX409" s="602"/>
      <c r="AY409" s="602"/>
      <c r="AZ409" s="602"/>
      <c r="BA409" s="602"/>
    </row>
    <row r="410" spans="2:53">
      <c r="B410" s="602"/>
      <c r="C410" s="602"/>
      <c r="D410" s="602"/>
      <c r="G410" s="602"/>
      <c r="H410" s="602"/>
      <c r="I410" s="602"/>
      <c r="J410" s="602"/>
      <c r="K410" s="602"/>
      <c r="L410" s="602"/>
      <c r="M410" s="602"/>
      <c r="N410" s="602"/>
      <c r="O410" s="602"/>
      <c r="P410" s="602"/>
      <c r="Q410" s="602"/>
      <c r="R410" s="602"/>
      <c r="S410" s="602"/>
      <c r="T410" s="602"/>
      <c r="U410" s="602"/>
      <c r="V410" s="602"/>
      <c r="W410" s="602"/>
      <c r="X410" s="602"/>
      <c r="Y410" s="602"/>
      <c r="Z410" s="602"/>
      <c r="AA410" s="602"/>
      <c r="AB410" s="602"/>
      <c r="AC410" s="602"/>
      <c r="AD410" s="602"/>
      <c r="AE410" s="602"/>
      <c r="AF410" s="602"/>
      <c r="AG410" s="602"/>
      <c r="AH410" s="602"/>
      <c r="AI410" s="602"/>
      <c r="AJ410" s="602"/>
      <c r="AK410" s="602"/>
      <c r="AL410" s="602"/>
      <c r="AM410" s="602"/>
      <c r="AN410" s="602"/>
      <c r="AO410" s="602"/>
      <c r="AP410" s="602"/>
      <c r="AQ410" s="602"/>
      <c r="AR410" s="602"/>
      <c r="AS410" s="602"/>
      <c r="AT410" s="602"/>
      <c r="AU410" s="602"/>
      <c r="AV410" s="602"/>
      <c r="AW410" s="602"/>
      <c r="AX410" s="602"/>
      <c r="AY410" s="602"/>
      <c r="AZ410" s="602"/>
      <c r="BA410" s="602"/>
    </row>
    <row r="411" spans="2:53">
      <c r="B411" s="602"/>
      <c r="C411" s="602"/>
      <c r="D411" s="602"/>
      <c r="G411" s="602"/>
      <c r="H411" s="602"/>
      <c r="I411" s="602"/>
      <c r="J411" s="602"/>
      <c r="K411" s="602"/>
      <c r="L411" s="602"/>
      <c r="M411" s="602"/>
      <c r="N411" s="602"/>
      <c r="O411" s="602"/>
      <c r="P411" s="602"/>
      <c r="Q411" s="602"/>
      <c r="R411" s="602"/>
      <c r="S411" s="602"/>
      <c r="T411" s="602"/>
      <c r="U411" s="602"/>
      <c r="V411" s="602"/>
      <c r="W411" s="602"/>
      <c r="X411" s="602"/>
      <c r="Y411" s="602"/>
      <c r="Z411" s="602"/>
      <c r="AA411" s="602"/>
      <c r="AB411" s="602"/>
      <c r="AC411" s="602"/>
      <c r="AD411" s="602"/>
      <c r="AE411" s="602"/>
      <c r="AF411" s="602"/>
      <c r="AG411" s="602"/>
      <c r="AH411" s="602"/>
      <c r="AI411" s="602"/>
      <c r="AJ411" s="602"/>
      <c r="AK411" s="602"/>
      <c r="AL411" s="602"/>
      <c r="AM411" s="602"/>
      <c r="AN411" s="602"/>
      <c r="AO411" s="602"/>
      <c r="AP411" s="602"/>
      <c r="AQ411" s="602"/>
      <c r="AR411" s="602"/>
      <c r="AS411" s="602"/>
      <c r="AT411" s="602"/>
      <c r="AU411" s="602"/>
      <c r="AV411" s="602"/>
      <c r="AW411" s="602"/>
      <c r="AX411" s="602"/>
      <c r="AY411" s="602"/>
      <c r="AZ411" s="602"/>
      <c r="BA411" s="602"/>
    </row>
    <row r="412" spans="2:53">
      <c r="B412" s="602"/>
      <c r="C412" s="602"/>
      <c r="D412" s="602"/>
      <c r="G412" s="602"/>
      <c r="H412" s="602"/>
      <c r="I412" s="602"/>
      <c r="J412" s="602"/>
      <c r="K412" s="602"/>
      <c r="L412" s="602"/>
      <c r="M412" s="602"/>
      <c r="N412" s="602"/>
      <c r="O412" s="602"/>
      <c r="P412" s="602"/>
      <c r="Q412" s="602"/>
      <c r="R412" s="602"/>
      <c r="S412" s="602"/>
      <c r="T412" s="602"/>
      <c r="U412" s="602"/>
      <c r="V412" s="602"/>
      <c r="W412" s="602"/>
      <c r="X412" s="602"/>
      <c r="Y412" s="602"/>
      <c r="Z412" s="602"/>
      <c r="AA412" s="602"/>
      <c r="AB412" s="602"/>
      <c r="AC412" s="602"/>
      <c r="AD412" s="602"/>
      <c r="AE412" s="602"/>
      <c r="AF412" s="602"/>
      <c r="AG412" s="602"/>
      <c r="AH412" s="602"/>
      <c r="AI412" s="602"/>
      <c r="AJ412" s="602"/>
      <c r="AK412" s="602"/>
      <c r="AL412" s="602"/>
      <c r="AM412" s="602"/>
      <c r="AN412" s="602"/>
      <c r="AO412" s="602"/>
      <c r="AP412" s="602"/>
      <c r="AQ412" s="602"/>
      <c r="AR412" s="602"/>
      <c r="AS412" s="602"/>
      <c r="AT412" s="602"/>
      <c r="AU412" s="602"/>
      <c r="AV412" s="602"/>
      <c r="AW412" s="602"/>
      <c r="AX412" s="602"/>
      <c r="AY412" s="602"/>
      <c r="AZ412" s="602"/>
      <c r="BA412" s="602"/>
    </row>
    <row r="413" spans="2:53">
      <c r="B413" s="602"/>
      <c r="C413" s="602"/>
      <c r="D413" s="602"/>
      <c r="G413" s="602"/>
      <c r="H413" s="602"/>
      <c r="I413" s="602"/>
      <c r="J413" s="602"/>
      <c r="K413" s="602"/>
      <c r="L413" s="602"/>
      <c r="M413" s="602"/>
      <c r="N413" s="602"/>
      <c r="O413" s="602"/>
      <c r="P413" s="602"/>
      <c r="Q413" s="602"/>
      <c r="R413" s="602"/>
      <c r="S413" s="602"/>
      <c r="T413" s="602"/>
      <c r="U413" s="602"/>
      <c r="V413" s="602"/>
      <c r="W413" s="602"/>
      <c r="X413" s="602"/>
      <c r="Y413" s="602"/>
      <c r="Z413" s="602"/>
      <c r="AA413" s="602"/>
      <c r="AB413" s="602"/>
      <c r="AC413" s="602"/>
      <c r="AD413" s="602"/>
      <c r="AE413" s="602"/>
      <c r="AF413" s="602"/>
      <c r="AG413" s="602"/>
      <c r="AH413" s="602"/>
      <c r="AI413" s="602"/>
      <c r="AJ413" s="602"/>
      <c r="AK413" s="602"/>
      <c r="AL413" s="602"/>
      <c r="AM413" s="602"/>
      <c r="AN413" s="602"/>
      <c r="AO413" s="602"/>
      <c r="AP413" s="602"/>
      <c r="AQ413" s="602"/>
      <c r="AR413" s="602"/>
      <c r="AS413" s="602"/>
      <c r="AT413" s="602"/>
      <c r="AU413" s="602"/>
      <c r="AV413" s="602"/>
      <c r="AW413" s="602"/>
      <c r="AX413" s="602"/>
      <c r="AY413" s="602"/>
      <c r="AZ413" s="602"/>
      <c r="BA413" s="602"/>
    </row>
    <row r="414" spans="2:53">
      <c r="B414" s="602"/>
      <c r="C414" s="602"/>
      <c r="D414" s="602"/>
      <c r="G414" s="602"/>
      <c r="H414" s="602"/>
      <c r="I414" s="602"/>
      <c r="J414" s="602"/>
      <c r="K414" s="602"/>
      <c r="L414" s="602"/>
      <c r="M414" s="602"/>
      <c r="N414" s="602"/>
      <c r="O414" s="602"/>
      <c r="P414" s="602"/>
      <c r="Q414" s="602"/>
      <c r="R414" s="602"/>
      <c r="S414" s="602"/>
      <c r="T414" s="602"/>
      <c r="U414" s="602"/>
      <c r="V414" s="602"/>
      <c r="W414" s="602"/>
      <c r="X414" s="602"/>
      <c r="Y414" s="602"/>
      <c r="Z414" s="602"/>
      <c r="AA414" s="602"/>
      <c r="AB414" s="602"/>
      <c r="AC414" s="602"/>
      <c r="AD414" s="602"/>
      <c r="AE414" s="602"/>
      <c r="AF414" s="602"/>
      <c r="AG414" s="602"/>
      <c r="AH414" s="602"/>
      <c r="AI414" s="602"/>
      <c r="AJ414" s="602"/>
      <c r="AK414" s="602"/>
      <c r="AL414" s="602"/>
      <c r="AM414" s="602"/>
      <c r="AN414" s="602"/>
      <c r="AO414" s="602"/>
      <c r="AP414" s="602"/>
      <c r="AQ414" s="602"/>
      <c r="AR414" s="602"/>
      <c r="AS414" s="602"/>
      <c r="AT414" s="602"/>
      <c r="AU414" s="602"/>
      <c r="AV414" s="602"/>
      <c r="AW414" s="602"/>
      <c r="AX414" s="602"/>
      <c r="AY414" s="602"/>
      <c r="AZ414" s="602"/>
      <c r="BA414" s="602"/>
    </row>
    <row r="415" spans="2:53">
      <c r="B415" s="602"/>
      <c r="C415" s="602"/>
      <c r="D415" s="602"/>
      <c r="G415" s="602"/>
      <c r="H415" s="602"/>
      <c r="I415" s="602"/>
      <c r="J415" s="602"/>
      <c r="K415" s="602"/>
      <c r="L415" s="602"/>
      <c r="M415" s="602"/>
      <c r="N415" s="602"/>
      <c r="O415" s="602"/>
      <c r="P415" s="602"/>
      <c r="Q415" s="602"/>
      <c r="R415" s="602"/>
      <c r="S415" s="602"/>
      <c r="T415" s="602"/>
      <c r="U415" s="602"/>
      <c r="V415" s="602"/>
      <c r="W415" s="602"/>
      <c r="X415" s="602"/>
      <c r="Y415" s="602"/>
      <c r="Z415" s="602"/>
      <c r="AA415" s="602"/>
      <c r="AB415" s="602"/>
      <c r="AC415" s="602"/>
      <c r="AD415" s="602"/>
      <c r="AE415" s="602"/>
      <c r="AF415" s="602"/>
      <c r="AG415" s="602"/>
      <c r="AH415" s="602"/>
      <c r="AI415" s="602"/>
      <c r="AJ415" s="602"/>
      <c r="AK415" s="602"/>
      <c r="AL415" s="602"/>
      <c r="AM415" s="602"/>
      <c r="AN415" s="602"/>
      <c r="AO415" s="602"/>
      <c r="AP415" s="602"/>
      <c r="AQ415" s="602"/>
      <c r="AR415" s="602"/>
      <c r="AS415" s="602"/>
      <c r="AT415" s="602"/>
      <c r="AU415" s="602"/>
      <c r="AV415" s="602"/>
      <c r="AW415" s="602"/>
      <c r="AX415" s="602"/>
      <c r="AY415" s="602"/>
      <c r="AZ415" s="602"/>
      <c r="BA415" s="602"/>
    </row>
    <row r="416" spans="2:53">
      <c r="B416" s="602"/>
      <c r="C416" s="602"/>
      <c r="D416" s="602"/>
      <c r="G416" s="602"/>
      <c r="H416" s="602"/>
      <c r="I416" s="602"/>
      <c r="J416" s="602"/>
      <c r="K416" s="602"/>
      <c r="L416" s="602"/>
      <c r="M416" s="602"/>
      <c r="N416" s="602"/>
      <c r="O416" s="602"/>
      <c r="P416" s="602"/>
      <c r="Q416" s="602"/>
      <c r="R416" s="602"/>
      <c r="S416" s="602"/>
      <c r="T416" s="602"/>
      <c r="U416" s="602"/>
      <c r="V416" s="602"/>
      <c r="W416" s="602"/>
      <c r="X416" s="602"/>
      <c r="Y416" s="602"/>
      <c r="Z416" s="602"/>
      <c r="AA416" s="602"/>
      <c r="AB416" s="602"/>
      <c r="AC416" s="602"/>
      <c r="AD416" s="602"/>
      <c r="AE416" s="602"/>
      <c r="AF416" s="602"/>
      <c r="AG416" s="602"/>
      <c r="AH416" s="602"/>
      <c r="AI416" s="602"/>
      <c r="AJ416" s="602"/>
      <c r="AK416" s="602"/>
      <c r="AL416" s="602"/>
      <c r="AM416" s="602"/>
      <c r="AN416" s="602"/>
      <c r="AO416" s="602"/>
      <c r="AP416" s="602"/>
      <c r="AQ416" s="602"/>
      <c r="AR416" s="602"/>
      <c r="AS416" s="602"/>
      <c r="AT416" s="602"/>
      <c r="AU416" s="602"/>
      <c r="AV416" s="602"/>
      <c r="AW416" s="602"/>
      <c r="AX416" s="602"/>
      <c r="AY416" s="602"/>
      <c r="AZ416" s="602"/>
      <c r="BA416" s="602"/>
    </row>
    <row r="417" spans="2:53">
      <c r="B417" s="602"/>
      <c r="C417" s="602"/>
      <c r="D417" s="602"/>
      <c r="G417" s="602"/>
      <c r="H417" s="602"/>
      <c r="I417" s="602"/>
      <c r="J417" s="602"/>
      <c r="K417" s="602"/>
      <c r="L417" s="602"/>
      <c r="M417" s="602"/>
      <c r="N417" s="602"/>
      <c r="O417" s="602"/>
      <c r="P417" s="602"/>
      <c r="Q417" s="602"/>
      <c r="R417" s="602"/>
      <c r="S417" s="602"/>
      <c r="T417" s="602"/>
      <c r="U417" s="602"/>
      <c r="V417" s="602"/>
      <c r="W417" s="602"/>
      <c r="X417" s="602"/>
      <c r="Y417" s="602"/>
      <c r="Z417" s="602"/>
      <c r="AA417" s="602"/>
      <c r="AB417" s="602"/>
      <c r="AC417" s="602"/>
      <c r="AD417" s="602"/>
      <c r="AE417" s="602"/>
      <c r="AF417" s="602"/>
      <c r="AG417" s="602"/>
      <c r="AH417" s="602"/>
      <c r="AI417" s="602"/>
      <c r="AJ417" s="602"/>
      <c r="AK417" s="602"/>
      <c r="AL417" s="602"/>
      <c r="AM417" s="602"/>
      <c r="AN417" s="602"/>
      <c r="AO417" s="602"/>
      <c r="AP417" s="602"/>
      <c r="AQ417" s="602"/>
      <c r="AR417" s="602"/>
      <c r="AS417" s="602"/>
      <c r="AT417" s="602"/>
      <c r="AU417" s="602"/>
      <c r="AV417" s="602"/>
      <c r="AW417" s="602"/>
      <c r="AX417" s="602"/>
      <c r="AY417" s="602"/>
      <c r="AZ417" s="602"/>
      <c r="BA417" s="602"/>
    </row>
    <row r="418" spans="2:53">
      <c r="B418" s="602"/>
      <c r="C418" s="602"/>
      <c r="D418" s="602"/>
      <c r="G418" s="602"/>
      <c r="H418" s="602"/>
      <c r="I418" s="602"/>
      <c r="J418" s="602"/>
      <c r="K418" s="602"/>
      <c r="L418" s="602"/>
      <c r="M418" s="602"/>
      <c r="N418" s="602"/>
      <c r="O418" s="602"/>
      <c r="P418" s="602"/>
      <c r="Q418" s="602"/>
      <c r="R418" s="602"/>
      <c r="S418" s="602"/>
      <c r="T418" s="602"/>
      <c r="U418" s="602"/>
      <c r="V418" s="602"/>
      <c r="W418" s="602"/>
      <c r="X418" s="602"/>
      <c r="Y418" s="602"/>
      <c r="Z418" s="602"/>
      <c r="AA418" s="602"/>
      <c r="AB418" s="602"/>
      <c r="AC418" s="602"/>
      <c r="AD418" s="602"/>
      <c r="AE418" s="602"/>
      <c r="AF418" s="602"/>
      <c r="AG418" s="602"/>
      <c r="AH418" s="602"/>
      <c r="AI418" s="602"/>
      <c r="AJ418" s="602"/>
      <c r="AK418" s="602"/>
      <c r="AL418" s="602"/>
      <c r="AM418" s="602"/>
      <c r="AN418" s="602"/>
      <c r="AO418" s="602"/>
      <c r="AP418" s="602"/>
      <c r="AQ418" s="602"/>
      <c r="AR418" s="602"/>
      <c r="AS418" s="602"/>
      <c r="AT418" s="602"/>
      <c r="AU418" s="602"/>
      <c r="AV418" s="602"/>
      <c r="AW418" s="602"/>
      <c r="AX418" s="602"/>
      <c r="AY418" s="602"/>
      <c r="AZ418" s="602"/>
      <c r="BA418" s="602"/>
    </row>
    <row r="419" spans="2:53">
      <c r="B419" s="602"/>
      <c r="C419" s="602"/>
      <c r="D419" s="602"/>
      <c r="G419" s="602"/>
      <c r="H419" s="602"/>
      <c r="I419" s="602"/>
      <c r="J419" s="602"/>
      <c r="K419" s="602"/>
      <c r="L419" s="602"/>
      <c r="M419" s="602"/>
      <c r="N419" s="602"/>
      <c r="O419" s="602"/>
      <c r="P419" s="602"/>
      <c r="Q419" s="602"/>
      <c r="R419" s="602"/>
      <c r="S419" s="602"/>
      <c r="T419" s="602"/>
      <c r="U419" s="602"/>
      <c r="V419" s="602"/>
      <c r="W419" s="602"/>
      <c r="X419" s="602"/>
      <c r="Y419" s="602"/>
      <c r="Z419" s="602"/>
      <c r="AA419" s="602"/>
      <c r="AB419" s="602"/>
      <c r="AC419" s="602"/>
      <c r="AD419" s="602"/>
      <c r="AE419" s="602"/>
      <c r="AF419" s="602"/>
      <c r="AG419" s="602"/>
      <c r="AH419" s="602"/>
      <c r="AI419" s="602"/>
      <c r="AJ419" s="602"/>
      <c r="AK419" s="602"/>
      <c r="AL419" s="602"/>
      <c r="AM419" s="602"/>
      <c r="AN419" s="602"/>
      <c r="AO419" s="602"/>
      <c r="AP419" s="602"/>
      <c r="AQ419" s="602"/>
      <c r="AR419" s="602"/>
      <c r="AS419" s="602"/>
      <c r="AT419" s="602"/>
      <c r="AU419" s="602"/>
      <c r="AV419" s="602"/>
      <c r="AW419" s="602"/>
      <c r="AX419" s="602"/>
      <c r="AY419" s="602"/>
      <c r="AZ419" s="602"/>
      <c r="BA419" s="602"/>
    </row>
    <row r="420" spans="2:53">
      <c r="B420" s="602"/>
      <c r="C420" s="602"/>
      <c r="D420" s="602"/>
      <c r="G420" s="602"/>
      <c r="H420" s="602"/>
      <c r="I420" s="602"/>
      <c r="J420" s="602"/>
      <c r="K420" s="602"/>
      <c r="L420" s="602"/>
      <c r="M420" s="602"/>
      <c r="N420" s="602"/>
      <c r="O420" s="602"/>
      <c r="P420" s="602"/>
      <c r="Q420" s="602"/>
      <c r="R420" s="602"/>
      <c r="S420" s="602"/>
      <c r="T420" s="602"/>
      <c r="U420" s="602"/>
      <c r="V420" s="602"/>
      <c r="W420" s="602"/>
      <c r="X420" s="602"/>
      <c r="Y420" s="602"/>
      <c r="Z420" s="602"/>
      <c r="AA420" s="602"/>
      <c r="AB420" s="602"/>
      <c r="AC420" s="602"/>
      <c r="AD420" s="602"/>
      <c r="AE420" s="602"/>
      <c r="AF420" s="602"/>
      <c r="AG420" s="602"/>
      <c r="AH420" s="602"/>
      <c r="AI420" s="602"/>
      <c r="AJ420" s="602"/>
      <c r="AK420" s="602"/>
      <c r="AL420" s="602"/>
      <c r="AM420" s="602"/>
      <c r="AN420" s="602"/>
      <c r="AO420" s="602"/>
      <c r="AP420" s="602"/>
      <c r="AQ420" s="602"/>
      <c r="AR420" s="602"/>
      <c r="AS420" s="602"/>
      <c r="AT420" s="602"/>
      <c r="AU420" s="602"/>
      <c r="AV420" s="602"/>
      <c r="AW420" s="602"/>
      <c r="AX420" s="602"/>
      <c r="AY420" s="602"/>
      <c r="AZ420" s="602"/>
      <c r="BA420" s="602"/>
    </row>
    <row r="421" spans="2:53">
      <c r="B421" s="602"/>
      <c r="C421" s="602"/>
      <c r="D421" s="602"/>
      <c r="G421" s="602"/>
      <c r="H421" s="602"/>
      <c r="I421" s="602"/>
      <c r="J421" s="602"/>
      <c r="K421" s="602"/>
      <c r="L421" s="602"/>
      <c r="M421" s="602"/>
      <c r="N421" s="602"/>
      <c r="O421" s="602"/>
      <c r="P421" s="602"/>
      <c r="Q421" s="602"/>
      <c r="R421" s="602"/>
      <c r="S421" s="602"/>
      <c r="T421" s="602"/>
      <c r="U421" s="602"/>
      <c r="V421" s="602"/>
      <c r="W421" s="602"/>
      <c r="X421" s="602"/>
      <c r="Y421" s="602"/>
      <c r="Z421" s="602"/>
      <c r="AA421" s="602"/>
      <c r="AB421" s="602"/>
      <c r="AC421" s="602"/>
      <c r="AD421" s="602"/>
      <c r="AE421" s="602"/>
      <c r="AF421" s="602"/>
      <c r="AG421" s="602"/>
      <c r="AH421" s="602"/>
      <c r="AI421" s="602"/>
      <c r="AJ421" s="602"/>
      <c r="AK421" s="602"/>
      <c r="AL421" s="602"/>
      <c r="AM421" s="602"/>
      <c r="AN421" s="602"/>
      <c r="AO421" s="602"/>
      <c r="AP421" s="602"/>
      <c r="AQ421" s="602"/>
      <c r="AR421" s="602"/>
      <c r="AS421" s="602"/>
      <c r="AT421" s="602"/>
      <c r="AU421" s="602"/>
      <c r="AV421" s="602"/>
      <c r="AW421" s="602"/>
      <c r="AX421" s="602"/>
      <c r="AY421" s="602"/>
      <c r="AZ421" s="602"/>
      <c r="BA421" s="602"/>
    </row>
    <row r="422" spans="2:53">
      <c r="B422" s="602"/>
      <c r="C422" s="602"/>
      <c r="D422" s="602"/>
      <c r="G422" s="602"/>
      <c r="H422" s="602"/>
      <c r="I422" s="602"/>
      <c r="J422" s="602"/>
      <c r="K422" s="602"/>
      <c r="L422" s="602"/>
      <c r="M422" s="602"/>
      <c r="N422" s="602"/>
      <c r="O422" s="602"/>
      <c r="P422" s="602"/>
      <c r="Q422" s="602"/>
      <c r="R422" s="602"/>
      <c r="S422" s="602"/>
      <c r="T422" s="602"/>
      <c r="U422" s="602"/>
      <c r="V422" s="602"/>
      <c r="W422" s="602"/>
      <c r="X422" s="602"/>
      <c r="Y422" s="602"/>
      <c r="Z422" s="602"/>
      <c r="AA422" s="602"/>
      <c r="AB422" s="602"/>
      <c r="AC422" s="602"/>
      <c r="AD422" s="602"/>
      <c r="AE422" s="602"/>
      <c r="AF422" s="602"/>
      <c r="AG422" s="602"/>
      <c r="AH422" s="602"/>
      <c r="AI422" s="602"/>
      <c r="AJ422" s="602"/>
      <c r="AK422" s="602"/>
      <c r="AL422" s="602"/>
      <c r="AM422" s="602"/>
      <c r="AN422" s="602"/>
      <c r="AO422" s="602"/>
      <c r="AP422" s="602"/>
      <c r="AQ422" s="602"/>
      <c r="AR422" s="602"/>
      <c r="AS422" s="602"/>
      <c r="AT422" s="602"/>
      <c r="AU422" s="602"/>
      <c r="AV422" s="602"/>
      <c r="AW422" s="602"/>
      <c r="AX422" s="602"/>
      <c r="AY422" s="602"/>
      <c r="AZ422" s="602"/>
      <c r="BA422" s="602"/>
    </row>
    <row r="423" spans="2:53">
      <c r="B423" s="602"/>
      <c r="C423" s="602"/>
      <c r="D423" s="602"/>
      <c r="G423" s="602"/>
      <c r="H423" s="602"/>
      <c r="I423" s="602"/>
      <c r="J423" s="602"/>
      <c r="K423" s="602"/>
      <c r="L423" s="602"/>
      <c r="M423" s="602"/>
      <c r="N423" s="602"/>
      <c r="O423" s="602"/>
      <c r="P423" s="602"/>
      <c r="Q423" s="602"/>
      <c r="R423" s="602"/>
      <c r="S423" s="602"/>
      <c r="T423" s="602"/>
      <c r="U423" s="602"/>
      <c r="V423" s="602"/>
      <c r="W423" s="602"/>
      <c r="X423" s="602"/>
      <c r="Y423" s="602"/>
      <c r="Z423" s="602"/>
      <c r="AA423" s="602"/>
      <c r="AB423" s="602"/>
      <c r="AC423" s="602"/>
      <c r="AD423" s="602"/>
      <c r="AE423" s="602"/>
      <c r="AF423" s="602"/>
      <c r="AG423" s="602"/>
      <c r="AH423" s="602"/>
      <c r="AI423" s="602"/>
      <c r="AJ423" s="602"/>
      <c r="AK423" s="602"/>
      <c r="AL423" s="602"/>
      <c r="AM423" s="602"/>
      <c r="AN423" s="602"/>
      <c r="AO423" s="602"/>
      <c r="AP423" s="602"/>
      <c r="AQ423" s="602"/>
      <c r="AR423" s="602"/>
      <c r="AS423" s="602"/>
      <c r="AT423" s="602"/>
      <c r="AU423" s="602"/>
      <c r="AV423" s="602"/>
      <c r="AW423" s="602"/>
      <c r="AX423" s="602"/>
      <c r="AY423" s="602"/>
      <c r="AZ423" s="602"/>
      <c r="BA423" s="602"/>
    </row>
    <row r="424" spans="2:53">
      <c r="B424" s="602"/>
      <c r="C424" s="602"/>
      <c r="D424" s="602"/>
      <c r="G424" s="602"/>
      <c r="H424" s="602"/>
      <c r="I424" s="602"/>
      <c r="J424" s="602"/>
      <c r="K424" s="602"/>
      <c r="L424" s="602"/>
      <c r="M424" s="602"/>
      <c r="N424" s="602"/>
      <c r="O424" s="602"/>
      <c r="P424" s="602"/>
      <c r="Q424" s="602"/>
      <c r="R424" s="602"/>
      <c r="S424" s="602"/>
      <c r="T424" s="602"/>
      <c r="U424" s="602"/>
      <c r="V424" s="602"/>
      <c r="W424" s="602"/>
      <c r="X424" s="602"/>
      <c r="Y424" s="602"/>
      <c r="Z424" s="602"/>
      <c r="AA424" s="602"/>
      <c r="AB424" s="602"/>
      <c r="AC424" s="602"/>
      <c r="AD424" s="602"/>
      <c r="AE424" s="602"/>
      <c r="AF424" s="602"/>
      <c r="AG424" s="602"/>
      <c r="AH424" s="602"/>
      <c r="AI424" s="602"/>
      <c r="AJ424" s="602"/>
      <c r="AK424" s="602"/>
      <c r="AL424" s="602"/>
      <c r="AM424" s="602"/>
      <c r="AN424" s="602"/>
      <c r="AO424" s="602"/>
      <c r="AP424" s="602"/>
      <c r="AQ424" s="602"/>
      <c r="AR424" s="602"/>
      <c r="AS424" s="602"/>
      <c r="AT424" s="602"/>
      <c r="AU424" s="602"/>
      <c r="AV424" s="602"/>
      <c r="AW424" s="602"/>
      <c r="AX424" s="602"/>
      <c r="AY424" s="602"/>
      <c r="AZ424" s="602"/>
      <c r="BA424" s="602"/>
    </row>
    <row r="425" spans="2:53">
      <c r="B425" s="602"/>
      <c r="C425" s="602"/>
      <c r="D425" s="602"/>
      <c r="G425" s="602"/>
      <c r="H425" s="602"/>
      <c r="I425" s="602"/>
      <c r="J425" s="602"/>
      <c r="K425" s="602"/>
      <c r="L425" s="602"/>
      <c r="M425" s="602"/>
      <c r="N425" s="602"/>
      <c r="O425" s="602"/>
      <c r="P425" s="602"/>
      <c r="Q425" s="602"/>
      <c r="R425" s="602"/>
      <c r="S425" s="602"/>
      <c r="T425" s="602"/>
      <c r="U425" s="602"/>
      <c r="V425" s="602"/>
      <c r="W425" s="602"/>
      <c r="X425" s="602"/>
      <c r="Y425" s="602"/>
      <c r="Z425" s="602"/>
      <c r="AA425" s="602"/>
      <c r="AB425" s="602"/>
      <c r="AC425" s="602"/>
      <c r="AD425" s="602"/>
      <c r="AE425" s="602"/>
      <c r="AF425" s="602"/>
      <c r="AG425" s="602"/>
      <c r="AH425" s="602"/>
      <c r="AI425" s="602"/>
      <c r="AJ425" s="602"/>
      <c r="AK425" s="602"/>
      <c r="AL425" s="602"/>
      <c r="AM425" s="602"/>
      <c r="AN425" s="602"/>
      <c r="AO425" s="602"/>
      <c r="AP425" s="602"/>
      <c r="AQ425" s="602"/>
      <c r="AR425" s="602"/>
      <c r="AS425" s="602"/>
      <c r="AT425" s="602"/>
      <c r="AU425" s="602"/>
      <c r="AV425" s="602"/>
      <c r="AW425" s="602"/>
      <c r="AX425" s="602"/>
      <c r="AY425" s="602"/>
      <c r="AZ425" s="602"/>
      <c r="BA425" s="602"/>
    </row>
    <row r="426" spans="2:53">
      <c r="B426" s="602"/>
      <c r="C426" s="602"/>
      <c r="D426" s="602"/>
      <c r="G426" s="602"/>
      <c r="H426" s="602"/>
      <c r="I426" s="602"/>
      <c r="J426" s="602"/>
      <c r="K426" s="602"/>
      <c r="L426" s="602"/>
      <c r="M426" s="602"/>
      <c r="N426" s="602"/>
      <c r="O426" s="602"/>
      <c r="P426" s="602"/>
      <c r="Q426" s="602"/>
      <c r="R426" s="602"/>
      <c r="S426" s="602"/>
      <c r="T426" s="602"/>
      <c r="U426" s="602"/>
      <c r="V426" s="602"/>
      <c r="W426" s="602"/>
      <c r="X426" s="602"/>
      <c r="Y426" s="602"/>
      <c r="Z426" s="602"/>
      <c r="AA426" s="602"/>
      <c r="AB426" s="602"/>
      <c r="AC426" s="602"/>
      <c r="AD426" s="602"/>
      <c r="AE426" s="602"/>
      <c r="AF426" s="602"/>
      <c r="AG426" s="602"/>
      <c r="AH426" s="602"/>
      <c r="AI426" s="602"/>
      <c r="AJ426" s="602"/>
      <c r="AK426" s="602"/>
      <c r="AL426" s="602"/>
      <c r="AM426" s="602"/>
      <c r="AN426" s="602"/>
      <c r="AO426" s="602"/>
      <c r="AP426" s="602"/>
      <c r="AQ426" s="602"/>
      <c r="AR426" s="602"/>
      <c r="AS426" s="602"/>
      <c r="AT426" s="602"/>
      <c r="AU426" s="602"/>
      <c r="AV426" s="602"/>
      <c r="AW426" s="602"/>
      <c r="AX426" s="602"/>
      <c r="AY426" s="602"/>
      <c r="AZ426" s="602"/>
      <c r="BA426" s="602"/>
    </row>
    <row r="427" spans="2:53">
      <c r="B427" s="602"/>
      <c r="C427" s="602"/>
      <c r="D427" s="602"/>
      <c r="G427" s="602"/>
      <c r="H427" s="602"/>
      <c r="I427" s="602"/>
      <c r="J427" s="602"/>
      <c r="K427" s="602"/>
      <c r="L427" s="602"/>
      <c r="M427" s="602"/>
      <c r="N427" s="602"/>
      <c r="O427" s="602"/>
      <c r="P427" s="602"/>
      <c r="Q427" s="602"/>
      <c r="R427" s="602"/>
      <c r="S427" s="602"/>
      <c r="T427" s="602"/>
      <c r="U427" s="602"/>
      <c r="V427" s="602"/>
      <c r="W427" s="602"/>
      <c r="X427" s="602"/>
      <c r="Y427" s="602"/>
      <c r="Z427" s="602"/>
      <c r="AA427" s="602"/>
      <c r="AB427" s="602"/>
      <c r="AC427" s="602"/>
      <c r="AD427" s="602"/>
      <c r="AE427" s="602"/>
      <c r="AF427" s="602"/>
      <c r="AG427" s="602"/>
      <c r="AH427" s="602"/>
      <c r="AI427" s="602"/>
      <c r="AJ427" s="602"/>
      <c r="AK427" s="602"/>
      <c r="AL427" s="602"/>
      <c r="AM427" s="602"/>
      <c r="AN427" s="602"/>
      <c r="AO427" s="602"/>
      <c r="AP427" s="602"/>
      <c r="AQ427" s="602"/>
      <c r="AR427" s="602"/>
      <c r="AS427" s="602"/>
      <c r="AT427" s="602"/>
      <c r="AU427" s="602"/>
      <c r="AV427" s="602"/>
      <c r="AW427" s="602"/>
      <c r="AX427" s="602"/>
      <c r="AY427" s="602"/>
      <c r="AZ427" s="602"/>
      <c r="BA427" s="602"/>
    </row>
    <row r="428" spans="2:53">
      <c r="B428" s="602"/>
      <c r="C428" s="602"/>
      <c r="D428" s="602"/>
      <c r="G428" s="602"/>
      <c r="H428" s="602"/>
      <c r="I428" s="602"/>
      <c r="J428" s="602"/>
      <c r="K428" s="602"/>
      <c r="L428" s="602"/>
      <c r="M428" s="602"/>
      <c r="N428" s="602"/>
      <c r="O428" s="602"/>
      <c r="P428" s="602"/>
      <c r="Q428" s="602"/>
      <c r="R428" s="602"/>
      <c r="S428" s="602"/>
      <c r="T428" s="602"/>
      <c r="U428" s="602"/>
      <c r="V428" s="602"/>
      <c r="W428" s="602"/>
      <c r="X428" s="602"/>
      <c r="Y428" s="602"/>
      <c r="Z428" s="602"/>
      <c r="AA428" s="602"/>
      <c r="AB428" s="602"/>
      <c r="AC428" s="602"/>
      <c r="AD428" s="602"/>
      <c r="AE428" s="602"/>
      <c r="AF428" s="602"/>
      <c r="AG428" s="602"/>
      <c r="AH428" s="602"/>
      <c r="AI428" s="602"/>
      <c r="AJ428" s="602"/>
      <c r="AK428" s="602"/>
      <c r="AL428" s="602"/>
      <c r="AM428" s="602"/>
      <c r="AN428" s="602"/>
      <c r="AO428" s="602"/>
      <c r="AP428" s="602"/>
      <c r="AQ428" s="602"/>
      <c r="AR428" s="602"/>
      <c r="AS428" s="602"/>
      <c r="AT428" s="602"/>
      <c r="AU428" s="602"/>
      <c r="AV428" s="602"/>
      <c r="AW428" s="602"/>
      <c r="AX428" s="602"/>
      <c r="AY428" s="602"/>
      <c r="AZ428" s="602"/>
      <c r="BA428" s="602"/>
    </row>
    <row r="429" spans="2:53">
      <c r="B429" s="602"/>
      <c r="C429" s="602"/>
      <c r="D429" s="602"/>
      <c r="G429" s="602"/>
      <c r="H429" s="602"/>
      <c r="I429" s="602"/>
      <c r="J429" s="602"/>
      <c r="K429" s="602"/>
      <c r="L429" s="602"/>
      <c r="M429" s="602"/>
      <c r="N429" s="602"/>
      <c r="O429" s="602"/>
      <c r="P429" s="602"/>
      <c r="Q429" s="602"/>
      <c r="R429" s="602"/>
      <c r="S429" s="602"/>
      <c r="T429" s="602"/>
      <c r="U429" s="602"/>
      <c r="V429" s="602"/>
      <c r="W429" s="602"/>
      <c r="X429" s="602"/>
      <c r="Y429" s="602"/>
      <c r="Z429" s="602"/>
      <c r="AA429" s="602"/>
      <c r="AB429" s="602"/>
      <c r="AC429" s="602"/>
      <c r="AD429" s="602"/>
      <c r="AE429" s="602"/>
      <c r="AF429" s="602"/>
      <c r="AG429" s="602"/>
      <c r="AH429" s="602"/>
      <c r="AI429" s="602"/>
      <c r="AJ429" s="602"/>
      <c r="AK429" s="602"/>
      <c r="AL429" s="602"/>
      <c r="AM429" s="602"/>
      <c r="AN429" s="602"/>
      <c r="AO429" s="602"/>
      <c r="AP429" s="602"/>
      <c r="AQ429" s="602"/>
      <c r="AR429" s="602"/>
      <c r="AS429" s="602"/>
      <c r="AT429" s="602"/>
      <c r="AU429" s="602"/>
      <c r="AV429" s="602"/>
      <c r="AW429" s="602"/>
      <c r="AX429" s="602"/>
      <c r="AY429" s="602"/>
      <c r="AZ429" s="602"/>
      <c r="BA429" s="602"/>
    </row>
    <row r="430" spans="2:53">
      <c r="B430" s="602"/>
      <c r="C430" s="602"/>
      <c r="D430" s="602"/>
      <c r="G430" s="602"/>
      <c r="H430" s="602"/>
      <c r="I430" s="602"/>
      <c r="J430" s="602"/>
      <c r="K430" s="602"/>
      <c r="L430" s="602"/>
      <c r="M430" s="602"/>
      <c r="N430" s="602"/>
      <c r="O430" s="602"/>
      <c r="P430" s="602"/>
      <c r="Q430" s="602"/>
      <c r="R430" s="602"/>
      <c r="S430" s="602"/>
      <c r="T430" s="602"/>
      <c r="U430" s="602"/>
      <c r="V430" s="602"/>
      <c r="W430" s="602"/>
      <c r="X430" s="602"/>
      <c r="Y430" s="602"/>
      <c r="Z430" s="602"/>
      <c r="AA430" s="602"/>
      <c r="AB430" s="602"/>
      <c r="AC430" s="602"/>
      <c r="AD430" s="602"/>
      <c r="AE430" s="602"/>
      <c r="AF430" s="602"/>
      <c r="AG430" s="602"/>
      <c r="AH430" s="602"/>
      <c r="AI430" s="602"/>
      <c r="AJ430" s="602"/>
      <c r="AK430" s="602"/>
      <c r="AL430" s="602"/>
      <c r="AM430" s="602"/>
      <c r="AN430" s="602"/>
      <c r="AO430" s="602"/>
      <c r="AP430" s="602"/>
      <c r="AQ430" s="602"/>
      <c r="AR430" s="602"/>
      <c r="AS430" s="602"/>
      <c r="AT430" s="602"/>
      <c r="AU430" s="602"/>
      <c r="AV430" s="602"/>
      <c r="AW430" s="602"/>
      <c r="AX430" s="602"/>
      <c r="AY430" s="602"/>
      <c r="AZ430" s="602"/>
      <c r="BA430" s="602"/>
    </row>
    <row r="431" spans="2:53">
      <c r="B431" s="602"/>
      <c r="C431" s="602"/>
      <c r="D431" s="602"/>
      <c r="G431" s="602"/>
      <c r="H431" s="602"/>
      <c r="I431" s="602"/>
      <c r="J431" s="602"/>
      <c r="K431" s="602"/>
      <c r="L431" s="602"/>
      <c r="M431" s="602"/>
      <c r="N431" s="602"/>
      <c r="O431" s="602"/>
      <c r="P431" s="602"/>
      <c r="Q431" s="602"/>
      <c r="R431" s="602"/>
      <c r="S431" s="602"/>
      <c r="T431" s="602"/>
      <c r="U431" s="602"/>
      <c r="V431" s="602"/>
      <c r="W431" s="602"/>
      <c r="X431" s="602"/>
      <c r="Y431" s="602"/>
      <c r="Z431" s="602"/>
      <c r="AA431" s="602"/>
      <c r="AB431" s="602"/>
      <c r="AC431" s="602"/>
      <c r="AD431" s="602"/>
      <c r="AE431" s="602"/>
      <c r="AF431" s="602"/>
      <c r="AG431" s="602"/>
      <c r="AH431" s="602"/>
      <c r="AI431" s="602"/>
      <c r="AJ431" s="602"/>
      <c r="AK431" s="602"/>
      <c r="AL431" s="602"/>
      <c r="AM431" s="602"/>
      <c r="AN431" s="602"/>
      <c r="AO431" s="602"/>
      <c r="AP431" s="602"/>
      <c r="AQ431" s="602"/>
      <c r="AR431" s="602"/>
      <c r="AS431" s="602"/>
      <c r="AT431" s="602"/>
      <c r="AU431" s="602"/>
      <c r="AV431" s="602"/>
      <c r="AW431" s="602"/>
      <c r="AX431" s="602"/>
      <c r="AY431" s="602"/>
      <c r="AZ431" s="602"/>
      <c r="BA431" s="602"/>
    </row>
    <row r="432" spans="2:53">
      <c r="B432" s="602"/>
      <c r="C432" s="602"/>
      <c r="D432" s="602"/>
      <c r="G432" s="602"/>
      <c r="H432" s="602"/>
      <c r="I432" s="602"/>
      <c r="J432" s="602"/>
      <c r="K432" s="602"/>
      <c r="L432" s="602"/>
      <c r="M432" s="602"/>
      <c r="N432" s="602"/>
      <c r="O432" s="602"/>
      <c r="P432" s="602"/>
      <c r="Q432" s="602"/>
      <c r="R432" s="602"/>
      <c r="S432" s="602"/>
      <c r="T432" s="602"/>
      <c r="U432" s="602"/>
      <c r="V432" s="602"/>
      <c r="W432" s="602"/>
      <c r="X432" s="602"/>
      <c r="Y432" s="602"/>
      <c r="Z432" s="602"/>
      <c r="AA432" s="602"/>
      <c r="AB432" s="602"/>
      <c r="AC432" s="602"/>
      <c r="AD432" s="602"/>
      <c r="AE432" s="602"/>
      <c r="AF432" s="602"/>
      <c r="AG432" s="602"/>
      <c r="AH432" s="602"/>
      <c r="AI432" s="602"/>
      <c r="AJ432" s="602"/>
      <c r="AK432" s="602"/>
      <c r="AL432" s="602"/>
      <c r="AM432" s="602"/>
      <c r="AN432" s="602"/>
      <c r="AO432" s="602"/>
      <c r="AP432" s="602"/>
      <c r="AQ432" s="602"/>
      <c r="AR432" s="602"/>
      <c r="AS432" s="602"/>
      <c r="AT432" s="602"/>
      <c r="AU432" s="602"/>
      <c r="AV432" s="602"/>
      <c r="AW432" s="602"/>
      <c r="AX432" s="602"/>
      <c r="AY432" s="602"/>
      <c r="AZ432" s="602"/>
      <c r="BA432" s="602"/>
    </row>
    <row r="433" spans="2:53">
      <c r="B433" s="602"/>
      <c r="C433" s="602"/>
      <c r="D433" s="602"/>
      <c r="G433" s="602"/>
      <c r="H433" s="602"/>
      <c r="I433" s="602"/>
      <c r="J433" s="602"/>
      <c r="K433" s="602"/>
      <c r="L433" s="602"/>
      <c r="M433" s="602"/>
      <c r="N433" s="602"/>
      <c r="O433" s="602"/>
      <c r="P433" s="602"/>
      <c r="Q433" s="602"/>
      <c r="R433" s="602"/>
      <c r="S433" s="602"/>
      <c r="T433" s="602"/>
      <c r="U433" s="602"/>
      <c r="V433" s="602"/>
      <c r="W433" s="602"/>
      <c r="X433" s="602"/>
      <c r="Y433" s="602"/>
      <c r="Z433" s="602"/>
      <c r="AA433" s="602"/>
      <c r="AB433" s="602"/>
      <c r="AC433" s="602"/>
      <c r="AD433" s="602"/>
      <c r="AE433" s="602"/>
      <c r="AF433" s="602"/>
      <c r="AG433" s="602"/>
      <c r="AH433" s="602"/>
      <c r="AI433" s="602"/>
      <c r="AJ433" s="602"/>
      <c r="AK433" s="602"/>
      <c r="AL433" s="602"/>
      <c r="AM433" s="602"/>
      <c r="AN433" s="602"/>
      <c r="AO433" s="602"/>
      <c r="AP433" s="602"/>
      <c r="AQ433" s="602"/>
      <c r="AR433" s="602"/>
      <c r="AS433" s="602"/>
      <c r="AT433" s="602"/>
      <c r="AU433" s="602"/>
      <c r="AV433" s="602"/>
      <c r="AW433" s="602"/>
      <c r="AX433" s="602"/>
      <c r="AY433" s="602"/>
      <c r="AZ433" s="602"/>
      <c r="BA433" s="602"/>
    </row>
    <row r="434" spans="2:53">
      <c r="B434" s="602"/>
      <c r="C434" s="602"/>
      <c r="D434" s="602"/>
      <c r="G434" s="602"/>
      <c r="H434" s="602"/>
      <c r="I434" s="602"/>
      <c r="J434" s="602"/>
      <c r="K434" s="602"/>
      <c r="L434" s="602"/>
      <c r="M434" s="602"/>
      <c r="N434" s="602"/>
      <c r="O434" s="602"/>
      <c r="P434" s="602"/>
      <c r="Q434" s="602"/>
      <c r="R434" s="602"/>
      <c r="S434" s="602"/>
      <c r="T434" s="602"/>
      <c r="U434" s="602"/>
      <c r="V434" s="602"/>
      <c r="W434" s="602"/>
      <c r="X434" s="602"/>
      <c r="Y434" s="602"/>
      <c r="Z434" s="602"/>
      <c r="AA434" s="602"/>
      <c r="AB434" s="602"/>
      <c r="AC434" s="602"/>
      <c r="AD434" s="602"/>
      <c r="AE434" s="602"/>
      <c r="AF434" s="602"/>
      <c r="AG434" s="602"/>
      <c r="AH434" s="602"/>
      <c r="AI434" s="602"/>
      <c r="AJ434" s="602"/>
      <c r="AK434" s="602"/>
      <c r="AL434" s="602"/>
      <c r="AM434" s="602"/>
      <c r="AN434" s="602"/>
      <c r="AO434" s="602"/>
      <c r="AP434" s="602"/>
      <c r="AQ434" s="602"/>
      <c r="AR434" s="602"/>
      <c r="AS434" s="602"/>
      <c r="AT434" s="602"/>
      <c r="AU434" s="602"/>
      <c r="AV434" s="602"/>
      <c r="AW434" s="602"/>
      <c r="AX434" s="602"/>
      <c r="AY434" s="602"/>
      <c r="AZ434" s="602"/>
      <c r="BA434" s="602"/>
    </row>
    <row r="435" spans="2:53">
      <c r="B435" s="602"/>
      <c r="C435" s="602"/>
      <c r="D435" s="602"/>
      <c r="G435" s="602"/>
      <c r="H435" s="602"/>
      <c r="I435" s="602"/>
      <c r="J435" s="602"/>
      <c r="K435" s="602"/>
      <c r="L435" s="602"/>
      <c r="M435" s="602"/>
      <c r="N435" s="602"/>
      <c r="O435" s="602"/>
      <c r="P435" s="602"/>
      <c r="Q435" s="602"/>
      <c r="R435" s="602"/>
      <c r="S435" s="602"/>
      <c r="T435" s="602"/>
      <c r="U435" s="602"/>
      <c r="V435" s="602"/>
      <c r="W435" s="602"/>
      <c r="X435" s="602"/>
      <c r="Y435" s="602"/>
      <c r="Z435" s="602"/>
      <c r="AA435" s="602"/>
      <c r="AB435" s="602"/>
      <c r="AC435" s="602"/>
      <c r="AD435" s="602"/>
      <c r="AE435" s="602"/>
      <c r="AF435" s="602"/>
      <c r="AG435" s="602"/>
      <c r="AH435" s="602"/>
      <c r="AI435" s="602"/>
      <c r="AJ435" s="602"/>
      <c r="AK435" s="602"/>
      <c r="AL435" s="602"/>
      <c r="AM435" s="602"/>
      <c r="AN435" s="602"/>
      <c r="AO435" s="602"/>
      <c r="AP435" s="602"/>
      <c r="AQ435" s="602"/>
      <c r="AR435" s="602"/>
      <c r="AS435" s="602"/>
      <c r="AT435" s="602"/>
      <c r="AU435" s="602"/>
      <c r="AV435" s="602"/>
      <c r="AW435" s="602"/>
      <c r="AX435" s="602"/>
      <c r="AY435" s="602"/>
      <c r="AZ435" s="602"/>
      <c r="BA435" s="602"/>
    </row>
    <row r="436" spans="2:53">
      <c r="B436" s="602"/>
      <c r="C436" s="602"/>
      <c r="D436" s="602"/>
      <c r="G436" s="602"/>
      <c r="H436" s="602"/>
      <c r="I436" s="602"/>
      <c r="J436" s="602"/>
      <c r="K436" s="602"/>
      <c r="L436" s="602"/>
      <c r="M436" s="602"/>
      <c r="N436" s="602"/>
      <c r="O436" s="602"/>
      <c r="P436" s="602"/>
      <c r="Q436" s="602"/>
      <c r="R436" s="602"/>
      <c r="S436" s="602"/>
      <c r="T436" s="602"/>
      <c r="U436" s="602"/>
      <c r="V436" s="602"/>
      <c r="W436" s="602"/>
      <c r="X436" s="602"/>
      <c r="Y436" s="602"/>
      <c r="Z436" s="602"/>
      <c r="AA436" s="602"/>
      <c r="AB436" s="602"/>
      <c r="AC436" s="602"/>
      <c r="AD436" s="602"/>
      <c r="AE436" s="602"/>
      <c r="AF436" s="602"/>
      <c r="AG436" s="602"/>
      <c r="AH436" s="602"/>
      <c r="AI436" s="602"/>
      <c r="AJ436" s="602"/>
      <c r="AK436" s="602"/>
      <c r="AL436" s="602"/>
      <c r="AM436" s="602"/>
      <c r="AN436" s="602"/>
      <c r="AO436" s="602"/>
      <c r="AP436" s="602"/>
      <c r="AQ436" s="602"/>
      <c r="AR436" s="602"/>
      <c r="AS436" s="602"/>
      <c r="AT436" s="602"/>
      <c r="AU436" s="602"/>
      <c r="AV436" s="602"/>
      <c r="AW436" s="602"/>
      <c r="AX436" s="602"/>
      <c r="AY436" s="602"/>
      <c r="AZ436" s="602"/>
      <c r="BA436" s="602"/>
    </row>
    <row r="437" spans="2:53">
      <c r="B437" s="602"/>
      <c r="C437" s="602"/>
      <c r="D437" s="602"/>
      <c r="G437" s="602"/>
      <c r="H437" s="602"/>
      <c r="I437" s="602"/>
      <c r="J437" s="602"/>
      <c r="K437" s="602"/>
      <c r="L437" s="602"/>
      <c r="M437" s="602"/>
      <c r="N437" s="602"/>
      <c r="O437" s="602"/>
      <c r="P437" s="602"/>
      <c r="Q437" s="602"/>
      <c r="R437" s="602"/>
      <c r="S437" s="602"/>
      <c r="T437" s="602"/>
      <c r="U437" s="602"/>
      <c r="V437" s="602"/>
      <c r="W437" s="602"/>
      <c r="X437" s="602"/>
      <c r="Y437" s="602"/>
      <c r="Z437" s="602"/>
      <c r="AA437" s="602"/>
      <c r="AB437" s="602"/>
      <c r="AC437" s="602"/>
      <c r="AD437" s="602"/>
      <c r="AE437" s="602"/>
      <c r="AF437" s="602"/>
      <c r="AG437" s="602"/>
      <c r="AH437" s="602"/>
      <c r="AI437" s="602"/>
      <c r="AJ437" s="602"/>
      <c r="AK437" s="602"/>
      <c r="AL437" s="602"/>
      <c r="AM437" s="602"/>
      <c r="AN437" s="602"/>
      <c r="AO437" s="602"/>
      <c r="AP437" s="602"/>
      <c r="AQ437" s="602"/>
      <c r="AR437" s="602"/>
      <c r="AS437" s="602"/>
      <c r="AT437" s="602"/>
      <c r="AU437" s="602"/>
      <c r="AV437" s="602"/>
      <c r="AW437" s="602"/>
      <c r="AX437" s="602"/>
      <c r="AY437" s="602"/>
      <c r="AZ437" s="602"/>
      <c r="BA437" s="602"/>
    </row>
    <row r="438" spans="2:53">
      <c r="B438" s="602"/>
      <c r="C438" s="602"/>
      <c r="D438" s="602"/>
      <c r="G438" s="602"/>
      <c r="H438" s="602"/>
      <c r="I438" s="602"/>
      <c r="J438" s="602"/>
      <c r="K438" s="602"/>
      <c r="L438" s="602"/>
      <c r="M438" s="602"/>
      <c r="N438" s="602"/>
      <c r="O438" s="602"/>
      <c r="P438" s="602"/>
      <c r="Q438" s="602"/>
      <c r="R438" s="602"/>
      <c r="S438" s="602"/>
      <c r="T438" s="602"/>
      <c r="U438" s="602"/>
      <c r="V438" s="602"/>
      <c r="W438" s="602"/>
      <c r="X438" s="602"/>
      <c r="Y438" s="602"/>
      <c r="Z438" s="602"/>
      <c r="AA438" s="602"/>
      <c r="AB438" s="602"/>
      <c r="AC438" s="602"/>
      <c r="AD438" s="602"/>
      <c r="AE438" s="602"/>
      <c r="AF438" s="602"/>
      <c r="AG438" s="602"/>
      <c r="AH438" s="602"/>
      <c r="AI438" s="602"/>
      <c r="AJ438" s="602"/>
      <c r="AK438" s="602"/>
      <c r="AL438" s="602"/>
      <c r="AM438" s="602"/>
      <c r="AN438" s="602"/>
      <c r="AO438" s="602"/>
      <c r="AP438" s="602"/>
      <c r="AQ438" s="602"/>
      <c r="AR438" s="602"/>
      <c r="AS438" s="602"/>
      <c r="AT438" s="602"/>
      <c r="AU438" s="602"/>
      <c r="AV438" s="602"/>
      <c r="AW438" s="602"/>
      <c r="AX438" s="602"/>
      <c r="AY438" s="602"/>
      <c r="AZ438" s="602"/>
      <c r="BA438" s="602"/>
    </row>
    <row r="439" spans="2:53">
      <c r="B439" s="602"/>
      <c r="C439" s="602"/>
      <c r="D439" s="602"/>
      <c r="G439" s="602"/>
      <c r="H439" s="602"/>
      <c r="I439" s="602"/>
      <c r="J439" s="602"/>
      <c r="K439" s="602"/>
      <c r="L439" s="602"/>
      <c r="M439" s="602"/>
      <c r="N439" s="602"/>
      <c r="O439" s="602"/>
      <c r="P439" s="602"/>
      <c r="Q439" s="602"/>
      <c r="R439" s="602"/>
      <c r="S439" s="602"/>
      <c r="T439" s="602"/>
      <c r="U439" s="602"/>
      <c r="V439" s="602"/>
      <c r="W439" s="602"/>
      <c r="X439" s="602"/>
      <c r="Y439" s="602"/>
      <c r="Z439" s="602"/>
      <c r="AA439" s="602"/>
      <c r="AB439" s="602"/>
      <c r="AC439" s="602"/>
      <c r="AD439" s="602"/>
      <c r="AE439" s="602"/>
      <c r="AF439" s="602"/>
      <c r="AG439" s="602"/>
      <c r="AH439" s="602"/>
      <c r="AI439" s="602"/>
      <c r="AJ439" s="602"/>
      <c r="AK439" s="602"/>
      <c r="AL439" s="602"/>
      <c r="AM439" s="602"/>
      <c r="AN439" s="602"/>
      <c r="AO439" s="602"/>
      <c r="AP439" s="602"/>
      <c r="AQ439" s="602"/>
      <c r="AR439" s="602"/>
      <c r="AS439" s="602"/>
      <c r="AT439" s="602"/>
      <c r="AU439" s="602"/>
      <c r="AV439" s="602"/>
      <c r="AW439" s="602"/>
      <c r="AX439" s="602"/>
      <c r="AY439" s="602"/>
      <c r="AZ439" s="602"/>
      <c r="BA439" s="602"/>
    </row>
    <row r="440" spans="2:53">
      <c r="B440" s="602"/>
      <c r="C440" s="602"/>
      <c r="D440" s="602"/>
      <c r="G440" s="602"/>
      <c r="H440" s="602"/>
      <c r="I440" s="602"/>
      <c r="J440" s="602"/>
      <c r="K440" s="602"/>
      <c r="L440" s="602"/>
      <c r="M440" s="602"/>
      <c r="N440" s="602"/>
      <c r="O440" s="602"/>
      <c r="P440" s="602"/>
      <c r="Q440" s="602"/>
      <c r="R440" s="602"/>
      <c r="S440" s="602"/>
      <c r="T440" s="602"/>
      <c r="U440" s="602"/>
      <c r="V440" s="602"/>
      <c r="W440" s="602"/>
      <c r="X440" s="602"/>
      <c r="Y440" s="602"/>
      <c r="Z440" s="602"/>
      <c r="AA440" s="602"/>
      <c r="AB440" s="602"/>
      <c r="AC440" s="602"/>
      <c r="AD440" s="602"/>
      <c r="AE440" s="602"/>
      <c r="AF440" s="602"/>
      <c r="AG440" s="602"/>
      <c r="AH440" s="602"/>
      <c r="AI440" s="602"/>
      <c r="AJ440" s="602"/>
      <c r="AK440" s="602"/>
      <c r="AL440" s="602"/>
      <c r="AM440" s="602"/>
      <c r="AN440" s="602"/>
      <c r="AO440" s="602"/>
      <c r="AP440" s="602"/>
      <c r="AQ440" s="602"/>
      <c r="AR440" s="602"/>
      <c r="AS440" s="602"/>
      <c r="AT440" s="602"/>
      <c r="AU440" s="602"/>
      <c r="AV440" s="602"/>
      <c r="AW440" s="602"/>
      <c r="AX440" s="602"/>
      <c r="AY440" s="602"/>
      <c r="AZ440" s="602"/>
      <c r="BA440" s="602"/>
    </row>
    <row r="441" spans="2:53">
      <c r="B441" s="602"/>
      <c r="C441" s="602"/>
      <c r="D441" s="602"/>
      <c r="G441" s="602"/>
      <c r="H441" s="602"/>
      <c r="I441" s="602"/>
      <c r="J441" s="602"/>
      <c r="K441" s="602"/>
      <c r="L441" s="602"/>
      <c r="M441" s="602"/>
      <c r="N441" s="602"/>
      <c r="O441" s="602"/>
      <c r="P441" s="602"/>
      <c r="Q441" s="602"/>
      <c r="R441" s="602"/>
      <c r="S441" s="602"/>
      <c r="T441" s="602"/>
      <c r="U441" s="602"/>
      <c r="V441" s="602"/>
      <c r="W441" s="602"/>
      <c r="X441" s="602"/>
      <c r="Y441" s="602"/>
      <c r="Z441" s="602"/>
      <c r="AA441" s="602"/>
      <c r="AB441" s="602"/>
      <c r="AC441" s="602"/>
      <c r="AD441" s="602"/>
      <c r="AE441" s="602"/>
      <c r="AF441" s="602"/>
      <c r="AG441" s="602"/>
      <c r="AH441" s="602"/>
      <c r="AI441" s="602"/>
      <c r="AJ441" s="602"/>
      <c r="AK441" s="602"/>
      <c r="AL441" s="602"/>
      <c r="AM441" s="602"/>
      <c r="AN441" s="602"/>
      <c r="AO441" s="602"/>
      <c r="AP441" s="602"/>
      <c r="AQ441" s="602"/>
      <c r="AR441" s="602"/>
      <c r="AS441" s="602"/>
      <c r="AT441" s="602"/>
      <c r="AU441" s="602"/>
      <c r="AV441" s="602"/>
      <c r="AW441" s="602"/>
      <c r="AX441" s="602"/>
      <c r="AY441" s="602"/>
      <c r="AZ441" s="602"/>
      <c r="BA441" s="602"/>
    </row>
    <row r="442" spans="2:53">
      <c r="B442" s="602"/>
      <c r="C442" s="602"/>
      <c r="D442" s="602"/>
      <c r="G442" s="602"/>
      <c r="H442" s="602"/>
      <c r="I442" s="602"/>
      <c r="J442" s="602"/>
      <c r="K442" s="602"/>
      <c r="L442" s="602"/>
      <c r="M442" s="602"/>
      <c r="N442" s="602"/>
      <c r="O442" s="602"/>
      <c r="P442" s="602"/>
      <c r="Q442" s="602"/>
      <c r="R442" s="602"/>
      <c r="S442" s="602"/>
      <c r="T442" s="602"/>
      <c r="U442" s="602"/>
      <c r="V442" s="602"/>
      <c r="W442" s="602"/>
      <c r="X442" s="602"/>
      <c r="Y442" s="602"/>
      <c r="Z442" s="602"/>
      <c r="AA442" s="602"/>
      <c r="AB442" s="602"/>
      <c r="AC442" s="602"/>
      <c r="AD442" s="602"/>
      <c r="AE442" s="602"/>
      <c r="AF442" s="602"/>
      <c r="AG442" s="602"/>
      <c r="AH442" s="602"/>
      <c r="AI442" s="602"/>
      <c r="AJ442" s="602"/>
      <c r="AK442" s="602"/>
      <c r="AL442" s="602"/>
      <c r="AM442" s="602"/>
      <c r="AN442" s="602"/>
      <c r="AO442" s="602"/>
      <c r="AP442" s="602"/>
      <c r="AQ442" s="602"/>
      <c r="AR442" s="602"/>
      <c r="AS442" s="602"/>
      <c r="AT442" s="602"/>
      <c r="AU442" s="602"/>
      <c r="AV442" s="602"/>
      <c r="AW442" s="602"/>
      <c r="AX442" s="602"/>
      <c r="AY442" s="602"/>
      <c r="AZ442" s="602"/>
      <c r="BA442" s="602"/>
    </row>
    <row r="443" spans="2:53">
      <c r="B443" s="602"/>
      <c r="C443" s="602"/>
      <c r="D443" s="602"/>
      <c r="G443" s="602"/>
      <c r="H443" s="602"/>
      <c r="I443" s="602"/>
      <c r="J443" s="602"/>
      <c r="K443" s="602"/>
      <c r="L443" s="602"/>
      <c r="M443" s="602"/>
      <c r="N443" s="602"/>
      <c r="O443" s="602"/>
      <c r="P443" s="602"/>
      <c r="Q443" s="602"/>
      <c r="R443" s="602"/>
      <c r="S443" s="602"/>
      <c r="T443" s="602"/>
      <c r="U443" s="602"/>
      <c r="V443" s="602"/>
      <c r="W443" s="602"/>
      <c r="X443" s="602"/>
      <c r="Y443" s="602"/>
      <c r="Z443" s="602"/>
      <c r="AA443" s="602"/>
      <c r="AB443" s="602"/>
      <c r="AC443" s="602"/>
      <c r="AD443" s="602"/>
      <c r="AE443" s="602"/>
      <c r="AF443" s="602"/>
      <c r="AG443" s="602"/>
      <c r="AH443" s="602"/>
      <c r="AI443" s="602"/>
      <c r="AJ443" s="602"/>
      <c r="AK443" s="602"/>
      <c r="AL443" s="602"/>
      <c r="AM443" s="602"/>
      <c r="AN443" s="602"/>
      <c r="AO443" s="602"/>
      <c r="AP443" s="602"/>
      <c r="AQ443" s="602"/>
      <c r="AR443" s="602"/>
      <c r="AS443" s="602"/>
      <c r="AT443" s="602"/>
      <c r="AU443" s="602"/>
      <c r="AV443" s="602"/>
      <c r="AW443" s="602"/>
      <c r="AX443" s="602"/>
      <c r="AY443" s="602"/>
      <c r="AZ443" s="602"/>
      <c r="BA443" s="602"/>
    </row>
    <row r="444" spans="2:53">
      <c r="B444" s="602"/>
      <c r="C444" s="602"/>
      <c r="D444" s="602"/>
      <c r="G444" s="602"/>
      <c r="H444" s="602"/>
      <c r="I444" s="602"/>
      <c r="J444" s="602"/>
      <c r="K444" s="602"/>
      <c r="L444" s="602"/>
      <c r="M444" s="602"/>
      <c r="N444" s="602"/>
      <c r="O444" s="602"/>
      <c r="P444" s="602"/>
      <c r="Q444" s="602"/>
      <c r="R444" s="602"/>
      <c r="S444" s="602"/>
      <c r="T444" s="602"/>
      <c r="U444" s="602"/>
      <c r="V444" s="602"/>
      <c r="W444" s="602"/>
      <c r="X444" s="602"/>
      <c r="Y444" s="602"/>
      <c r="Z444" s="602"/>
      <c r="AA444" s="602"/>
      <c r="AB444" s="602"/>
      <c r="AC444" s="602"/>
      <c r="AD444" s="602"/>
      <c r="AE444" s="602"/>
      <c r="AF444" s="602"/>
      <c r="AG444" s="602"/>
      <c r="AH444" s="602"/>
      <c r="AI444" s="602"/>
      <c r="AJ444" s="602"/>
      <c r="AK444" s="602"/>
      <c r="AL444" s="602"/>
      <c r="AM444" s="602"/>
      <c r="AN444" s="602"/>
      <c r="AO444" s="602"/>
      <c r="AP444" s="602"/>
      <c r="AQ444" s="602"/>
      <c r="AR444" s="602"/>
      <c r="AS444" s="602"/>
      <c r="AT444" s="602"/>
      <c r="AU444" s="602"/>
      <c r="AV444" s="602"/>
      <c r="AW444" s="602"/>
      <c r="AX444" s="602"/>
      <c r="AY444" s="602"/>
      <c r="AZ444" s="602"/>
      <c r="BA444" s="602"/>
    </row>
    <row r="445" spans="2:53">
      <c r="B445" s="602"/>
      <c r="C445" s="602"/>
      <c r="D445" s="602"/>
      <c r="G445" s="602"/>
      <c r="H445" s="602"/>
      <c r="I445" s="602"/>
      <c r="J445" s="602"/>
      <c r="K445" s="602"/>
      <c r="L445" s="602"/>
      <c r="M445" s="602"/>
      <c r="N445" s="602"/>
      <c r="O445" s="602"/>
      <c r="P445" s="602"/>
      <c r="Q445" s="602"/>
      <c r="R445" s="602"/>
      <c r="S445" s="602"/>
      <c r="T445" s="602"/>
      <c r="U445" s="602"/>
      <c r="V445" s="602"/>
      <c r="W445" s="602"/>
      <c r="X445" s="602"/>
      <c r="Y445" s="602"/>
      <c r="Z445" s="602"/>
      <c r="AA445" s="602"/>
      <c r="AB445" s="602"/>
      <c r="AC445" s="602"/>
      <c r="AD445" s="602"/>
      <c r="AE445" s="602"/>
      <c r="AF445" s="602"/>
      <c r="AG445" s="602"/>
      <c r="AH445" s="602"/>
      <c r="AI445" s="602"/>
      <c r="AJ445" s="602"/>
      <c r="AK445" s="602"/>
      <c r="AL445" s="602"/>
      <c r="AM445" s="602"/>
      <c r="AN445" s="602"/>
      <c r="AO445" s="602"/>
      <c r="AP445" s="602"/>
      <c r="AQ445" s="602"/>
      <c r="AR445" s="602"/>
      <c r="AS445" s="602"/>
      <c r="AT445" s="602"/>
      <c r="AU445" s="602"/>
      <c r="AV445" s="602"/>
      <c r="AW445" s="602"/>
      <c r="AX445" s="602"/>
      <c r="AY445" s="602"/>
      <c r="AZ445" s="602"/>
      <c r="BA445" s="602"/>
    </row>
    <row r="446" spans="2:53">
      <c r="B446" s="602"/>
      <c r="C446" s="602"/>
      <c r="D446" s="602"/>
      <c r="G446" s="602"/>
      <c r="H446" s="602"/>
      <c r="I446" s="602"/>
      <c r="J446" s="602"/>
      <c r="K446" s="602"/>
      <c r="L446" s="602"/>
      <c r="M446" s="602"/>
      <c r="N446" s="602"/>
      <c r="O446" s="602"/>
      <c r="P446" s="602"/>
      <c r="Q446" s="602"/>
      <c r="R446" s="602"/>
      <c r="S446" s="602"/>
      <c r="T446" s="602"/>
      <c r="U446" s="602"/>
      <c r="V446" s="602"/>
      <c r="W446" s="602"/>
      <c r="X446" s="602"/>
      <c r="Y446" s="602"/>
      <c r="Z446" s="602"/>
      <c r="AA446" s="602"/>
      <c r="AB446" s="602"/>
      <c r="AC446" s="602"/>
      <c r="AD446" s="602"/>
      <c r="AE446" s="602"/>
      <c r="AF446" s="602"/>
      <c r="AG446" s="602"/>
      <c r="AH446" s="602"/>
      <c r="AI446" s="602"/>
      <c r="AJ446" s="602"/>
      <c r="AK446" s="602"/>
      <c r="AL446" s="602"/>
      <c r="AM446" s="602"/>
      <c r="AN446" s="602"/>
      <c r="AO446" s="602"/>
      <c r="AP446" s="602"/>
      <c r="AQ446" s="602"/>
      <c r="AR446" s="602"/>
      <c r="AS446" s="602"/>
      <c r="AT446" s="602"/>
      <c r="AU446" s="602"/>
      <c r="AV446" s="602"/>
      <c r="AW446" s="602"/>
      <c r="AX446" s="602"/>
      <c r="AY446" s="602"/>
      <c r="AZ446" s="602"/>
      <c r="BA446" s="602"/>
    </row>
    <row r="447" spans="2:53">
      <c r="B447" s="602"/>
      <c r="C447" s="602"/>
      <c r="D447" s="602"/>
      <c r="G447" s="602"/>
      <c r="H447" s="602"/>
      <c r="I447" s="602"/>
      <c r="J447" s="602"/>
      <c r="K447" s="602"/>
      <c r="L447" s="602"/>
      <c r="M447" s="602"/>
      <c r="N447" s="602"/>
      <c r="O447" s="602"/>
      <c r="P447" s="602"/>
      <c r="Q447" s="602"/>
      <c r="R447" s="602"/>
      <c r="S447" s="602"/>
      <c r="T447" s="602"/>
      <c r="U447" s="602"/>
      <c r="V447" s="602"/>
      <c r="W447" s="602"/>
      <c r="X447" s="602"/>
      <c r="Y447" s="602"/>
      <c r="Z447" s="602"/>
      <c r="AA447" s="602"/>
      <c r="AB447" s="602"/>
      <c r="AC447" s="602"/>
      <c r="AD447" s="602"/>
      <c r="AE447" s="602"/>
      <c r="AF447" s="602"/>
      <c r="AG447" s="602"/>
      <c r="AH447" s="602"/>
      <c r="AI447" s="602"/>
      <c r="AJ447" s="602"/>
      <c r="AK447" s="602"/>
      <c r="AL447" s="602"/>
      <c r="AM447" s="602"/>
      <c r="AN447" s="602"/>
      <c r="AO447" s="602"/>
      <c r="AP447" s="602"/>
      <c r="AQ447" s="602"/>
      <c r="AR447" s="602"/>
      <c r="AS447" s="602"/>
      <c r="AT447" s="602"/>
      <c r="AU447" s="602"/>
      <c r="AV447" s="602"/>
      <c r="AW447" s="602"/>
      <c r="AX447" s="602"/>
      <c r="AY447" s="602"/>
      <c r="AZ447" s="602"/>
      <c r="BA447" s="602"/>
    </row>
    <row r="448" spans="2:53">
      <c r="B448" s="602"/>
      <c r="C448" s="602"/>
      <c r="D448" s="602"/>
      <c r="G448" s="602"/>
      <c r="H448" s="602"/>
      <c r="I448" s="602"/>
      <c r="J448" s="602"/>
      <c r="K448" s="602"/>
      <c r="L448" s="602"/>
      <c r="M448" s="602"/>
      <c r="N448" s="602"/>
      <c r="O448" s="602"/>
      <c r="P448" s="602"/>
      <c r="Q448" s="602"/>
      <c r="R448" s="602"/>
      <c r="S448" s="602"/>
      <c r="T448" s="602"/>
      <c r="U448" s="602"/>
      <c r="V448" s="602"/>
      <c r="W448" s="602"/>
      <c r="X448" s="602"/>
      <c r="Y448" s="602"/>
      <c r="Z448" s="602"/>
      <c r="AA448" s="602"/>
      <c r="AB448" s="602"/>
      <c r="AC448" s="602"/>
      <c r="AD448" s="602"/>
      <c r="AE448" s="602"/>
      <c r="AF448" s="602"/>
      <c r="AG448" s="602"/>
      <c r="AH448" s="602"/>
      <c r="AI448" s="602"/>
      <c r="AJ448" s="602"/>
      <c r="AK448" s="602"/>
      <c r="AL448" s="602"/>
      <c r="AM448" s="602"/>
      <c r="AN448" s="602"/>
      <c r="AO448" s="602"/>
      <c r="AP448" s="602"/>
      <c r="AQ448" s="602"/>
      <c r="AR448" s="602"/>
      <c r="AS448" s="602"/>
      <c r="AT448" s="602"/>
      <c r="AU448" s="602"/>
      <c r="AV448" s="602"/>
      <c r="AW448" s="602"/>
      <c r="AX448" s="602"/>
      <c r="AY448" s="602"/>
      <c r="AZ448" s="602"/>
      <c r="BA448" s="602"/>
    </row>
    <row r="449" spans="2:53">
      <c r="B449" s="602"/>
      <c r="C449" s="602"/>
      <c r="D449" s="602"/>
      <c r="G449" s="602"/>
      <c r="H449" s="602"/>
      <c r="I449" s="602"/>
      <c r="J449" s="602"/>
      <c r="K449" s="602"/>
      <c r="L449" s="602"/>
      <c r="M449" s="602"/>
      <c r="N449" s="602"/>
      <c r="O449" s="602"/>
      <c r="P449" s="602"/>
      <c r="Q449" s="602"/>
      <c r="R449" s="602"/>
      <c r="S449" s="602"/>
      <c r="T449" s="602"/>
      <c r="U449" s="602"/>
      <c r="V449" s="602"/>
      <c r="W449" s="602"/>
      <c r="X449" s="602"/>
      <c r="Y449" s="602"/>
      <c r="Z449" s="602"/>
      <c r="AA449" s="602"/>
      <c r="AB449" s="602"/>
      <c r="AC449" s="602"/>
      <c r="AD449" s="602"/>
      <c r="AE449" s="602"/>
      <c r="AF449" s="602"/>
      <c r="AG449" s="602"/>
      <c r="AH449" s="602"/>
      <c r="AI449" s="602"/>
      <c r="AJ449" s="602"/>
      <c r="AK449" s="602"/>
      <c r="AL449" s="602"/>
      <c r="AM449" s="602"/>
      <c r="AN449" s="602"/>
      <c r="AO449" s="602"/>
      <c r="AP449" s="602"/>
      <c r="AQ449" s="602"/>
      <c r="AR449" s="602"/>
      <c r="AS449" s="602"/>
      <c r="AT449" s="602"/>
      <c r="AU449" s="602"/>
      <c r="AV449" s="602"/>
      <c r="AW449" s="602"/>
      <c r="AX449" s="602"/>
      <c r="AY449" s="602"/>
      <c r="AZ449" s="602"/>
      <c r="BA449" s="602"/>
    </row>
    <row r="450" spans="2:53">
      <c r="B450" s="602"/>
      <c r="C450" s="602"/>
      <c r="D450" s="602"/>
      <c r="G450" s="602"/>
      <c r="H450" s="602"/>
      <c r="I450" s="602"/>
      <c r="J450" s="602"/>
      <c r="K450" s="602"/>
      <c r="L450" s="602"/>
      <c r="M450" s="602"/>
      <c r="N450" s="602"/>
      <c r="O450" s="602"/>
      <c r="P450" s="602"/>
      <c r="Q450" s="602"/>
      <c r="R450" s="602"/>
      <c r="S450" s="602"/>
      <c r="T450" s="602"/>
      <c r="U450" s="602"/>
      <c r="V450" s="602"/>
      <c r="W450" s="602"/>
      <c r="X450" s="602"/>
      <c r="Y450" s="602"/>
      <c r="Z450" s="602"/>
      <c r="AA450" s="602"/>
      <c r="AB450" s="602"/>
      <c r="AC450" s="602"/>
      <c r="AD450" s="602"/>
      <c r="AE450" s="602"/>
      <c r="AF450" s="602"/>
      <c r="AG450" s="602"/>
      <c r="AH450" s="602"/>
      <c r="AI450" s="602"/>
      <c r="AJ450" s="602"/>
      <c r="AK450" s="602"/>
      <c r="AL450" s="602"/>
      <c r="AM450" s="602"/>
      <c r="AN450" s="602"/>
      <c r="AO450" s="602"/>
      <c r="AP450" s="602"/>
      <c r="AQ450" s="602"/>
      <c r="AR450" s="602"/>
      <c r="AS450" s="602"/>
      <c r="AT450" s="602"/>
      <c r="AU450" s="602"/>
      <c r="AV450" s="602"/>
      <c r="AW450" s="602"/>
      <c r="AX450" s="602"/>
      <c r="AY450" s="602"/>
      <c r="AZ450" s="602"/>
      <c r="BA450" s="602"/>
    </row>
    <row r="451" spans="2:53">
      <c r="B451" s="602"/>
      <c r="C451" s="602"/>
      <c r="D451" s="602"/>
      <c r="G451" s="602"/>
      <c r="H451" s="602"/>
      <c r="I451" s="602"/>
      <c r="J451" s="602"/>
      <c r="K451" s="602"/>
      <c r="L451" s="602"/>
      <c r="M451" s="602"/>
      <c r="N451" s="602"/>
      <c r="O451" s="602"/>
      <c r="P451" s="602"/>
      <c r="Q451" s="602"/>
      <c r="R451" s="602"/>
      <c r="S451" s="602"/>
      <c r="T451" s="602"/>
      <c r="U451" s="602"/>
      <c r="V451" s="602"/>
      <c r="W451" s="602"/>
      <c r="X451" s="602"/>
      <c r="Y451" s="602"/>
      <c r="Z451" s="602"/>
      <c r="AA451" s="602"/>
      <c r="AB451" s="602"/>
      <c r="AC451" s="602"/>
      <c r="AD451" s="602"/>
      <c r="AE451" s="602"/>
      <c r="AF451" s="602"/>
      <c r="AG451" s="602"/>
      <c r="AH451" s="602"/>
      <c r="AI451" s="602"/>
      <c r="AJ451" s="602"/>
      <c r="AK451" s="602"/>
      <c r="AL451" s="602"/>
      <c r="AM451" s="602"/>
      <c r="AN451" s="602"/>
      <c r="AO451" s="602"/>
      <c r="AP451" s="602"/>
      <c r="AQ451" s="602"/>
      <c r="AR451" s="602"/>
      <c r="AS451" s="602"/>
      <c r="AT451" s="602"/>
      <c r="AU451" s="602"/>
      <c r="AV451" s="602"/>
      <c r="AW451" s="602"/>
      <c r="AX451" s="602"/>
      <c r="AY451" s="602"/>
      <c r="AZ451" s="602"/>
      <c r="BA451" s="602"/>
    </row>
    <row r="452" spans="2:53">
      <c r="B452" s="602"/>
      <c r="C452" s="602"/>
      <c r="D452" s="602"/>
      <c r="G452" s="602"/>
      <c r="H452" s="602"/>
      <c r="I452" s="602"/>
      <c r="J452" s="602"/>
      <c r="K452" s="602"/>
      <c r="L452" s="602"/>
      <c r="M452" s="602"/>
      <c r="N452" s="602"/>
      <c r="O452" s="602"/>
      <c r="P452" s="602"/>
      <c r="Q452" s="602"/>
      <c r="R452" s="602"/>
      <c r="S452" s="602"/>
      <c r="T452" s="602"/>
      <c r="U452" s="602"/>
      <c r="V452" s="602"/>
      <c r="W452" s="602"/>
      <c r="X452" s="602"/>
      <c r="Y452" s="602"/>
      <c r="Z452" s="602"/>
      <c r="AA452" s="602"/>
      <c r="AB452" s="602"/>
      <c r="AC452" s="602"/>
      <c r="AD452" s="602"/>
      <c r="AE452" s="602"/>
      <c r="AF452" s="602"/>
      <c r="AG452" s="602"/>
      <c r="AH452" s="602"/>
      <c r="AI452" s="602"/>
      <c r="AJ452" s="602"/>
      <c r="AK452" s="602"/>
      <c r="AL452" s="602"/>
      <c r="AM452" s="602"/>
      <c r="AN452" s="602"/>
      <c r="AO452" s="602"/>
      <c r="AP452" s="602"/>
      <c r="AQ452" s="602"/>
      <c r="AR452" s="602"/>
      <c r="AS452" s="602"/>
      <c r="AT452" s="602"/>
      <c r="AU452" s="602"/>
      <c r="AV452" s="602"/>
      <c r="AW452" s="602"/>
      <c r="AX452" s="602"/>
      <c r="AY452" s="602"/>
      <c r="AZ452" s="602"/>
      <c r="BA452" s="602"/>
    </row>
    <row r="453" spans="2:53">
      <c r="B453" s="602"/>
      <c r="C453" s="602"/>
      <c r="D453" s="602"/>
      <c r="G453" s="602"/>
      <c r="H453" s="602"/>
      <c r="I453" s="602"/>
      <c r="J453" s="602"/>
      <c r="K453" s="602"/>
      <c r="L453" s="602"/>
      <c r="M453" s="602"/>
      <c r="N453" s="602"/>
      <c r="O453" s="602"/>
      <c r="P453" s="602"/>
      <c r="Q453" s="602"/>
      <c r="R453" s="602"/>
      <c r="S453" s="602"/>
      <c r="T453" s="602"/>
      <c r="U453" s="602"/>
      <c r="V453" s="602"/>
      <c r="W453" s="602"/>
      <c r="X453" s="602"/>
      <c r="Y453" s="602"/>
      <c r="Z453" s="602"/>
      <c r="AA453" s="602"/>
      <c r="AB453" s="602"/>
      <c r="AC453" s="602"/>
      <c r="AD453" s="602"/>
      <c r="AE453" s="602"/>
      <c r="AF453" s="602"/>
      <c r="AG453" s="602"/>
      <c r="AH453" s="602"/>
      <c r="AI453" s="602"/>
      <c r="AJ453" s="602"/>
      <c r="AK453" s="602"/>
      <c r="AL453" s="602"/>
      <c r="AM453" s="602"/>
      <c r="AN453" s="602"/>
      <c r="AO453" s="602"/>
      <c r="AP453" s="602"/>
      <c r="AQ453" s="602"/>
      <c r="AR453" s="602"/>
      <c r="AS453" s="602"/>
      <c r="AT453" s="602"/>
      <c r="AU453" s="602"/>
      <c r="AV453" s="602"/>
      <c r="AW453" s="602"/>
      <c r="AX453" s="602"/>
      <c r="AY453" s="602"/>
      <c r="AZ453" s="602"/>
      <c r="BA453" s="602"/>
    </row>
    <row r="454" spans="2:53">
      <c r="B454" s="602"/>
      <c r="C454" s="602"/>
      <c r="D454" s="602"/>
      <c r="G454" s="602"/>
      <c r="H454" s="602"/>
      <c r="I454" s="602"/>
      <c r="J454" s="602"/>
      <c r="K454" s="602"/>
      <c r="L454" s="602"/>
      <c r="M454" s="602"/>
      <c r="N454" s="602"/>
      <c r="O454" s="602"/>
      <c r="P454" s="602"/>
      <c r="Q454" s="602"/>
      <c r="R454" s="602"/>
      <c r="S454" s="602"/>
      <c r="T454" s="602"/>
      <c r="U454" s="602"/>
      <c r="V454" s="602"/>
      <c r="W454" s="602"/>
      <c r="X454" s="602"/>
      <c r="Y454" s="602"/>
      <c r="Z454" s="602"/>
      <c r="AA454" s="602"/>
      <c r="AB454" s="602"/>
      <c r="AC454" s="602"/>
      <c r="AD454" s="602"/>
      <c r="AE454" s="602"/>
      <c r="AF454" s="602"/>
      <c r="AG454" s="602"/>
      <c r="AH454" s="602"/>
      <c r="AI454" s="602"/>
      <c r="AJ454" s="602"/>
      <c r="AK454" s="602"/>
      <c r="AL454" s="602"/>
      <c r="AM454" s="602"/>
      <c r="AN454" s="602"/>
      <c r="AO454" s="602"/>
      <c r="AP454" s="602"/>
      <c r="AQ454" s="602"/>
      <c r="AR454" s="602"/>
      <c r="AS454" s="602"/>
      <c r="AT454" s="602"/>
      <c r="AU454" s="602"/>
      <c r="AV454" s="602"/>
      <c r="AW454" s="602"/>
      <c r="AX454" s="602"/>
      <c r="AY454" s="602"/>
      <c r="AZ454" s="602"/>
      <c r="BA454" s="602"/>
    </row>
    <row r="455" spans="2:53">
      <c r="B455" s="602"/>
      <c r="C455" s="602"/>
      <c r="D455" s="602"/>
      <c r="G455" s="602"/>
      <c r="H455" s="602"/>
      <c r="I455" s="602"/>
      <c r="J455" s="602"/>
      <c r="K455" s="602"/>
      <c r="L455" s="602"/>
      <c r="M455" s="602"/>
      <c r="N455" s="602"/>
      <c r="O455" s="602"/>
      <c r="P455" s="602"/>
      <c r="Q455" s="602"/>
      <c r="R455" s="602"/>
      <c r="S455" s="602"/>
      <c r="T455" s="602"/>
      <c r="U455" s="602"/>
      <c r="V455" s="602"/>
      <c r="W455" s="602"/>
      <c r="X455" s="602"/>
      <c r="Y455" s="602"/>
      <c r="Z455" s="602"/>
      <c r="AA455" s="602"/>
      <c r="AB455" s="602"/>
      <c r="AC455" s="602"/>
      <c r="AD455" s="602"/>
      <c r="AE455" s="602"/>
      <c r="AF455" s="602"/>
      <c r="AG455" s="602"/>
      <c r="AH455" s="602"/>
      <c r="AI455" s="602"/>
      <c r="AJ455" s="602"/>
      <c r="AK455" s="602"/>
      <c r="AL455" s="602"/>
      <c r="AM455" s="602"/>
      <c r="AN455" s="602"/>
      <c r="AO455" s="602"/>
      <c r="AP455" s="602"/>
      <c r="AQ455" s="602"/>
      <c r="AR455" s="602"/>
      <c r="AS455" s="602"/>
      <c r="AT455" s="602"/>
      <c r="AU455" s="602"/>
      <c r="AV455" s="602"/>
      <c r="AW455" s="602"/>
      <c r="AX455" s="602"/>
      <c r="AY455" s="602"/>
      <c r="AZ455" s="602"/>
      <c r="BA455" s="602"/>
    </row>
    <row r="456" spans="2:53">
      <c r="B456" s="602"/>
      <c r="C456" s="602"/>
      <c r="D456" s="602"/>
      <c r="G456" s="602"/>
      <c r="H456" s="602"/>
      <c r="I456" s="602"/>
      <c r="J456" s="602"/>
      <c r="K456" s="602"/>
      <c r="L456" s="602"/>
      <c r="M456" s="602"/>
      <c r="N456" s="602"/>
      <c r="O456" s="602"/>
      <c r="P456" s="602"/>
      <c r="Q456" s="602"/>
      <c r="R456" s="602"/>
      <c r="S456" s="602"/>
      <c r="T456" s="602"/>
      <c r="U456" s="602"/>
      <c r="V456" s="602"/>
      <c r="W456" s="602"/>
      <c r="X456" s="602"/>
      <c r="Y456" s="602"/>
      <c r="Z456" s="602"/>
      <c r="AA456" s="602"/>
      <c r="AB456" s="602"/>
      <c r="AC456" s="602"/>
      <c r="AD456" s="602"/>
      <c r="AE456" s="602"/>
      <c r="AF456" s="602"/>
      <c r="AG456" s="602"/>
      <c r="AH456" s="602"/>
      <c r="AI456" s="602"/>
      <c r="AJ456" s="602"/>
      <c r="AK456" s="602"/>
      <c r="AL456" s="602"/>
      <c r="AM456" s="602"/>
      <c r="AN456" s="602"/>
      <c r="AO456" s="602"/>
      <c r="AP456" s="602"/>
      <c r="AQ456" s="602"/>
      <c r="AR456" s="602"/>
      <c r="AS456" s="602"/>
      <c r="AT456" s="602"/>
      <c r="AU456" s="602"/>
      <c r="AV456" s="602"/>
      <c r="AW456" s="602"/>
      <c r="AX456" s="602"/>
      <c r="AY456" s="602"/>
      <c r="AZ456" s="602"/>
      <c r="BA456" s="602"/>
    </row>
    <row r="457" spans="2:53">
      <c r="B457" s="602"/>
      <c r="C457" s="602"/>
      <c r="D457" s="602"/>
      <c r="G457" s="602"/>
      <c r="H457" s="602"/>
      <c r="I457" s="602"/>
      <c r="J457" s="602"/>
      <c r="K457" s="602"/>
      <c r="L457" s="602"/>
      <c r="M457" s="602"/>
      <c r="N457" s="602"/>
      <c r="O457" s="602"/>
      <c r="P457" s="602"/>
      <c r="Q457" s="602"/>
      <c r="R457" s="602"/>
      <c r="S457" s="602"/>
      <c r="T457" s="602"/>
      <c r="U457" s="602"/>
      <c r="V457" s="602"/>
      <c r="W457" s="602"/>
      <c r="X457" s="602"/>
      <c r="Y457" s="602"/>
      <c r="Z457" s="602"/>
      <c r="AA457" s="602"/>
      <c r="AB457" s="602"/>
      <c r="AC457" s="602"/>
      <c r="AD457" s="602"/>
      <c r="AE457" s="602"/>
      <c r="AF457" s="602"/>
      <c r="AG457" s="602"/>
      <c r="AH457" s="602"/>
      <c r="AI457" s="602"/>
      <c r="AJ457" s="602"/>
      <c r="AK457" s="602"/>
      <c r="AL457" s="602"/>
      <c r="AM457" s="602"/>
      <c r="AN457" s="602"/>
      <c r="AO457" s="602"/>
      <c r="AP457" s="602"/>
      <c r="AQ457" s="602"/>
      <c r="AR457" s="602"/>
      <c r="AS457" s="602"/>
      <c r="AT457" s="602"/>
      <c r="AU457" s="602"/>
      <c r="AV457" s="602"/>
      <c r="AW457" s="602"/>
      <c r="AX457" s="602"/>
      <c r="AY457" s="602"/>
      <c r="AZ457" s="602"/>
      <c r="BA457" s="602"/>
    </row>
    <row r="458" spans="2:53">
      <c r="B458" s="602"/>
      <c r="C458" s="602"/>
      <c r="D458" s="602"/>
      <c r="G458" s="602"/>
      <c r="H458" s="602"/>
      <c r="I458" s="602"/>
      <c r="J458" s="602"/>
      <c r="K458" s="602"/>
      <c r="L458" s="602"/>
      <c r="M458" s="602"/>
      <c r="N458" s="602"/>
      <c r="O458" s="602"/>
      <c r="P458" s="602"/>
      <c r="Q458" s="602"/>
      <c r="R458" s="602"/>
      <c r="S458" s="602"/>
      <c r="T458" s="602"/>
      <c r="U458" s="602"/>
      <c r="V458" s="602"/>
      <c r="W458" s="602"/>
      <c r="X458" s="602"/>
      <c r="Y458" s="602"/>
      <c r="Z458" s="602"/>
      <c r="AA458" s="602"/>
      <c r="AB458" s="602"/>
      <c r="AC458" s="602"/>
      <c r="AD458" s="602"/>
      <c r="AE458" s="602"/>
      <c r="AF458" s="602"/>
      <c r="AG458" s="602"/>
      <c r="AH458" s="602"/>
      <c r="AI458" s="602"/>
      <c r="AJ458" s="602"/>
      <c r="AK458" s="602"/>
      <c r="AL458" s="602"/>
      <c r="AM458" s="602"/>
      <c r="AN458" s="602"/>
      <c r="AO458" s="602"/>
      <c r="AP458" s="602"/>
      <c r="AQ458" s="602"/>
      <c r="AR458" s="602"/>
      <c r="AS458" s="602"/>
      <c r="AT458" s="602"/>
      <c r="AU458" s="602"/>
      <c r="AV458" s="602"/>
      <c r="AW458" s="602"/>
      <c r="AX458" s="602"/>
      <c r="AY458" s="602"/>
      <c r="AZ458" s="602"/>
      <c r="BA458" s="602"/>
    </row>
    <row r="459" spans="2:53">
      <c r="B459" s="602"/>
      <c r="C459" s="602"/>
      <c r="D459" s="602"/>
      <c r="G459" s="602"/>
      <c r="H459" s="602"/>
      <c r="I459" s="602"/>
      <c r="J459" s="602"/>
      <c r="K459" s="602"/>
      <c r="L459" s="602"/>
      <c r="M459" s="602"/>
      <c r="N459" s="602"/>
      <c r="O459" s="602"/>
      <c r="P459" s="602"/>
      <c r="Q459" s="602"/>
      <c r="R459" s="602"/>
      <c r="S459" s="602"/>
      <c r="T459" s="602"/>
      <c r="U459" s="602"/>
      <c r="V459" s="602"/>
      <c r="W459" s="602"/>
      <c r="X459" s="602"/>
      <c r="Y459" s="602"/>
      <c r="Z459" s="602"/>
      <c r="AA459" s="602"/>
      <c r="AB459" s="602"/>
      <c r="AC459" s="602"/>
      <c r="AD459" s="602"/>
      <c r="AE459" s="602"/>
      <c r="AF459" s="602"/>
      <c r="AG459" s="602"/>
      <c r="AH459" s="602"/>
      <c r="AI459" s="602"/>
      <c r="AJ459" s="602"/>
      <c r="AK459" s="602"/>
      <c r="AL459" s="602"/>
      <c r="AM459" s="602"/>
      <c r="AN459" s="602"/>
      <c r="AO459" s="602"/>
      <c r="AP459" s="602"/>
      <c r="AQ459" s="602"/>
      <c r="AR459" s="602"/>
      <c r="AS459" s="602"/>
      <c r="AT459" s="602"/>
      <c r="AU459" s="602"/>
      <c r="AV459" s="602"/>
      <c r="AW459" s="602"/>
      <c r="AX459" s="602"/>
      <c r="AY459" s="602"/>
      <c r="AZ459" s="602"/>
      <c r="BA459" s="602"/>
    </row>
    <row r="460" spans="2:53">
      <c r="B460" s="602"/>
      <c r="C460" s="602"/>
      <c r="D460" s="602"/>
      <c r="G460" s="602"/>
      <c r="H460" s="602"/>
      <c r="I460" s="602"/>
      <c r="J460" s="602"/>
      <c r="K460" s="602"/>
      <c r="L460" s="602"/>
      <c r="M460" s="602"/>
      <c r="N460" s="602"/>
      <c r="O460" s="602"/>
      <c r="P460" s="602"/>
      <c r="Q460" s="602"/>
      <c r="R460" s="602"/>
      <c r="S460" s="602"/>
      <c r="T460" s="602"/>
      <c r="U460" s="602"/>
      <c r="V460" s="602"/>
      <c r="W460" s="602"/>
      <c r="X460" s="602"/>
      <c r="Y460" s="602"/>
      <c r="Z460" s="602"/>
      <c r="AA460" s="602"/>
      <c r="AB460" s="602"/>
      <c r="AC460" s="602"/>
      <c r="AD460" s="602"/>
      <c r="AE460" s="602"/>
      <c r="AF460" s="602"/>
      <c r="AG460" s="602"/>
      <c r="AH460" s="602"/>
      <c r="AI460" s="602"/>
      <c r="AJ460" s="602"/>
      <c r="AK460" s="602"/>
      <c r="AL460" s="602"/>
      <c r="AM460" s="602"/>
      <c r="AN460" s="602"/>
      <c r="AO460" s="602"/>
      <c r="AP460" s="602"/>
      <c r="AQ460" s="602"/>
      <c r="AR460" s="602"/>
      <c r="AS460" s="602"/>
      <c r="AT460" s="602"/>
      <c r="AU460" s="602"/>
      <c r="AV460" s="602"/>
      <c r="AW460" s="602"/>
      <c r="AX460" s="602"/>
      <c r="AY460" s="602"/>
      <c r="AZ460" s="602"/>
      <c r="BA460" s="602"/>
    </row>
    <row r="461" spans="2:53">
      <c r="B461" s="602"/>
      <c r="C461" s="602"/>
      <c r="D461" s="602"/>
      <c r="G461" s="602"/>
      <c r="H461" s="602"/>
      <c r="I461" s="602"/>
      <c r="J461" s="602"/>
      <c r="K461" s="602"/>
      <c r="L461" s="602"/>
      <c r="M461" s="602"/>
      <c r="N461" s="602"/>
      <c r="O461" s="602"/>
      <c r="P461" s="602"/>
      <c r="Q461" s="602"/>
      <c r="R461" s="602"/>
      <c r="S461" s="602"/>
      <c r="T461" s="602"/>
      <c r="U461" s="602"/>
      <c r="V461" s="602"/>
      <c r="W461" s="602"/>
      <c r="X461" s="602"/>
      <c r="Y461" s="602"/>
      <c r="Z461" s="602"/>
      <c r="AA461" s="602"/>
      <c r="AB461" s="602"/>
      <c r="AC461" s="602"/>
      <c r="AD461" s="602"/>
      <c r="AE461" s="602"/>
      <c r="AF461" s="602"/>
      <c r="AG461" s="602"/>
      <c r="AH461" s="602"/>
      <c r="AI461" s="602"/>
      <c r="AJ461" s="602"/>
      <c r="AK461" s="602"/>
      <c r="AL461" s="602"/>
      <c r="AM461" s="602"/>
      <c r="AN461" s="602"/>
      <c r="AO461" s="602"/>
      <c r="AP461" s="602"/>
      <c r="AQ461" s="602"/>
      <c r="AR461" s="602"/>
      <c r="AS461" s="602"/>
      <c r="AT461" s="602"/>
      <c r="AU461" s="602"/>
      <c r="AV461" s="602"/>
      <c r="AW461" s="602"/>
      <c r="AX461" s="602"/>
      <c r="AY461" s="602"/>
      <c r="AZ461" s="602"/>
      <c r="BA461" s="602"/>
    </row>
    <row r="462" spans="2:53">
      <c r="B462" s="602"/>
      <c r="C462" s="602"/>
      <c r="D462" s="602"/>
      <c r="G462" s="602"/>
      <c r="H462" s="602"/>
      <c r="I462" s="602"/>
      <c r="J462" s="602"/>
      <c r="K462" s="602"/>
      <c r="L462" s="602"/>
      <c r="M462" s="602"/>
      <c r="N462" s="602"/>
      <c r="O462" s="602"/>
      <c r="P462" s="602"/>
      <c r="Q462" s="602"/>
      <c r="R462" s="602"/>
      <c r="S462" s="602"/>
      <c r="T462" s="602"/>
      <c r="U462" s="602"/>
      <c r="V462" s="602"/>
      <c r="W462" s="602"/>
      <c r="X462" s="602"/>
      <c r="Y462" s="602"/>
      <c r="Z462" s="602"/>
      <c r="AA462" s="602"/>
      <c r="AB462" s="602"/>
      <c r="AC462" s="602"/>
      <c r="AD462" s="602"/>
      <c r="AE462" s="602"/>
      <c r="AF462" s="602"/>
      <c r="AG462" s="602"/>
      <c r="AH462" s="602"/>
      <c r="AI462" s="602"/>
      <c r="AJ462" s="602"/>
      <c r="AK462" s="602"/>
      <c r="AL462" s="602"/>
      <c r="AM462" s="602"/>
      <c r="AN462" s="602"/>
      <c r="AO462" s="602"/>
      <c r="AP462" s="602"/>
      <c r="AQ462" s="602"/>
      <c r="AR462" s="602"/>
      <c r="AS462" s="602"/>
      <c r="AT462" s="602"/>
      <c r="AU462" s="602"/>
      <c r="AV462" s="602"/>
      <c r="AW462" s="602"/>
      <c r="AX462" s="602"/>
      <c r="AY462" s="602"/>
      <c r="AZ462" s="602"/>
      <c r="BA462" s="602"/>
    </row>
    <row r="463" spans="2:53">
      <c r="B463" s="602"/>
      <c r="C463" s="602"/>
      <c r="D463" s="602"/>
      <c r="G463" s="602"/>
      <c r="H463" s="602"/>
      <c r="I463" s="602"/>
      <c r="J463" s="602"/>
      <c r="K463" s="602"/>
      <c r="L463" s="602"/>
      <c r="M463" s="602"/>
      <c r="N463" s="602"/>
      <c r="O463" s="602"/>
      <c r="P463" s="602"/>
      <c r="Q463" s="602"/>
      <c r="R463" s="602"/>
      <c r="S463" s="602"/>
      <c r="T463" s="602"/>
      <c r="U463" s="602"/>
      <c r="V463" s="602"/>
      <c r="W463" s="602"/>
      <c r="X463" s="602"/>
      <c r="Y463" s="602"/>
      <c r="Z463" s="602"/>
      <c r="AA463" s="602"/>
      <c r="AB463" s="602"/>
      <c r="AC463" s="602"/>
      <c r="AD463" s="602"/>
      <c r="AE463" s="602"/>
      <c r="AF463" s="602"/>
      <c r="AG463" s="602"/>
      <c r="AH463" s="602"/>
      <c r="AI463" s="602"/>
      <c r="AJ463" s="602"/>
      <c r="AK463" s="602"/>
      <c r="AL463" s="602"/>
      <c r="AM463" s="602"/>
      <c r="AN463" s="602"/>
      <c r="AO463" s="602"/>
      <c r="AP463" s="602"/>
      <c r="AQ463" s="602"/>
      <c r="AR463" s="602"/>
      <c r="AS463" s="602"/>
      <c r="AT463" s="602"/>
      <c r="AU463" s="602"/>
      <c r="AV463" s="602"/>
      <c r="AW463" s="602"/>
      <c r="AX463" s="602"/>
      <c r="AY463" s="602"/>
      <c r="AZ463" s="602"/>
      <c r="BA463" s="602"/>
    </row>
    <row r="464" spans="2:53">
      <c r="B464" s="602"/>
      <c r="C464" s="602"/>
      <c r="D464" s="602"/>
      <c r="G464" s="602"/>
      <c r="H464" s="602"/>
      <c r="I464" s="602"/>
      <c r="J464" s="602"/>
      <c r="K464" s="602"/>
      <c r="L464" s="602"/>
      <c r="M464" s="602"/>
      <c r="N464" s="602"/>
      <c r="O464" s="602"/>
      <c r="P464" s="602"/>
      <c r="Q464" s="602"/>
      <c r="R464" s="602"/>
      <c r="S464" s="602"/>
      <c r="T464" s="602"/>
      <c r="U464" s="602"/>
      <c r="V464" s="602"/>
      <c r="W464" s="602"/>
      <c r="X464" s="602"/>
      <c r="Y464" s="602"/>
      <c r="Z464" s="602"/>
      <c r="AA464" s="602"/>
      <c r="AB464" s="602"/>
      <c r="AC464" s="602"/>
      <c r="AD464" s="602"/>
      <c r="AE464" s="602"/>
      <c r="AF464" s="602"/>
      <c r="AG464" s="602"/>
      <c r="AH464" s="602"/>
      <c r="AI464" s="602"/>
      <c r="AJ464" s="602"/>
      <c r="AK464" s="602"/>
      <c r="AL464" s="602"/>
      <c r="AM464" s="602"/>
      <c r="AN464" s="602"/>
      <c r="AO464" s="602"/>
      <c r="AP464" s="602"/>
      <c r="AQ464" s="602"/>
      <c r="AR464" s="602"/>
      <c r="AS464" s="602"/>
      <c r="AT464" s="602"/>
      <c r="AU464" s="602"/>
      <c r="AV464" s="602"/>
      <c r="AW464" s="602"/>
      <c r="AX464" s="602"/>
      <c r="AY464" s="602"/>
      <c r="AZ464" s="602"/>
      <c r="BA464" s="602"/>
    </row>
    <row r="465" spans="2:53">
      <c r="B465" s="602"/>
      <c r="C465" s="602"/>
      <c r="D465" s="602"/>
      <c r="G465" s="602"/>
      <c r="H465" s="602"/>
      <c r="I465" s="602"/>
      <c r="J465" s="602"/>
      <c r="K465" s="602"/>
      <c r="L465" s="602"/>
      <c r="M465" s="602"/>
      <c r="N465" s="602"/>
      <c r="O465" s="602"/>
      <c r="P465" s="602"/>
      <c r="Q465" s="602"/>
      <c r="R465" s="602"/>
      <c r="S465" s="602"/>
      <c r="T465" s="602"/>
      <c r="U465" s="602"/>
      <c r="V465" s="602"/>
      <c r="W465" s="602"/>
      <c r="X465" s="602"/>
      <c r="Y465" s="602"/>
      <c r="Z465" s="602"/>
      <c r="AA465" s="602"/>
      <c r="AB465" s="602"/>
      <c r="AC465" s="602"/>
      <c r="AD465" s="602"/>
      <c r="AE465" s="602"/>
      <c r="AF465" s="602"/>
      <c r="AG465" s="602"/>
      <c r="AH465" s="602"/>
      <c r="AI465" s="602"/>
      <c r="AJ465" s="602"/>
      <c r="AK465" s="602"/>
      <c r="AL465" s="602"/>
      <c r="AM465" s="602"/>
      <c r="AN465" s="602"/>
      <c r="AO465" s="602"/>
      <c r="AP465" s="602"/>
      <c r="AQ465" s="602"/>
      <c r="AR465" s="602"/>
      <c r="AS465" s="602"/>
      <c r="AT465" s="602"/>
      <c r="AU465" s="602"/>
      <c r="AV465" s="602"/>
      <c r="AW465" s="602"/>
      <c r="AX465" s="602"/>
      <c r="AY465" s="602"/>
      <c r="AZ465" s="602"/>
      <c r="BA465" s="602"/>
    </row>
    <row r="466" spans="2:53">
      <c r="B466" s="602"/>
      <c r="C466" s="602"/>
      <c r="D466" s="602"/>
      <c r="G466" s="602"/>
      <c r="H466" s="602"/>
      <c r="I466" s="602"/>
      <c r="J466" s="602"/>
      <c r="K466" s="602"/>
      <c r="L466" s="602"/>
      <c r="M466" s="602"/>
      <c r="N466" s="602"/>
      <c r="O466" s="602"/>
      <c r="P466" s="602"/>
      <c r="Q466" s="602"/>
      <c r="R466" s="602"/>
      <c r="S466" s="602"/>
      <c r="T466" s="602"/>
      <c r="U466" s="602"/>
      <c r="V466" s="602"/>
      <c r="W466" s="602"/>
      <c r="X466" s="602"/>
      <c r="Y466" s="602"/>
      <c r="Z466" s="602"/>
      <c r="AA466" s="602"/>
      <c r="AB466" s="602"/>
      <c r="AC466" s="602"/>
      <c r="AD466" s="602"/>
      <c r="AE466" s="602"/>
      <c r="AF466" s="602"/>
      <c r="AG466" s="602"/>
      <c r="AH466" s="602"/>
      <c r="AI466" s="602"/>
      <c r="AJ466" s="602"/>
      <c r="AK466" s="602"/>
      <c r="AL466" s="602"/>
      <c r="AM466" s="602"/>
      <c r="AN466" s="602"/>
      <c r="AO466" s="602"/>
      <c r="AP466" s="602"/>
      <c r="AQ466" s="602"/>
      <c r="AR466" s="602"/>
      <c r="AS466" s="602"/>
      <c r="AT466" s="602"/>
      <c r="AU466" s="602"/>
      <c r="AV466" s="602"/>
      <c r="AW466" s="602"/>
      <c r="AX466" s="602"/>
      <c r="AY466" s="602"/>
      <c r="AZ466" s="602"/>
      <c r="BA466" s="602"/>
    </row>
    <row r="467" spans="2:53">
      <c r="B467" s="602"/>
      <c r="C467" s="602"/>
      <c r="D467" s="602"/>
      <c r="G467" s="602"/>
      <c r="H467" s="602"/>
      <c r="I467" s="602"/>
      <c r="J467" s="602"/>
      <c r="K467" s="602"/>
      <c r="L467" s="602"/>
      <c r="M467" s="602"/>
      <c r="N467" s="602"/>
      <c r="O467" s="602"/>
      <c r="P467" s="602"/>
      <c r="Q467" s="602"/>
      <c r="R467" s="602"/>
      <c r="S467" s="602"/>
      <c r="T467" s="602"/>
      <c r="U467" s="602"/>
      <c r="V467" s="602"/>
      <c r="W467" s="602"/>
      <c r="X467" s="602"/>
      <c r="Y467" s="602"/>
      <c r="Z467" s="602"/>
      <c r="AA467" s="602"/>
      <c r="AB467" s="602"/>
      <c r="AC467" s="602"/>
      <c r="AD467" s="602"/>
      <c r="AE467" s="602"/>
      <c r="AF467" s="602"/>
      <c r="AG467" s="602"/>
      <c r="AH467" s="602"/>
      <c r="AI467" s="602"/>
      <c r="AJ467" s="602"/>
      <c r="AK467" s="602"/>
      <c r="AL467" s="602"/>
      <c r="AM467" s="602"/>
      <c r="AN467" s="602"/>
      <c r="AO467" s="602"/>
      <c r="AP467" s="602"/>
      <c r="AQ467" s="602"/>
      <c r="AR467" s="602"/>
      <c r="AS467" s="602"/>
      <c r="AT467" s="602"/>
      <c r="AU467" s="602"/>
      <c r="AV467" s="602"/>
      <c r="AW467" s="602"/>
      <c r="AX467" s="602"/>
      <c r="AY467" s="602"/>
      <c r="AZ467" s="602"/>
      <c r="BA467" s="602"/>
    </row>
    <row r="468" spans="2:53">
      <c r="B468" s="602"/>
      <c r="C468" s="602"/>
      <c r="D468" s="602"/>
      <c r="G468" s="602"/>
      <c r="H468" s="602"/>
      <c r="I468" s="602"/>
      <c r="J468" s="602"/>
      <c r="K468" s="602"/>
      <c r="L468" s="602"/>
      <c r="M468" s="602"/>
      <c r="N468" s="602"/>
      <c r="O468" s="602"/>
      <c r="P468" s="602"/>
      <c r="Q468" s="602"/>
      <c r="R468" s="602"/>
      <c r="S468" s="602"/>
      <c r="T468" s="602"/>
      <c r="U468" s="602"/>
      <c r="V468" s="602"/>
      <c r="W468" s="602"/>
      <c r="X468" s="602"/>
      <c r="Y468" s="602"/>
      <c r="Z468" s="602"/>
      <c r="AA468" s="602"/>
      <c r="AB468" s="602"/>
      <c r="AC468" s="602"/>
      <c r="AD468" s="602"/>
      <c r="AE468" s="602"/>
      <c r="AF468" s="602"/>
      <c r="AG468" s="602"/>
      <c r="AH468" s="602"/>
      <c r="AI468" s="602"/>
      <c r="AJ468" s="602"/>
      <c r="AK468" s="602"/>
      <c r="AL468" s="602"/>
      <c r="AM468" s="602"/>
      <c r="AN468" s="602"/>
      <c r="AO468" s="602"/>
      <c r="AP468" s="602"/>
      <c r="AQ468" s="602"/>
      <c r="AR468" s="602"/>
      <c r="AS468" s="602"/>
      <c r="AT468" s="602"/>
      <c r="AU468" s="602"/>
      <c r="AV468" s="602"/>
      <c r="AW468" s="602"/>
      <c r="AX468" s="602"/>
      <c r="AY468" s="602"/>
      <c r="AZ468" s="602"/>
      <c r="BA468" s="602"/>
    </row>
    <row r="469" spans="2:53">
      <c r="B469" s="602"/>
      <c r="C469" s="602"/>
      <c r="D469" s="602"/>
      <c r="G469" s="602"/>
      <c r="H469" s="602"/>
      <c r="I469" s="602"/>
      <c r="J469" s="602"/>
      <c r="K469" s="602"/>
      <c r="L469" s="602"/>
      <c r="M469" s="602"/>
      <c r="N469" s="602"/>
      <c r="O469" s="602"/>
      <c r="P469" s="602"/>
      <c r="Q469" s="602"/>
      <c r="R469" s="602"/>
      <c r="S469" s="602"/>
      <c r="T469" s="602"/>
      <c r="U469" s="602"/>
      <c r="V469" s="602"/>
      <c r="W469" s="602"/>
      <c r="X469" s="602"/>
      <c r="Y469" s="602"/>
      <c r="Z469" s="602"/>
      <c r="AA469" s="602"/>
      <c r="AB469" s="602"/>
      <c r="AC469" s="602"/>
      <c r="AD469" s="602"/>
      <c r="AE469" s="602"/>
      <c r="AF469" s="602"/>
      <c r="AG469" s="602"/>
      <c r="AH469" s="602"/>
      <c r="AI469" s="602"/>
      <c r="AJ469" s="602"/>
      <c r="AK469" s="602"/>
      <c r="AL469" s="602"/>
      <c r="AM469" s="602"/>
      <c r="AN469" s="602"/>
      <c r="AO469" s="602"/>
      <c r="AP469" s="602"/>
      <c r="AQ469" s="602"/>
      <c r="AR469" s="602"/>
      <c r="AS469" s="602"/>
      <c r="AT469" s="602"/>
      <c r="AU469" s="602"/>
      <c r="AV469" s="602"/>
      <c r="AW469" s="602"/>
      <c r="AX469" s="602"/>
      <c r="AY469" s="602"/>
      <c r="AZ469" s="602"/>
      <c r="BA469" s="602"/>
    </row>
    <row r="470" spans="2:53">
      <c r="B470" s="602"/>
      <c r="C470" s="602"/>
      <c r="D470" s="602"/>
      <c r="G470" s="602"/>
      <c r="H470" s="602"/>
      <c r="I470" s="602"/>
      <c r="J470" s="602"/>
      <c r="K470" s="602"/>
      <c r="L470" s="602"/>
      <c r="M470" s="602"/>
      <c r="N470" s="602"/>
      <c r="O470" s="602"/>
      <c r="P470" s="602"/>
      <c r="Q470" s="602"/>
      <c r="R470" s="602"/>
      <c r="S470" s="602"/>
      <c r="T470" s="602"/>
      <c r="U470" s="602"/>
      <c r="V470" s="602"/>
      <c r="W470" s="602"/>
      <c r="X470" s="602"/>
      <c r="Y470" s="602"/>
      <c r="Z470" s="602"/>
      <c r="AA470" s="602"/>
      <c r="AB470" s="602"/>
      <c r="AC470" s="602"/>
      <c r="AD470" s="602"/>
      <c r="AE470" s="602"/>
      <c r="AF470" s="602"/>
      <c r="AG470" s="602"/>
      <c r="AH470" s="602"/>
      <c r="AI470" s="602"/>
      <c r="AJ470" s="602"/>
      <c r="AK470" s="602"/>
      <c r="AL470" s="602"/>
      <c r="AM470" s="602"/>
      <c r="AN470" s="602"/>
      <c r="AO470" s="602"/>
      <c r="AP470" s="602"/>
      <c r="AQ470" s="602"/>
      <c r="AR470" s="602"/>
      <c r="AS470" s="602"/>
      <c r="AT470" s="602"/>
      <c r="AU470" s="602"/>
      <c r="AV470" s="602"/>
      <c r="AW470" s="602"/>
      <c r="AX470" s="602"/>
      <c r="AY470" s="602"/>
      <c r="AZ470" s="602"/>
      <c r="BA470" s="602"/>
    </row>
    <row r="471" spans="2:53">
      <c r="B471" s="602"/>
      <c r="C471" s="602"/>
      <c r="D471" s="602"/>
      <c r="G471" s="602"/>
      <c r="H471" s="602"/>
      <c r="I471" s="602"/>
      <c r="J471" s="602"/>
      <c r="K471" s="602"/>
      <c r="L471" s="602"/>
      <c r="M471" s="602"/>
      <c r="N471" s="602"/>
      <c r="O471" s="602"/>
      <c r="P471" s="602"/>
      <c r="Q471" s="602"/>
      <c r="R471" s="602"/>
      <c r="S471" s="602"/>
      <c r="T471" s="602"/>
      <c r="U471" s="602"/>
      <c r="V471" s="602"/>
      <c r="W471" s="602"/>
      <c r="X471" s="602"/>
      <c r="Y471" s="602"/>
      <c r="Z471" s="602"/>
      <c r="AA471" s="602"/>
      <c r="AB471" s="602"/>
      <c r="AC471" s="602"/>
      <c r="AD471" s="602"/>
      <c r="AE471" s="602"/>
      <c r="AF471" s="602"/>
      <c r="AG471" s="602"/>
      <c r="AH471" s="602"/>
      <c r="AI471" s="602"/>
      <c r="AJ471" s="602"/>
      <c r="AK471" s="602"/>
      <c r="AL471" s="602"/>
      <c r="AM471" s="602"/>
      <c r="AN471" s="602"/>
      <c r="AO471" s="602"/>
      <c r="AP471" s="602"/>
      <c r="AQ471" s="602"/>
      <c r="AR471" s="602"/>
      <c r="AS471" s="602"/>
      <c r="AT471" s="602"/>
      <c r="AU471" s="602"/>
      <c r="AV471" s="602"/>
      <c r="AW471" s="602"/>
      <c r="AX471" s="602"/>
      <c r="AY471" s="602"/>
      <c r="AZ471" s="602"/>
      <c r="BA471" s="602"/>
    </row>
    <row r="472" spans="2:53">
      <c r="B472" s="602"/>
      <c r="C472" s="602"/>
      <c r="D472" s="602"/>
      <c r="G472" s="602"/>
      <c r="H472" s="602"/>
      <c r="I472" s="602"/>
      <c r="J472" s="602"/>
      <c r="K472" s="602"/>
      <c r="L472" s="602"/>
      <c r="M472" s="602"/>
      <c r="N472" s="602"/>
      <c r="O472" s="602"/>
      <c r="P472" s="602"/>
      <c r="Q472" s="602"/>
      <c r="R472" s="602"/>
      <c r="S472" s="602"/>
      <c r="T472" s="602"/>
      <c r="U472" s="602"/>
      <c r="V472" s="602"/>
      <c r="W472" s="602"/>
      <c r="X472" s="602"/>
      <c r="Y472" s="602"/>
      <c r="Z472" s="602"/>
      <c r="AA472" s="602"/>
      <c r="AB472" s="602"/>
      <c r="AC472" s="602"/>
      <c r="AD472" s="602"/>
      <c r="AE472" s="602"/>
      <c r="AF472" s="602"/>
      <c r="AG472" s="602"/>
      <c r="AH472" s="602"/>
      <c r="AI472" s="602"/>
      <c r="AJ472" s="602"/>
      <c r="AK472" s="602"/>
      <c r="AL472" s="602"/>
      <c r="AM472" s="602"/>
      <c r="AN472" s="602"/>
      <c r="AO472" s="602"/>
      <c r="AP472" s="602"/>
      <c r="AQ472" s="602"/>
      <c r="AR472" s="602"/>
      <c r="AS472" s="602"/>
      <c r="AT472" s="602"/>
      <c r="AU472" s="602"/>
      <c r="AV472" s="602"/>
      <c r="AW472" s="602"/>
      <c r="AX472" s="602"/>
      <c r="AY472" s="602"/>
      <c r="AZ472" s="602"/>
      <c r="BA472" s="602"/>
    </row>
    <row r="473" spans="2:53">
      <c r="B473" s="602"/>
      <c r="C473" s="602"/>
      <c r="D473" s="602"/>
      <c r="G473" s="602"/>
      <c r="H473" s="602"/>
      <c r="I473" s="602"/>
      <c r="J473" s="602"/>
      <c r="K473" s="602"/>
      <c r="L473" s="602"/>
      <c r="M473" s="602"/>
      <c r="N473" s="602"/>
      <c r="O473" s="602"/>
      <c r="P473" s="602"/>
      <c r="Q473" s="602"/>
      <c r="R473" s="602"/>
      <c r="S473" s="602"/>
      <c r="T473" s="602"/>
      <c r="U473" s="602"/>
      <c r="V473" s="602"/>
      <c r="W473" s="602"/>
      <c r="X473" s="602"/>
      <c r="Y473" s="602"/>
      <c r="Z473" s="602"/>
      <c r="AA473" s="602"/>
      <c r="AB473" s="602"/>
      <c r="AC473" s="602"/>
      <c r="AD473" s="602"/>
      <c r="AE473" s="602"/>
      <c r="AF473" s="602"/>
      <c r="AG473" s="602"/>
      <c r="AH473" s="602"/>
      <c r="AI473" s="602"/>
      <c r="AJ473" s="602"/>
      <c r="AK473" s="602"/>
      <c r="AL473" s="602"/>
      <c r="AM473" s="602"/>
      <c r="AN473" s="602"/>
      <c r="AO473" s="602"/>
      <c r="AP473" s="602"/>
      <c r="AQ473" s="602"/>
      <c r="AR473" s="602"/>
      <c r="AS473" s="602"/>
      <c r="AT473" s="602"/>
      <c r="AU473" s="602"/>
      <c r="AV473" s="602"/>
      <c r="AW473" s="602"/>
      <c r="AX473" s="602"/>
      <c r="AY473" s="602"/>
      <c r="AZ473" s="602"/>
      <c r="BA473" s="602"/>
    </row>
    <row r="474" spans="2:53">
      <c r="B474" s="602"/>
      <c r="C474" s="602"/>
      <c r="D474" s="602"/>
      <c r="G474" s="602"/>
      <c r="H474" s="602"/>
      <c r="I474" s="602"/>
      <c r="J474" s="602"/>
      <c r="K474" s="602"/>
      <c r="L474" s="602"/>
      <c r="M474" s="602"/>
      <c r="N474" s="602"/>
      <c r="O474" s="602"/>
      <c r="P474" s="602"/>
      <c r="Q474" s="602"/>
      <c r="R474" s="602"/>
      <c r="S474" s="602"/>
      <c r="T474" s="602"/>
      <c r="U474" s="602"/>
      <c r="V474" s="602"/>
      <c r="W474" s="602"/>
      <c r="X474" s="602"/>
      <c r="Y474" s="602"/>
      <c r="Z474" s="602"/>
      <c r="AA474" s="602"/>
      <c r="AB474" s="602"/>
      <c r="AC474" s="602"/>
      <c r="AD474" s="602"/>
      <c r="AE474" s="602"/>
      <c r="AF474" s="602"/>
      <c r="AG474" s="602"/>
      <c r="AH474" s="602"/>
      <c r="AI474" s="602"/>
      <c r="AJ474" s="602"/>
      <c r="AK474" s="602"/>
      <c r="AL474" s="602"/>
      <c r="AM474" s="602"/>
      <c r="AN474" s="602"/>
      <c r="AO474" s="602"/>
      <c r="AP474" s="602"/>
      <c r="AQ474" s="602"/>
      <c r="AR474" s="602"/>
      <c r="AS474" s="602"/>
      <c r="AT474" s="602"/>
      <c r="AU474" s="602"/>
      <c r="AV474" s="602"/>
      <c r="AW474" s="602"/>
      <c r="AX474" s="602"/>
      <c r="AY474" s="602"/>
      <c r="AZ474" s="602"/>
      <c r="BA474" s="602"/>
    </row>
    <row r="475" spans="2:53">
      <c r="B475" s="602"/>
      <c r="C475" s="602"/>
      <c r="D475" s="602"/>
      <c r="G475" s="602"/>
      <c r="H475" s="602"/>
      <c r="I475" s="602"/>
      <c r="J475" s="602"/>
      <c r="K475" s="602"/>
      <c r="L475" s="602"/>
      <c r="M475" s="602"/>
      <c r="N475" s="602"/>
      <c r="O475" s="602"/>
      <c r="P475" s="602"/>
      <c r="Q475" s="602"/>
      <c r="R475" s="602"/>
      <c r="S475" s="602"/>
      <c r="T475" s="602"/>
      <c r="U475" s="602"/>
      <c r="V475" s="602"/>
      <c r="W475" s="602"/>
      <c r="X475" s="602"/>
      <c r="Y475" s="602"/>
      <c r="Z475" s="602"/>
      <c r="AA475" s="602"/>
      <c r="AB475" s="602"/>
      <c r="AC475" s="602"/>
      <c r="AD475" s="602"/>
      <c r="AE475" s="602"/>
      <c r="AF475" s="602"/>
      <c r="AG475" s="602"/>
      <c r="AH475" s="602"/>
      <c r="AI475" s="602"/>
      <c r="AJ475" s="602"/>
      <c r="AK475" s="602"/>
      <c r="AL475" s="602"/>
      <c r="AM475" s="602"/>
      <c r="AN475" s="602"/>
      <c r="AO475" s="602"/>
      <c r="AP475" s="602"/>
      <c r="AQ475" s="602"/>
      <c r="AR475" s="602"/>
      <c r="AS475" s="602"/>
      <c r="AT475" s="602"/>
      <c r="AU475" s="602"/>
      <c r="AV475" s="602"/>
      <c r="AW475" s="602"/>
      <c r="AX475" s="602"/>
      <c r="AY475" s="602"/>
      <c r="AZ475" s="602"/>
      <c r="BA475" s="602"/>
    </row>
    <row r="476" spans="2:53">
      <c r="B476" s="602"/>
      <c r="C476" s="602"/>
      <c r="D476" s="602"/>
      <c r="G476" s="602"/>
      <c r="H476" s="602"/>
      <c r="I476" s="602"/>
      <c r="J476" s="602"/>
      <c r="K476" s="602"/>
      <c r="L476" s="602"/>
      <c r="M476" s="602"/>
      <c r="N476" s="602"/>
      <c r="O476" s="602"/>
      <c r="P476" s="602"/>
      <c r="Q476" s="602"/>
      <c r="R476" s="602"/>
      <c r="S476" s="602"/>
      <c r="T476" s="602"/>
      <c r="U476" s="602"/>
      <c r="V476" s="602"/>
      <c r="W476" s="602"/>
      <c r="X476" s="602"/>
      <c r="Y476" s="602"/>
      <c r="Z476" s="602"/>
      <c r="AA476" s="602"/>
      <c r="AB476" s="602"/>
      <c r="AC476" s="602"/>
      <c r="AD476" s="602"/>
      <c r="AE476" s="602"/>
      <c r="AF476" s="602"/>
      <c r="AG476" s="602"/>
      <c r="AH476" s="602"/>
      <c r="AI476" s="602"/>
      <c r="AJ476" s="602"/>
      <c r="AK476" s="602"/>
      <c r="AL476" s="602"/>
      <c r="AM476" s="602"/>
      <c r="AN476" s="602"/>
      <c r="AO476" s="602"/>
      <c r="AP476" s="602"/>
      <c r="AQ476" s="602"/>
      <c r="AR476" s="602"/>
      <c r="AS476" s="602"/>
      <c r="AT476" s="602"/>
      <c r="AU476" s="602"/>
      <c r="AV476" s="602"/>
      <c r="AW476" s="602"/>
      <c r="AX476" s="602"/>
      <c r="AY476" s="602"/>
      <c r="AZ476" s="602"/>
      <c r="BA476" s="602"/>
    </row>
    <row r="477" spans="2:53">
      <c r="B477" s="602"/>
      <c r="C477" s="602"/>
      <c r="D477" s="602"/>
      <c r="G477" s="602"/>
      <c r="H477" s="602"/>
      <c r="I477" s="602"/>
      <c r="J477" s="602"/>
      <c r="K477" s="602"/>
      <c r="L477" s="602"/>
      <c r="M477" s="602"/>
      <c r="N477" s="602"/>
      <c r="O477" s="602"/>
      <c r="P477" s="602"/>
      <c r="Q477" s="602"/>
      <c r="R477" s="602"/>
      <c r="S477" s="602"/>
      <c r="T477" s="602"/>
      <c r="U477" s="602"/>
      <c r="V477" s="602"/>
      <c r="W477" s="602"/>
      <c r="X477" s="602"/>
      <c r="Y477" s="602"/>
      <c r="Z477" s="602"/>
      <c r="AA477" s="602"/>
      <c r="AB477" s="602"/>
      <c r="AC477" s="602"/>
      <c r="AD477" s="602"/>
      <c r="AE477" s="602"/>
      <c r="AF477" s="602"/>
      <c r="AG477" s="602"/>
      <c r="AH477" s="602"/>
      <c r="AI477" s="602"/>
      <c r="AJ477" s="602"/>
      <c r="AK477" s="602"/>
      <c r="AL477" s="602"/>
      <c r="AM477" s="602"/>
      <c r="AN477" s="602"/>
      <c r="AO477" s="602"/>
      <c r="AP477" s="602"/>
      <c r="AQ477" s="602"/>
      <c r="AR477" s="602"/>
      <c r="AS477" s="602"/>
      <c r="AT477" s="602"/>
      <c r="AU477" s="602"/>
      <c r="AV477" s="602"/>
      <c r="AW477" s="602"/>
      <c r="AX477" s="602"/>
      <c r="AY477" s="602"/>
      <c r="AZ477" s="602"/>
      <c r="BA477" s="602"/>
    </row>
    <row r="478" spans="2:53">
      <c r="B478" s="602"/>
      <c r="C478" s="602"/>
      <c r="D478" s="602"/>
      <c r="G478" s="602"/>
      <c r="H478" s="602"/>
      <c r="I478" s="602"/>
      <c r="J478" s="602"/>
      <c r="K478" s="602"/>
      <c r="L478" s="602"/>
      <c r="M478" s="602"/>
      <c r="N478" s="602"/>
      <c r="O478" s="602"/>
      <c r="P478" s="602"/>
      <c r="Q478" s="602"/>
      <c r="R478" s="602"/>
      <c r="S478" s="602"/>
      <c r="T478" s="602"/>
      <c r="U478" s="602"/>
      <c r="V478" s="602"/>
      <c r="W478" s="602"/>
      <c r="X478" s="602"/>
      <c r="Y478" s="602"/>
      <c r="Z478" s="602"/>
      <c r="AA478" s="602"/>
      <c r="AB478" s="602"/>
      <c r="AC478" s="602"/>
      <c r="AD478" s="602"/>
      <c r="AE478" s="602"/>
      <c r="AF478" s="602"/>
      <c r="AG478" s="602"/>
      <c r="AH478" s="602"/>
      <c r="AI478" s="602"/>
      <c r="AJ478" s="602"/>
      <c r="AK478" s="602"/>
      <c r="AL478" s="602"/>
      <c r="AM478" s="602"/>
      <c r="AN478" s="602"/>
      <c r="AO478" s="602"/>
      <c r="AP478" s="602"/>
      <c r="AQ478" s="602"/>
      <c r="AR478" s="602"/>
      <c r="AS478" s="602"/>
      <c r="AT478" s="602"/>
      <c r="AU478" s="602"/>
      <c r="AV478" s="602"/>
      <c r="AW478" s="602"/>
      <c r="AX478" s="602"/>
      <c r="AY478" s="602"/>
      <c r="AZ478" s="602"/>
      <c r="BA478" s="602"/>
    </row>
    <row r="479" spans="2:53">
      <c r="B479" s="602"/>
      <c r="C479" s="602"/>
      <c r="D479" s="602"/>
      <c r="G479" s="602"/>
      <c r="H479" s="602"/>
      <c r="I479" s="602"/>
      <c r="J479" s="602"/>
      <c r="K479" s="602"/>
      <c r="L479" s="602"/>
      <c r="M479" s="602"/>
      <c r="N479" s="602"/>
      <c r="O479" s="602"/>
      <c r="P479" s="602"/>
      <c r="Q479" s="602"/>
      <c r="R479" s="602"/>
      <c r="S479" s="602"/>
      <c r="T479" s="602"/>
      <c r="U479" s="602"/>
      <c r="V479" s="602"/>
      <c r="W479" s="602"/>
      <c r="X479" s="602"/>
      <c r="Y479" s="602"/>
      <c r="Z479" s="602"/>
      <c r="AA479" s="602"/>
      <c r="AB479" s="602"/>
      <c r="AC479" s="602"/>
      <c r="AD479" s="602"/>
      <c r="AE479" s="602"/>
      <c r="AF479" s="602"/>
      <c r="AG479" s="602"/>
      <c r="AH479" s="602"/>
      <c r="AI479" s="602"/>
      <c r="AJ479" s="602"/>
      <c r="AK479" s="602"/>
      <c r="AL479" s="602"/>
      <c r="AM479" s="602"/>
      <c r="AN479" s="602"/>
      <c r="AO479" s="602"/>
      <c r="AP479" s="602"/>
      <c r="AQ479" s="602"/>
      <c r="AR479" s="602"/>
      <c r="AS479" s="602"/>
      <c r="AT479" s="602"/>
      <c r="AU479" s="602"/>
      <c r="AV479" s="602"/>
      <c r="AW479" s="602"/>
      <c r="AX479" s="602"/>
      <c r="AY479" s="602"/>
      <c r="AZ479" s="602"/>
      <c r="BA479" s="602"/>
    </row>
    <row r="480" spans="2:53">
      <c r="B480" s="602"/>
      <c r="C480" s="602"/>
      <c r="D480" s="602"/>
      <c r="G480" s="602"/>
      <c r="H480" s="602"/>
      <c r="I480" s="602"/>
      <c r="J480" s="602"/>
      <c r="K480" s="602"/>
      <c r="L480" s="602"/>
      <c r="M480" s="602"/>
      <c r="N480" s="602"/>
      <c r="O480" s="602"/>
      <c r="P480" s="602"/>
      <c r="Q480" s="602"/>
      <c r="R480" s="602"/>
      <c r="S480" s="602"/>
      <c r="T480" s="602"/>
      <c r="U480" s="602"/>
      <c r="V480" s="602"/>
      <c r="W480" s="602"/>
      <c r="X480" s="602"/>
      <c r="Y480" s="602"/>
      <c r="Z480" s="602"/>
      <c r="AA480" s="602"/>
      <c r="AB480" s="602"/>
      <c r="AC480" s="602"/>
      <c r="AD480" s="602"/>
      <c r="AE480" s="602"/>
      <c r="AF480" s="602"/>
      <c r="AG480" s="602"/>
      <c r="AH480" s="602"/>
      <c r="AI480" s="602"/>
      <c r="AJ480" s="602"/>
      <c r="AK480" s="602"/>
      <c r="AL480" s="602"/>
      <c r="AM480" s="602"/>
      <c r="AN480" s="602"/>
      <c r="AO480" s="602"/>
      <c r="AP480" s="602"/>
      <c r="AQ480" s="602"/>
      <c r="AR480" s="602"/>
      <c r="AS480" s="602"/>
      <c r="AT480" s="602"/>
      <c r="AU480" s="602"/>
      <c r="AV480" s="602"/>
      <c r="AW480" s="602"/>
      <c r="AX480" s="602"/>
      <c r="AY480" s="602"/>
      <c r="AZ480" s="602"/>
      <c r="BA480" s="602"/>
    </row>
    <row r="481" spans="2:53">
      <c r="B481" s="602"/>
      <c r="C481" s="602"/>
      <c r="D481" s="602"/>
      <c r="G481" s="602"/>
      <c r="H481" s="602"/>
      <c r="I481" s="602"/>
      <c r="J481" s="602"/>
      <c r="K481" s="602"/>
      <c r="L481" s="602"/>
      <c r="M481" s="602"/>
      <c r="N481" s="602"/>
      <c r="O481" s="602"/>
      <c r="P481" s="602"/>
      <c r="Q481" s="602"/>
      <c r="R481" s="602"/>
      <c r="S481" s="602"/>
      <c r="T481" s="602"/>
      <c r="U481" s="602"/>
      <c r="V481" s="602"/>
      <c r="W481" s="602"/>
      <c r="X481" s="602"/>
      <c r="Y481" s="602"/>
      <c r="Z481" s="602"/>
      <c r="AA481" s="602"/>
      <c r="AB481" s="602"/>
      <c r="AC481" s="602"/>
      <c r="AD481" s="602"/>
      <c r="AE481" s="602"/>
      <c r="AF481" s="602"/>
      <c r="AG481" s="602"/>
      <c r="AH481" s="602"/>
      <c r="AI481" s="602"/>
      <c r="AJ481" s="602"/>
      <c r="AK481" s="602"/>
      <c r="AL481" s="602"/>
      <c r="AM481" s="602"/>
      <c r="AN481" s="602"/>
      <c r="AO481" s="602"/>
      <c r="AP481" s="602"/>
      <c r="AQ481" s="602"/>
      <c r="AR481" s="602"/>
      <c r="AS481" s="602"/>
      <c r="AT481" s="602"/>
      <c r="AU481" s="602"/>
      <c r="AV481" s="602"/>
      <c r="AW481" s="602"/>
      <c r="AX481" s="602"/>
      <c r="AY481" s="602"/>
      <c r="AZ481" s="602"/>
      <c r="BA481" s="602"/>
    </row>
    <row r="482" spans="2:53">
      <c r="B482" s="602"/>
      <c r="C482" s="602"/>
      <c r="D482" s="602"/>
      <c r="G482" s="602"/>
      <c r="H482" s="602"/>
      <c r="I482" s="602"/>
      <c r="J482" s="602"/>
      <c r="K482" s="602"/>
      <c r="L482" s="602"/>
      <c r="M482" s="602"/>
      <c r="N482" s="602"/>
      <c r="O482" s="602"/>
      <c r="P482" s="602"/>
      <c r="Q482" s="602"/>
      <c r="R482" s="602"/>
      <c r="S482" s="602"/>
      <c r="T482" s="602"/>
      <c r="U482" s="602"/>
      <c r="V482" s="602"/>
      <c r="W482" s="602"/>
      <c r="X482" s="602"/>
      <c r="Y482" s="602"/>
      <c r="Z482" s="602"/>
      <c r="AA482" s="602"/>
      <c r="AB482" s="602"/>
      <c r="AC482" s="602"/>
      <c r="AD482" s="602"/>
      <c r="AE482" s="602"/>
      <c r="AF482" s="602"/>
      <c r="AG482" s="602"/>
      <c r="AH482" s="602"/>
      <c r="AI482" s="602"/>
      <c r="AJ482" s="602"/>
      <c r="AK482" s="602"/>
      <c r="AL482" s="602"/>
      <c r="AM482" s="602"/>
      <c r="AN482" s="602"/>
      <c r="AO482" s="602"/>
      <c r="AP482" s="602"/>
      <c r="AQ482" s="602"/>
      <c r="AR482" s="602"/>
      <c r="AS482" s="602"/>
      <c r="AT482" s="602"/>
      <c r="AU482" s="602"/>
      <c r="AV482" s="602"/>
      <c r="AW482" s="602"/>
      <c r="AX482" s="602"/>
      <c r="AY482" s="602"/>
      <c r="AZ482" s="602"/>
      <c r="BA482" s="602"/>
    </row>
    <row r="483" spans="2:53">
      <c r="B483" s="602"/>
      <c r="C483" s="602"/>
      <c r="D483" s="602"/>
      <c r="G483" s="602"/>
      <c r="H483" s="602"/>
      <c r="I483" s="602"/>
      <c r="J483" s="602"/>
      <c r="K483" s="602"/>
      <c r="L483" s="602"/>
      <c r="M483" s="602"/>
      <c r="N483" s="602"/>
      <c r="O483" s="602"/>
      <c r="P483" s="602"/>
      <c r="Q483" s="602"/>
      <c r="R483" s="602"/>
      <c r="S483" s="602"/>
      <c r="T483" s="602"/>
      <c r="U483" s="602"/>
      <c r="V483" s="602"/>
      <c r="W483" s="602"/>
      <c r="X483" s="602"/>
      <c r="Y483" s="602"/>
      <c r="Z483" s="602"/>
      <c r="AA483" s="602"/>
      <c r="AB483" s="602"/>
      <c r="AC483" s="602"/>
      <c r="AD483" s="602"/>
      <c r="AE483" s="602"/>
      <c r="AF483" s="602"/>
      <c r="AG483" s="602"/>
      <c r="AH483" s="602"/>
      <c r="AI483" s="602"/>
      <c r="AJ483" s="602"/>
      <c r="AK483" s="602"/>
      <c r="AL483" s="602"/>
      <c r="AM483" s="602"/>
      <c r="AN483" s="602"/>
      <c r="AO483" s="602"/>
      <c r="AP483" s="602"/>
      <c r="AQ483" s="602"/>
      <c r="AR483" s="602"/>
      <c r="AS483" s="602"/>
      <c r="AT483" s="602"/>
      <c r="AU483" s="602"/>
      <c r="AV483" s="602"/>
      <c r="AW483" s="602"/>
      <c r="AX483" s="602"/>
      <c r="AY483" s="602"/>
      <c r="AZ483" s="602"/>
      <c r="BA483" s="602"/>
    </row>
    <row r="484" spans="2:53">
      <c r="B484" s="602"/>
      <c r="C484" s="602"/>
      <c r="D484" s="602"/>
      <c r="G484" s="602"/>
      <c r="H484" s="602"/>
      <c r="I484" s="602"/>
      <c r="J484" s="602"/>
      <c r="K484" s="602"/>
      <c r="L484" s="602"/>
      <c r="M484" s="602"/>
      <c r="N484" s="602"/>
      <c r="O484" s="602"/>
      <c r="P484" s="602"/>
      <c r="Q484" s="602"/>
      <c r="R484" s="602"/>
      <c r="S484" s="602"/>
      <c r="T484" s="602"/>
      <c r="U484" s="602"/>
      <c r="V484" s="602"/>
      <c r="W484" s="602"/>
      <c r="X484" s="602"/>
      <c r="Y484" s="602"/>
      <c r="Z484" s="602"/>
      <c r="AA484" s="602"/>
      <c r="AB484" s="602"/>
      <c r="AC484" s="602"/>
      <c r="AD484" s="602"/>
      <c r="AE484" s="602"/>
      <c r="AF484" s="602"/>
      <c r="AG484" s="602"/>
      <c r="AH484" s="602"/>
      <c r="AI484" s="602"/>
      <c r="AJ484" s="602"/>
      <c r="AK484" s="602"/>
      <c r="AL484" s="602"/>
      <c r="AM484" s="602"/>
      <c r="AN484" s="602"/>
      <c r="AO484" s="602"/>
      <c r="AP484" s="602"/>
      <c r="AQ484" s="602"/>
      <c r="AR484" s="602"/>
      <c r="AS484" s="602"/>
      <c r="AT484" s="602"/>
      <c r="AU484" s="602"/>
      <c r="AV484" s="602"/>
      <c r="AW484" s="602"/>
      <c r="AX484" s="602"/>
      <c r="AY484" s="602"/>
      <c r="AZ484" s="602"/>
      <c r="BA484" s="602"/>
    </row>
    <row r="485" spans="2:53">
      <c r="B485" s="1"/>
      <c r="C485" s="1"/>
      <c r="D485" s="1"/>
      <c r="E485" s="6"/>
      <c r="F485" s="4"/>
    </row>
    <row r="486" spans="2:53">
      <c r="B486" s="1"/>
      <c r="C486" s="1"/>
      <c r="D486" s="1"/>
      <c r="E486" s="6"/>
      <c r="F486" s="4"/>
    </row>
    <row r="487" spans="2:53">
      <c r="B487" s="1"/>
      <c r="C487" s="1"/>
      <c r="D487" s="1"/>
      <c r="E487" s="6"/>
      <c r="F487" s="4"/>
    </row>
    <row r="488" spans="2:53">
      <c r="B488" s="1"/>
      <c r="C488" s="1"/>
      <c r="D488" s="1"/>
      <c r="E488" s="6"/>
      <c r="F488" s="4"/>
    </row>
    <row r="489" spans="2:53">
      <c r="B489" s="1"/>
      <c r="C489" s="1"/>
      <c r="D489" s="1"/>
      <c r="E489" s="6"/>
      <c r="F489" s="4"/>
    </row>
    <row r="490" spans="2:53">
      <c r="B490" s="1"/>
      <c r="C490" s="1"/>
      <c r="D490" s="1"/>
      <c r="E490" s="6"/>
      <c r="F490" s="4"/>
    </row>
    <row r="491" spans="2:53">
      <c r="B491" s="1"/>
      <c r="C491" s="1"/>
      <c r="D491" s="1"/>
      <c r="E491" s="6"/>
      <c r="F491" s="4"/>
    </row>
    <row r="492" spans="2:53">
      <c r="B492" s="1"/>
      <c r="C492" s="1"/>
      <c r="D492" s="1"/>
      <c r="E492" s="6"/>
      <c r="F492" s="4"/>
    </row>
    <row r="493" spans="2:53">
      <c r="B493" s="1"/>
      <c r="C493" s="1"/>
      <c r="D493" s="1"/>
      <c r="E493" s="6"/>
      <c r="F493" s="4"/>
    </row>
    <row r="494" spans="2:53">
      <c r="B494" s="1"/>
      <c r="C494" s="1"/>
      <c r="D494" s="1"/>
      <c r="E494" s="6"/>
      <c r="F494" s="4"/>
    </row>
    <row r="495" spans="2:53">
      <c r="B495" s="1"/>
      <c r="C495" s="1"/>
      <c r="D495" s="1"/>
      <c r="E495" s="6"/>
      <c r="F495" s="4"/>
    </row>
    <row r="496" spans="2:53">
      <c r="B496" s="1"/>
      <c r="C496" s="1"/>
      <c r="D496" s="1"/>
      <c r="E496" s="6"/>
      <c r="F496" s="4"/>
    </row>
    <row r="497" spans="2:6">
      <c r="B497" s="1"/>
      <c r="C497" s="1"/>
      <c r="D497" s="1"/>
      <c r="E497" s="6"/>
      <c r="F497" s="4"/>
    </row>
    <row r="498" spans="2:6">
      <c r="B498" s="1"/>
      <c r="C498" s="1"/>
      <c r="D498" s="1"/>
      <c r="E498" s="6"/>
      <c r="F498" s="4"/>
    </row>
    <row r="499" spans="2:6">
      <c r="B499" s="1"/>
      <c r="C499" s="1"/>
      <c r="D499" s="1"/>
      <c r="E499" s="6"/>
      <c r="F499" s="4"/>
    </row>
    <row r="500" spans="2:6">
      <c r="B500" s="1"/>
      <c r="C500" s="1"/>
      <c r="D500" s="1"/>
      <c r="E500" s="6"/>
      <c r="F500" s="4"/>
    </row>
    <row r="501" spans="2:6">
      <c r="B501" s="1"/>
      <c r="C501" s="1"/>
      <c r="D501" s="1"/>
      <c r="E501" s="6"/>
      <c r="F501" s="4"/>
    </row>
    <row r="502" spans="2:6">
      <c r="B502" s="1"/>
      <c r="C502" s="1"/>
      <c r="D502" s="1"/>
      <c r="E502" s="6"/>
      <c r="F502" s="4"/>
    </row>
    <row r="503" spans="2:6">
      <c r="B503" s="1"/>
      <c r="C503" s="1"/>
      <c r="D503" s="1"/>
      <c r="E503" s="6"/>
      <c r="F503" s="4"/>
    </row>
    <row r="504" spans="2:6">
      <c r="B504" s="1"/>
      <c r="C504" s="1"/>
      <c r="D504" s="1"/>
      <c r="E504" s="6"/>
      <c r="F504" s="4"/>
    </row>
    <row r="505" spans="2:6">
      <c r="B505" s="1"/>
      <c r="C505" s="1"/>
      <c r="D505" s="1"/>
      <c r="E505" s="6"/>
      <c r="F505" s="4"/>
    </row>
    <row r="506" spans="2:6">
      <c r="B506" s="1"/>
      <c r="C506" s="1"/>
      <c r="D506" s="1"/>
      <c r="E506" s="6"/>
      <c r="F506" s="4"/>
    </row>
    <row r="507" spans="2:6">
      <c r="B507" s="1"/>
      <c r="C507" s="1"/>
      <c r="D507" s="1"/>
      <c r="E507" s="6"/>
      <c r="F507" s="4"/>
    </row>
    <row r="508" spans="2:6">
      <c r="B508" s="1"/>
      <c r="C508" s="1"/>
      <c r="D508" s="1"/>
      <c r="E508" s="6"/>
      <c r="F508" s="4"/>
    </row>
    <row r="509" spans="2:6">
      <c r="B509" s="1"/>
      <c r="C509" s="1"/>
      <c r="D509" s="1"/>
      <c r="E509" s="6"/>
      <c r="F509" s="4"/>
    </row>
    <row r="510" spans="2:6">
      <c r="B510" s="1"/>
      <c r="C510" s="1"/>
      <c r="D510" s="1"/>
      <c r="E510" s="6"/>
      <c r="F510" s="4"/>
    </row>
    <row r="511" spans="2:6">
      <c r="B511" s="1"/>
      <c r="C511" s="1"/>
      <c r="D511" s="1"/>
      <c r="E511" s="6"/>
      <c r="F511" s="4"/>
    </row>
    <row r="512" spans="2:6">
      <c r="B512" s="1"/>
      <c r="C512" s="1"/>
      <c r="D512" s="1"/>
      <c r="E512" s="6"/>
      <c r="F512" s="4"/>
    </row>
    <row r="513" spans="2:6">
      <c r="B513" s="1"/>
      <c r="C513" s="1"/>
      <c r="D513" s="1"/>
      <c r="E513" s="6"/>
      <c r="F513" s="4"/>
    </row>
    <row r="514" spans="2:6">
      <c r="B514" s="1"/>
      <c r="C514" s="1"/>
      <c r="D514" s="1"/>
      <c r="E514" s="6"/>
      <c r="F514" s="4"/>
    </row>
    <row r="515" spans="2:6">
      <c r="B515" s="1"/>
      <c r="C515" s="1"/>
      <c r="D515" s="1"/>
      <c r="E515" s="6"/>
      <c r="F515" s="4"/>
    </row>
    <row r="516" spans="2:6">
      <c r="B516" s="1"/>
      <c r="C516" s="1"/>
      <c r="D516" s="1"/>
      <c r="E516" s="6"/>
      <c r="F516" s="4"/>
    </row>
    <row r="517" spans="2:6">
      <c r="B517" s="1"/>
      <c r="C517" s="1"/>
      <c r="D517" s="1"/>
      <c r="E517" s="6"/>
      <c r="F517" s="4"/>
    </row>
    <row r="518" spans="2:6">
      <c r="B518" s="1"/>
      <c r="C518" s="1"/>
      <c r="D518" s="1"/>
      <c r="E518" s="6"/>
      <c r="F518" s="4"/>
    </row>
    <row r="519" spans="2:6">
      <c r="B519" s="1"/>
      <c r="C519" s="1"/>
      <c r="D519" s="1"/>
      <c r="E519" s="6"/>
      <c r="F519" s="4"/>
    </row>
    <row r="520" spans="2:6">
      <c r="B520" s="1"/>
      <c r="C520" s="1"/>
      <c r="D520" s="1"/>
      <c r="E520" s="6"/>
      <c r="F520" s="4"/>
    </row>
    <row r="521" spans="2:6">
      <c r="B521" s="1"/>
      <c r="C521" s="1"/>
      <c r="D521" s="1"/>
      <c r="E521" s="6"/>
      <c r="F521" s="4"/>
    </row>
    <row r="522" spans="2:6">
      <c r="B522" s="1"/>
      <c r="C522" s="1"/>
      <c r="D522" s="1"/>
      <c r="E522" s="6"/>
      <c r="F522" s="4"/>
    </row>
    <row r="523" spans="2:6">
      <c r="B523" s="1"/>
      <c r="C523" s="1"/>
      <c r="D523" s="1"/>
      <c r="E523" s="6"/>
      <c r="F523" s="4"/>
    </row>
    <row r="524" spans="2:6">
      <c r="B524" s="1"/>
      <c r="C524" s="1"/>
      <c r="D524" s="1"/>
      <c r="E524" s="6"/>
      <c r="F524" s="4"/>
    </row>
    <row r="525" spans="2:6">
      <c r="B525" s="1"/>
      <c r="C525" s="1"/>
      <c r="D525" s="1"/>
      <c r="E525" s="6"/>
      <c r="F525" s="4"/>
    </row>
    <row r="526" spans="2:6">
      <c r="B526" s="1"/>
      <c r="C526" s="1"/>
      <c r="D526" s="1"/>
      <c r="E526" s="6"/>
      <c r="F526" s="4"/>
    </row>
    <row r="527" spans="2:6">
      <c r="B527" s="1"/>
      <c r="C527" s="1"/>
      <c r="D527" s="1"/>
      <c r="E527" s="6"/>
      <c r="F527" s="4"/>
    </row>
    <row r="528" spans="2:6">
      <c r="B528" s="1"/>
      <c r="C528" s="1"/>
      <c r="D528" s="1"/>
      <c r="E528" s="6"/>
      <c r="F528" s="4"/>
    </row>
    <row r="529" spans="2:6">
      <c r="B529" s="1"/>
      <c r="C529" s="1"/>
      <c r="D529" s="1"/>
      <c r="E529" s="6"/>
      <c r="F529" s="4"/>
    </row>
    <row r="530" spans="2:6">
      <c r="B530" s="1"/>
      <c r="C530" s="1"/>
      <c r="D530" s="1"/>
      <c r="E530" s="6"/>
      <c r="F530" s="4"/>
    </row>
    <row r="531" spans="2:6">
      <c r="B531" s="1"/>
      <c r="C531" s="1"/>
      <c r="D531" s="1"/>
      <c r="E531" s="6"/>
      <c r="F531" s="4"/>
    </row>
    <row r="532" spans="2:6">
      <c r="B532" s="1"/>
      <c r="C532" s="1"/>
      <c r="D532" s="1"/>
      <c r="E532" s="6"/>
      <c r="F532" s="4"/>
    </row>
    <row r="533" spans="2:6">
      <c r="B533" s="1"/>
      <c r="C533" s="1"/>
      <c r="D533" s="1"/>
      <c r="E533" s="6"/>
      <c r="F533" s="4"/>
    </row>
    <row r="534" spans="2:6">
      <c r="B534" s="1"/>
      <c r="C534" s="1"/>
      <c r="D534" s="1"/>
      <c r="E534" s="6"/>
      <c r="F534" s="4"/>
    </row>
    <row r="535" spans="2:6">
      <c r="B535" s="1"/>
      <c r="C535" s="1"/>
      <c r="D535" s="1"/>
      <c r="E535" s="6"/>
      <c r="F535" s="4"/>
    </row>
    <row r="536" spans="2:6">
      <c r="B536" s="1"/>
      <c r="C536" s="1"/>
      <c r="D536" s="1"/>
      <c r="E536" s="6"/>
      <c r="F536" s="4"/>
    </row>
    <row r="537" spans="2:6">
      <c r="B537" s="1"/>
      <c r="C537" s="1"/>
      <c r="D537" s="1"/>
      <c r="E537" s="6"/>
      <c r="F537" s="4"/>
    </row>
    <row r="538" spans="2:6">
      <c r="B538" s="1"/>
      <c r="C538" s="1"/>
      <c r="D538" s="1"/>
      <c r="E538" s="6"/>
      <c r="F538" s="4"/>
    </row>
    <row r="539" spans="2:6">
      <c r="B539" s="1"/>
      <c r="C539" s="1"/>
      <c r="D539" s="1"/>
      <c r="E539" s="6"/>
      <c r="F539" s="4"/>
    </row>
    <row r="540" spans="2:6">
      <c r="B540" s="1"/>
      <c r="C540" s="1"/>
      <c r="D540" s="1"/>
      <c r="E540" s="6"/>
      <c r="F540" s="4"/>
    </row>
    <row r="541" spans="2:6">
      <c r="B541" s="1"/>
      <c r="C541" s="1"/>
      <c r="D541" s="1"/>
      <c r="E541" s="6"/>
      <c r="F541" s="4"/>
    </row>
    <row r="542" spans="2:6">
      <c r="B542" s="1"/>
      <c r="C542" s="1"/>
      <c r="D542" s="1"/>
      <c r="E542" s="6"/>
      <c r="F542" s="4"/>
    </row>
    <row r="543" spans="2:6">
      <c r="B543" s="1"/>
      <c r="C543" s="1"/>
      <c r="D543" s="1"/>
      <c r="E543" s="6"/>
      <c r="F543" s="4"/>
    </row>
    <row r="544" spans="2:6">
      <c r="B544" s="1"/>
      <c r="C544" s="1"/>
      <c r="D544" s="1"/>
      <c r="E544" s="6"/>
      <c r="F544" s="4"/>
    </row>
    <row r="545" spans="2:6">
      <c r="B545" s="1"/>
      <c r="C545" s="1"/>
      <c r="D545" s="1"/>
      <c r="E545" s="6"/>
      <c r="F545" s="4"/>
    </row>
    <row r="546" spans="2:6">
      <c r="B546" s="1"/>
      <c r="C546" s="1"/>
      <c r="D546" s="1"/>
      <c r="E546" s="6"/>
      <c r="F546" s="4"/>
    </row>
    <row r="547" spans="2:6">
      <c r="B547" s="1"/>
      <c r="C547" s="1"/>
      <c r="D547" s="1"/>
      <c r="E547" s="6"/>
      <c r="F547" s="4"/>
    </row>
    <row r="548" spans="2:6">
      <c r="B548" s="1"/>
      <c r="C548" s="1"/>
      <c r="D548" s="1"/>
      <c r="E548" s="6"/>
      <c r="F548" s="4"/>
    </row>
    <row r="549" spans="2:6">
      <c r="B549" s="1"/>
      <c r="C549" s="1"/>
      <c r="D549" s="1"/>
      <c r="E549" s="6"/>
      <c r="F549" s="4"/>
    </row>
    <row r="550" spans="2:6">
      <c r="B550" s="1"/>
      <c r="C550" s="1"/>
      <c r="D550" s="1"/>
      <c r="E550" s="6"/>
      <c r="F550" s="4"/>
    </row>
    <row r="551" spans="2:6">
      <c r="B551" s="1"/>
      <c r="C551" s="1"/>
      <c r="D551" s="1"/>
      <c r="E551" s="6"/>
      <c r="F551" s="4"/>
    </row>
    <row r="552" spans="2:6">
      <c r="B552" s="1"/>
      <c r="C552" s="1"/>
      <c r="D552" s="1"/>
      <c r="E552" s="6"/>
      <c r="F552" s="4"/>
    </row>
    <row r="553" spans="2:6">
      <c r="B553" s="1"/>
      <c r="C553" s="1"/>
      <c r="D553" s="1"/>
      <c r="E553" s="6"/>
      <c r="F553" s="4"/>
    </row>
    <row r="554" spans="2:6">
      <c r="B554" s="1"/>
      <c r="C554" s="1"/>
      <c r="D554" s="1"/>
      <c r="E554" s="6"/>
      <c r="F554" s="4"/>
    </row>
    <row r="555" spans="2:6">
      <c r="B555" s="1"/>
      <c r="C555" s="1"/>
      <c r="D555" s="1"/>
      <c r="E555" s="6"/>
      <c r="F555" s="4"/>
    </row>
    <row r="556" spans="2:6">
      <c r="B556" s="1"/>
      <c r="C556" s="1"/>
      <c r="D556" s="1"/>
      <c r="E556" s="6"/>
      <c r="F556" s="4"/>
    </row>
    <row r="557" spans="2:6">
      <c r="B557" s="1"/>
      <c r="C557" s="1"/>
      <c r="D557" s="1"/>
      <c r="E557" s="6"/>
      <c r="F557" s="4"/>
    </row>
    <row r="558" spans="2:6">
      <c r="B558" s="1"/>
      <c r="C558" s="1"/>
      <c r="D558" s="1"/>
      <c r="E558" s="6"/>
      <c r="F558" s="4"/>
    </row>
    <row r="559" spans="2:6">
      <c r="B559" s="1"/>
      <c r="C559" s="1"/>
      <c r="D559" s="1"/>
      <c r="E559" s="6"/>
      <c r="F559" s="4"/>
    </row>
    <row r="560" spans="2:6">
      <c r="B560" s="1"/>
      <c r="C560" s="1"/>
      <c r="D560" s="1"/>
      <c r="E560" s="6"/>
      <c r="F560" s="4"/>
    </row>
    <row r="561" spans="2:6">
      <c r="B561" s="1"/>
      <c r="C561" s="1"/>
      <c r="D561" s="1"/>
      <c r="E561" s="6"/>
      <c r="F561" s="4"/>
    </row>
    <row r="562" spans="2:6">
      <c r="B562" s="1"/>
      <c r="C562" s="1"/>
      <c r="D562" s="1"/>
      <c r="E562" s="6"/>
      <c r="F562" s="4"/>
    </row>
    <row r="563" spans="2:6">
      <c r="B563" s="1"/>
      <c r="C563" s="1"/>
      <c r="D563" s="1"/>
      <c r="E563" s="6"/>
      <c r="F563" s="4"/>
    </row>
    <row r="564" spans="2:6">
      <c r="B564" s="1"/>
      <c r="C564" s="1"/>
      <c r="D564" s="1"/>
      <c r="E564" s="6"/>
      <c r="F564" s="4"/>
    </row>
    <row r="565" spans="2:6">
      <c r="B565" s="1"/>
      <c r="C565" s="1"/>
      <c r="D565" s="1"/>
      <c r="E565" s="6"/>
      <c r="F565" s="4"/>
    </row>
    <row r="566" spans="2:6">
      <c r="B566" s="1"/>
      <c r="C566" s="1"/>
      <c r="D566" s="1"/>
      <c r="E566" s="6"/>
      <c r="F566" s="4"/>
    </row>
    <row r="567" spans="2:6">
      <c r="B567" s="1"/>
      <c r="C567" s="1"/>
      <c r="D567" s="1"/>
      <c r="E567" s="6"/>
      <c r="F567" s="4"/>
    </row>
    <row r="568" spans="2:6">
      <c r="B568" s="1"/>
      <c r="C568" s="1"/>
      <c r="D568" s="1"/>
      <c r="E568" s="6"/>
      <c r="F568" s="4"/>
    </row>
    <row r="569" spans="2:6">
      <c r="B569" s="1"/>
      <c r="C569" s="1"/>
      <c r="D569" s="1"/>
      <c r="E569" s="6"/>
      <c r="F569" s="4"/>
    </row>
    <row r="570" spans="2:6">
      <c r="B570" s="1"/>
      <c r="C570" s="1"/>
      <c r="D570" s="1"/>
      <c r="E570" s="6"/>
      <c r="F570" s="4"/>
    </row>
    <row r="571" spans="2:6">
      <c r="B571" s="1"/>
      <c r="C571" s="1"/>
      <c r="D571" s="1"/>
      <c r="E571" s="6"/>
      <c r="F571" s="4"/>
    </row>
    <row r="572" spans="2:6">
      <c r="B572" s="1"/>
      <c r="C572" s="1"/>
      <c r="D572" s="1"/>
      <c r="E572" s="6"/>
      <c r="F572" s="4"/>
    </row>
    <row r="573" spans="2:6">
      <c r="B573" s="1"/>
      <c r="C573" s="1"/>
      <c r="D573" s="1"/>
      <c r="E573" s="6"/>
      <c r="F573" s="4"/>
    </row>
    <row r="574" spans="2:6">
      <c r="B574" s="1"/>
      <c r="C574" s="1"/>
      <c r="D574" s="1"/>
      <c r="E574" s="6"/>
      <c r="F574" s="4"/>
    </row>
    <row r="575" spans="2:6">
      <c r="B575" s="1"/>
      <c r="C575" s="1"/>
      <c r="D575" s="1"/>
      <c r="E575" s="6"/>
      <c r="F575" s="4"/>
    </row>
    <row r="576" spans="2:6">
      <c r="B576" s="1"/>
      <c r="C576" s="1"/>
      <c r="D576" s="1"/>
      <c r="E576" s="6"/>
      <c r="F576" s="4"/>
    </row>
    <row r="577" spans="2:6">
      <c r="B577" s="1"/>
      <c r="C577" s="1"/>
      <c r="D577" s="1"/>
      <c r="E577" s="6"/>
      <c r="F577" s="4"/>
    </row>
    <row r="578" spans="2:6">
      <c r="B578" s="1"/>
      <c r="C578" s="1"/>
      <c r="D578" s="1"/>
      <c r="E578" s="6"/>
      <c r="F578" s="4"/>
    </row>
    <row r="579" spans="2:6">
      <c r="B579" s="1"/>
      <c r="C579" s="1"/>
      <c r="D579" s="1"/>
      <c r="E579" s="6"/>
      <c r="F579" s="4"/>
    </row>
    <row r="580" spans="2:6">
      <c r="B580" s="1"/>
      <c r="C580" s="1"/>
      <c r="D580" s="1"/>
      <c r="E580" s="6"/>
      <c r="F580" s="4"/>
    </row>
    <row r="581" spans="2:6">
      <c r="B581" s="1"/>
      <c r="C581" s="1"/>
      <c r="D581" s="1"/>
      <c r="E581" s="6"/>
      <c r="F581" s="4"/>
    </row>
    <row r="582" spans="2:6">
      <c r="B582" s="1"/>
      <c r="C582" s="1"/>
      <c r="D582" s="1"/>
      <c r="E582" s="6"/>
      <c r="F582" s="4"/>
    </row>
    <row r="583" spans="2:6">
      <c r="B583" s="1"/>
      <c r="C583" s="1"/>
      <c r="D583" s="1"/>
      <c r="E583" s="6"/>
      <c r="F583" s="4"/>
    </row>
    <row r="584" spans="2:6">
      <c r="B584" s="1"/>
      <c r="C584" s="1"/>
      <c r="D584" s="1"/>
      <c r="E584" s="6"/>
      <c r="F584" s="4"/>
    </row>
    <row r="585" spans="2:6">
      <c r="B585" s="1"/>
      <c r="C585" s="1"/>
      <c r="D585" s="1"/>
      <c r="E585" s="6"/>
      <c r="F585" s="4"/>
    </row>
    <row r="586" spans="2:6">
      <c r="B586" s="1"/>
      <c r="C586" s="1"/>
      <c r="D586" s="1"/>
      <c r="E586" s="6"/>
      <c r="F586" s="4"/>
    </row>
    <row r="587" spans="2:6">
      <c r="B587" s="1"/>
      <c r="C587" s="1"/>
      <c r="D587" s="1"/>
      <c r="E587" s="6"/>
      <c r="F587" s="4"/>
    </row>
    <row r="588" spans="2:6">
      <c r="B588" s="1"/>
      <c r="C588" s="1"/>
      <c r="D588" s="1"/>
      <c r="E588" s="6"/>
      <c r="F588" s="4"/>
    </row>
    <row r="589" spans="2:6">
      <c r="B589" s="1"/>
      <c r="C589" s="1"/>
      <c r="D589" s="1"/>
      <c r="E589" s="6"/>
      <c r="F589" s="4"/>
    </row>
    <row r="590" spans="2:6">
      <c r="B590" s="1"/>
      <c r="C590" s="1"/>
      <c r="D590" s="1"/>
      <c r="E590" s="6"/>
      <c r="F590" s="4"/>
    </row>
    <row r="591" spans="2:6">
      <c r="B591" s="1"/>
      <c r="C591" s="1"/>
      <c r="D591" s="1"/>
      <c r="E591" s="6"/>
      <c r="F591" s="4"/>
    </row>
    <row r="592" spans="2:6">
      <c r="B592" s="1"/>
      <c r="C592" s="1"/>
      <c r="D592" s="1"/>
      <c r="E592" s="6"/>
      <c r="F592" s="4"/>
    </row>
    <row r="593" spans="2:6">
      <c r="B593" s="1"/>
      <c r="C593" s="1"/>
      <c r="D593" s="1"/>
      <c r="E593" s="6"/>
      <c r="F593" s="4"/>
    </row>
    <row r="594" spans="2:6">
      <c r="B594" s="1"/>
      <c r="C594" s="1"/>
      <c r="D594" s="1"/>
      <c r="E594" s="6"/>
      <c r="F594" s="4"/>
    </row>
    <row r="595" spans="2:6">
      <c r="B595" s="1"/>
      <c r="C595" s="1"/>
      <c r="D595" s="1"/>
      <c r="E595" s="6"/>
      <c r="F595" s="4"/>
    </row>
    <row r="596" spans="2:6">
      <c r="B596" s="1"/>
      <c r="C596" s="1"/>
      <c r="D596" s="1"/>
      <c r="E596" s="6"/>
      <c r="F596" s="4"/>
    </row>
    <row r="597" spans="2:6">
      <c r="B597" s="1"/>
      <c r="C597" s="1"/>
      <c r="D597" s="1"/>
      <c r="E597" s="6"/>
      <c r="F597" s="4"/>
    </row>
    <row r="598" spans="2:6">
      <c r="B598" s="1"/>
      <c r="C598" s="1"/>
      <c r="D598" s="1"/>
      <c r="E598" s="6"/>
      <c r="F598" s="4"/>
    </row>
    <row r="599" spans="2:6">
      <c r="B599" s="1"/>
      <c r="C599" s="1"/>
      <c r="D599" s="1"/>
      <c r="E599" s="6"/>
      <c r="F599" s="4"/>
    </row>
    <row r="600" spans="2:6">
      <c r="B600" s="1"/>
      <c r="C600" s="1"/>
      <c r="D600" s="1"/>
      <c r="E600" s="6"/>
      <c r="F600" s="4"/>
    </row>
    <row r="601" spans="2:6">
      <c r="B601" s="1"/>
      <c r="C601" s="1"/>
      <c r="D601" s="1"/>
      <c r="E601" s="6"/>
      <c r="F601" s="4"/>
    </row>
    <row r="602" spans="2:6">
      <c r="B602" s="1"/>
      <c r="C602" s="1"/>
      <c r="D602" s="1"/>
      <c r="E602" s="6"/>
      <c r="F602" s="4"/>
    </row>
    <row r="603" spans="2:6">
      <c r="B603" s="1"/>
      <c r="C603" s="1"/>
      <c r="D603" s="1"/>
      <c r="E603" s="6"/>
      <c r="F603" s="4"/>
    </row>
    <row r="604" spans="2:6">
      <c r="B604" s="1"/>
      <c r="C604" s="1"/>
      <c r="D604" s="1"/>
      <c r="E604" s="6"/>
      <c r="F604" s="4"/>
    </row>
    <row r="605" spans="2:6">
      <c r="B605" s="1"/>
      <c r="C605" s="1"/>
      <c r="D605" s="1"/>
      <c r="E605" s="6"/>
      <c r="F605" s="4"/>
    </row>
    <row r="606" spans="2:6">
      <c r="B606" s="1"/>
      <c r="C606" s="1"/>
      <c r="D606" s="1"/>
      <c r="E606" s="6"/>
      <c r="F606" s="4"/>
    </row>
    <row r="607" spans="2:6">
      <c r="B607" s="1"/>
      <c r="C607" s="1"/>
      <c r="D607" s="1"/>
      <c r="E607" s="6"/>
      <c r="F607" s="4"/>
    </row>
    <row r="608" spans="2:6">
      <c r="B608" s="1"/>
      <c r="C608" s="1"/>
      <c r="D608" s="1"/>
      <c r="E608" s="6"/>
      <c r="F608" s="4"/>
    </row>
    <row r="609" spans="2:6">
      <c r="B609" s="1"/>
      <c r="C609" s="1"/>
      <c r="D609" s="1"/>
      <c r="E609" s="6"/>
      <c r="F609" s="4"/>
    </row>
    <row r="610" spans="2:6">
      <c r="B610" s="1"/>
      <c r="C610" s="1"/>
      <c r="D610" s="1"/>
      <c r="E610" s="6"/>
      <c r="F610" s="4"/>
    </row>
    <row r="611" spans="2:6">
      <c r="B611" s="1"/>
      <c r="C611" s="1"/>
      <c r="D611" s="1"/>
      <c r="E611" s="6"/>
      <c r="F611" s="4"/>
    </row>
    <row r="612" spans="2:6">
      <c r="B612" s="1"/>
      <c r="C612" s="1"/>
      <c r="D612" s="1"/>
      <c r="E612" s="6"/>
      <c r="F612" s="4"/>
    </row>
    <row r="613" spans="2:6">
      <c r="B613" s="1"/>
      <c r="C613" s="1"/>
      <c r="D613" s="1"/>
      <c r="E613" s="6"/>
      <c r="F613" s="4"/>
    </row>
    <row r="614" spans="2:6">
      <c r="B614" s="1"/>
      <c r="C614" s="1"/>
      <c r="D614" s="1"/>
      <c r="E614" s="6"/>
      <c r="F614" s="4"/>
    </row>
    <row r="615" spans="2:6">
      <c r="B615" s="1"/>
      <c r="C615" s="1"/>
      <c r="D615" s="1"/>
      <c r="E615" s="6"/>
      <c r="F615" s="4"/>
    </row>
    <row r="616" spans="2:6">
      <c r="B616" s="1"/>
      <c r="C616" s="1"/>
      <c r="D616" s="1"/>
      <c r="E616" s="6"/>
      <c r="F616" s="4"/>
    </row>
    <row r="617" spans="2:6">
      <c r="B617" s="1"/>
      <c r="C617" s="1"/>
      <c r="D617" s="1"/>
      <c r="E617" s="6"/>
      <c r="F617" s="4"/>
    </row>
    <row r="618" spans="2:6">
      <c r="B618" s="1"/>
      <c r="C618" s="1"/>
      <c r="D618" s="1"/>
      <c r="E618" s="6"/>
      <c r="F618" s="4"/>
    </row>
    <row r="619" spans="2:6">
      <c r="B619" s="1"/>
      <c r="C619" s="1"/>
      <c r="D619" s="1"/>
      <c r="E619" s="6"/>
      <c r="F619" s="4"/>
    </row>
    <row r="620" spans="2:6">
      <c r="B620" s="1"/>
      <c r="C620" s="1"/>
      <c r="D620" s="1"/>
      <c r="E620" s="6"/>
      <c r="F620" s="4"/>
    </row>
    <row r="621" spans="2:6">
      <c r="B621" s="1"/>
      <c r="C621" s="1"/>
      <c r="D621" s="1"/>
      <c r="E621" s="6"/>
      <c r="F621" s="4"/>
    </row>
    <row r="622" spans="2:6">
      <c r="B622" s="1"/>
      <c r="C622" s="1"/>
      <c r="D622" s="1"/>
      <c r="E622" s="6"/>
      <c r="F622" s="4"/>
    </row>
    <row r="623" spans="2:6">
      <c r="B623" s="1"/>
      <c r="C623" s="1"/>
      <c r="D623" s="1"/>
      <c r="E623" s="6"/>
      <c r="F623" s="4"/>
    </row>
    <row r="624" spans="2:6">
      <c r="B624" s="1"/>
      <c r="C624" s="1"/>
      <c r="D624" s="1"/>
      <c r="E624" s="6"/>
      <c r="F624" s="4"/>
    </row>
    <row r="625" spans="2:6">
      <c r="B625" s="1"/>
      <c r="C625" s="1"/>
      <c r="D625" s="1"/>
      <c r="E625" s="6"/>
      <c r="F625" s="4"/>
    </row>
    <row r="626" spans="2:6">
      <c r="B626" s="1"/>
      <c r="C626" s="1"/>
      <c r="D626" s="1"/>
      <c r="E626" s="6"/>
      <c r="F626" s="4"/>
    </row>
    <row r="627" spans="2:6">
      <c r="B627" s="1"/>
      <c r="C627" s="1"/>
      <c r="D627" s="1"/>
      <c r="E627" s="6"/>
      <c r="F627" s="4"/>
    </row>
    <row r="628" spans="2:6">
      <c r="B628" s="1"/>
      <c r="C628" s="1"/>
      <c r="D628" s="1"/>
      <c r="E628" s="6"/>
      <c r="F628" s="4"/>
    </row>
    <row r="629" spans="2:6">
      <c r="B629" s="1"/>
      <c r="C629" s="1"/>
      <c r="D629" s="1"/>
      <c r="E629" s="6"/>
      <c r="F629" s="4"/>
    </row>
    <row r="630" spans="2:6">
      <c r="B630" s="1"/>
      <c r="C630" s="1"/>
      <c r="D630" s="1"/>
      <c r="E630" s="6"/>
      <c r="F630" s="4"/>
    </row>
    <row r="631" spans="2:6">
      <c r="B631" s="1"/>
      <c r="C631" s="1"/>
      <c r="D631" s="1"/>
      <c r="E631" s="6"/>
      <c r="F631" s="4"/>
    </row>
    <row r="632" spans="2:6">
      <c r="B632" s="1"/>
      <c r="C632" s="1"/>
      <c r="D632" s="1"/>
      <c r="E632" s="6"/>
      <c r="F632" s="4"/>
    </row>
    <row r="633" spans="2:6">
      <c r="B633" s="1"/>
      <c r="C633" s="1"/>
      <c r="D633" s="1"/>
      <c r="E633" s="6"/>
      <c r="F633" s="4"/>
    </row>
    <row r="634" spans="2:6">
      <c r="B634" s="1"/>
      <c r="C634" s="1"/>
      <c r="D634" s="1"/>
      <c r="E634" s="6"/>
      <c r="F634" s="4"/>
    </row>
    <row r="635" spans="2:6">
      <c r="B635" s="1"/>
      <c r="C635" s="1"/>
      <c r="D635" s="1"/>
      <c r="E635" s="6"/>
      <c r="F635" s="4"/>
    </row>
    <row r="636" spans="2:6">
      <c r="B636" s="1"/>
      <c r="C636" s="1"/>
      <c r="D636" s="1"/>
      <c r="E636" s="6"/>
      <c r="F636" s="4"/>
    </row>
    <row r="637" spans="2:6">
      <c r="B637" s="1"/>
      <c r="C637" s="1"/>
      <c r="D637" s="1"/>
      <c r="E637" s="6"/>
      <c r="F637" s="4"/>
    </row>
    <row r="638" spans="2:6">
      <c r="B638" s="1"/>
      <c r="C638" s="1"/>
      <c r="D638" s="1"/>
      <c r="E638" s="6"/>
      <c r="F638" s="4"/>
    </row>
    <row r="639" spans="2:6">
      <c r="B639" s="1"/>
      <c r="C639" s="1"/>
      <c r="D639" s="1"/>
      <c r="E639" s="6"/>
      <c r="F639" s="4"/>
    </row>
    <row r="640" spans="2:6">
      <c r="B640" s="1"/>
      <c r="C640" s="1"/>
      <c r="D640" s="1"/>
      <c r="E640" s="6"/>
      <c r="F640" s="4"/>
    </row>
    <row r="641" spans="2:6">
      <c r="B641" s="1"/>
      <c r="C641" s="1"/>
      <c r="D641" s="1"/>
      <c r="E641" s="6"/>
      <c r="F641" s="4"/>
    </row>
    <row r="642" spans="2:6">
      <c r="B642" s="1"/>
      <c r="C642" s="1"/>
      <c r="D642" s="1"/>
      <c r="E642" s="6"/>
      <c r="F642" s="4"/>
    </row>
    <row r="643" spans="2:6">
      <c r="B643" s="1"/>
      <c r="C643" s="1"/>
      <c r="D643" s="1"/>
      <c r="E643" s="6"/>
      <c r="F643" s="4"/>
    </row>
    <row r="644" spans="2:6">
      <c r="B644" s="1"/>
      <c r="C644" s="1"/>
      <c r="D644" s="1"/>
      <c r="E644" s="6"/>
      <c r="F644" s="4"/>
    </row>
    <row r="645" spans="2:6">
      <c r="B645" s="1"/>
      <c r="C645" s="1"/>
      <c r="D645" s="1"/>
      <c r="E645" s="6"/>
      <c r="F645" s="4"/>
    </row>
    <row r="646" spans="2:6">
      <c r="B646" s="1"/>
      <c r="C646" s="1"/>
      <c r="D646" s="1"/>
      <c r="E646" s="6"/>
      <c r="F646" s="4"/>
    </row>
    <row r="647" spans="2:6">
      <c r="B647" s="1"/>
      <c r="C647" s="1"/>
      <c r="D647" s="1"/>
      <c r="E647" s="6"/>
      <c r="F647" s="4"/>
    </row>
    <row r="648" spans="2:6">
      <c r="B648" s="1"/>
      <c r="C648" s="1"/>
      <c r="D648" s="1"/>
      <c r="E648" s="6"/>
      <c r="F648" s="4"/>
    </row>
    <row r="649" spans="2:6">
      <c r="B649" s="1"/>
      <c r="C649" s="1"/>
      <c r="D649" s="1"/>
      <c r="E649" s="6"/>
      <c r="F649" s="4"/>
    </row>
    <row r="650" spans="2:6">
      <c r="B650" s="1"/>
      <c r="C650" s="1"/>
      <c r="D650" s="1"/>
      <c r="E650" s="6"/>
      <c r="F650" s="4"/>
    </row>
    <row r="651" spans="2:6">
      <c r="B651" s="1"/>
      <c r="C651" s="1"/>
      <c r="D651" s="1"/>
      <c r="E651" s="6"/>
      <c r="F651" s="4"/>
    </row>
    <row r="652" spans="2:6">
      <c r="B652" s="1"/>
      <c r="C652" s="1"/>
      <c r="D652" s="1"/>
      <c r="E652" s="6"/>
      <c r="F652" s="4"/>
    </row>
    <row r="653" spans="2:6">
      <c r="B653" s="1"/>
      <c r="C653" s="1"/>
      <c r="D653" s="1"/>
      <c r="E653" s="6"/>
      <c r="F653" s="4"/>
    </row>
    <row r="654" spans="2:6">
      <c r="B654" s="1"/>
      <c r="C654" s="1"/>
      <c r="D654" s="1"/>
      <c r="E654" s="6"/>
      <c r="F654" s="4"/>
    </row>
    <row r="655" spans="2:6">
      <c r="B655" s="1"/>
      <c r="C655" s="1"/>
      <c r="D655" s="1"/>
      <c r="E655" s="6"/>
      <c r="F655" s="4"/>
    </row>
    <row r="656" spans="2:6">
      <c r="B656" s="1"/>
      <c r="C656" s="1"/>
      <c r="D656" s="1"/>
      <c r="E656" s="6"/>
      <c r="F656" s="4"/>
    </row>
    <row r="657" spans="2:6">
      <c r="B657" s="1"/>
      <c r="C657" s="1"/>
      <c r="D657" s="1"/>
      <c r="E657" s="6"/>
      <c r="F657" s="4"/>
    </row>
    <row r="658" spans="2:6">
      <c r="B658" s="1"/>
      <c r="C658" s="1"/>
      <c r="D658" s="1"/>
      <c r="E658" s="6"/>
      <c r="F658" s="4"/>
    </row>
    <row r="659" spans="2:6">
      <c r="B659" s="1"/>
      <c r="C659" s="1"/>
      <c r="D659" s="1"/>
      <c r="E659" s="6"/>
      <c r="F659" s="4"/>
    </row>
    <row r="660" spans="2:6">
      <c r="B660" s="1"/>
      <c r="C660" s="1"/>
      <c r="D660" s="1"/>
      <c r="E660" s="6"/>
      <c r="F660" s="4"/>
    </row>
    <row r="661" spans="2:6">
      <c r="B661" s="1"/>
      <c r="C661" s="1"/>
      <c r="D661" s="1"/>
      <c r="E661" s="6"/>
      <c r="F661" s="4"/>
    </row>
    <row r="662" spans="2:6">
      <c r="B662" s="1"/>
      <c r="C662" s="1"/>
      <c r="D662" s="1"/>
      <c r="E662" s="6"/>
      <c r="F662" s="4"/>
    </row>
    <row r="663" spans="2:6">
      <c r="B663" s="1"/>
      <c r="C663" s="1"/>
      <c r="D663" s="1"/>
      <c r="E663" s="6"/>
      <c r="F663" s="4"/>
    </row>
    <row r="664" spans="2:6">
      <c r="B664" s="1"/>
      <c r="C664" s="1"/>
      <c r="D664" s="1"/>
      <c r="E664" s="6"/>
      <c r="F664" s="4"/>
    </row>
    <row r="665" spans="2:6">
      <c r="B665" s="1"/>
      <c r="C665" s="1"/>
      <c r="D665" s="1"/>
      <c r="E665" s="6"/>
      <c r="F665" s="4"/>
    </row>
    <row r="666" spans="2:6">
      <c r="B666" s="1"/>
      <c r="C666" s="1"/>
      <c r="D666" s="1"/>
      <c r="E666" s="6"/>
      <c r="F666" s="4"/>
    </row>
    <row r="667" spans="2:6">
      <c r="B667" s="1"/>
      <c r="C667" s="1"/>
      <c r="D667" s="1"/>
      <c r="E667" s="6"/>
      <c r="F667" s="4"/>
    </row>
    <row r="668" spans="2:6">
      <c r="B668" s="1"/>
      <c r="C668" s="1"/>
      <c r="D668" s="1"/>
      <c r="E668" s="6"/>
      <c r="F668" s="4"/>
    </row>
    <row r="669" spans="2:6">
      <c r="B669" s="1"/>
      <c r="C669" s="1"/>
      <c r="D669" s="1"/>
      <c r="E669" s="6"/>
      <c r="F669" s="4"/>
    </row>
    <row r="670" spans="2:6">
      <c r="B670" s="1"/>
      <c r="C670" s="1"/>
      <c r="D670" s="1"/>
      <c r="E670" s="6"/>
      <c r="F670" s="4"/>
    </row>
    <row r="671" spans="2:6">
      <c r="B671" s="1"/>
      <c r="C671" s="1"/>
      <c r="D671" s="1"/>
      <c r="E671" s="6"/>
      <c r="F671" s="4"/>
    </row>
    <row r="672" spans="2:6">
      <c r="B672" s="1"/>
      <c r="C672" s="1"/>
      <c r="D672" s="1"/>
      <c r="E672" s="6"/>
      <c r="F672" s="4"/>
    </row>
    <row r="673" spans="2:6">
      <c r="B673" s="1"/>
      <c r="C673" s="1"/>
      <c r="D673" s="1"/>
      <c r="E673" s="6"/>
      <c r="F673" s="4"/>
    </row>
    <row r="674" spans="2:6">
      <c r="B674" s="1"/>
      <c r="C674" s="1"/>
      <c r="D674" s="1"/>
      <c r="E674" s="6"/>
      <c r="F674" s="4"/>
    </row>
    <row r="675" spans="2:6">
      <c r="B675" s="1"/>
      <c r="C675" s="1"/>
      <c r="D675" s="1"/>
      <c r="E675" s="6"/>
      <c r="F675" s="4"/>
    </row>
    <row r="676" spans="2:6">
      <c r="B676" s="1"/>
      <c r="C676" s="1"/>
      <c r="D676" s="1"/>
      <c r="E676" s="6"/>
      <c r="F676" s="4"/>
    </row>
    <row r="677" spans="2:6">
      <c r="B677" s="1"/>
      <c r="C677" s="1"/>
      <c r="D677" s="1"/>
      <c r="E677" s="6"/>
      <c r="F677" s="4"/>
    </row>
    <row r="678" spans="2:6">
      <c r="B678" s="1"/>
      <c r="C678" s="1"/>
      <c r="D678" s="1"/>
      <c r="E678" s="6"/>
      <c r="F678" s="4"/>
    </row>
    <row r="679" spans="2:6">
      <c r="B679" s="1"/>
      <c r="C679" s="1"/>
      <c r="D679" s="1"/>
      <c r="E679" s="6"/>
      <c r="F679" s="4"/>
    </row>
    <row r="680" spans="2:6">
      <c r="B680" s="1"/>
      <c r="C680" s="1"/>
      <c r="D680" s="1"/>
      <c r="E680" s="6"/>
      <c r="F680" s="4"/>
    </row>
    <row r="681" spans="2:6">
      <c r="B681" s="1"/>
      <c r="C681" s="1"/>
      <c r="D681" s="1"/>
      <c r="E681" s="6"/>
      <c r="F681" s="4"/>
    </row>
    <row r="682" spans="2:6">
      <c r="B682" s="1"/>
      <c r="C682" s="1"/>
      <c r="D682" s="1"/>
      <c r="E682" s="6"/>
      <c r="F682" s="4"/>
    </row>
    <row r="683" spans="2:6">
      <c r="B683" s="1"/>
      <c r="C683" s="1"/>
      <c r="D683" s="1"/>
      <c r="E683" s="6"/>
      <c r="F683" s="4"/>
    </row>
    <row r="684" spans="2:6">
      <c r="B684" s="1"/>
      <c r="C684" s="1"/>
      <c r="D684" s="1"/>
      <c r="E684" s="6"/>
      <c r="F684" s="4"/>
    </row>
    <row r="685" spans="2:6">
      <c r="B685" s="1"/>
      <c r="C685" s="1"/>
      <c r="D685" s="1"/>
      <c r="E685" s="6"/>
      <c r="F685" s="4"/>
    </row>
    <row r="686" spans="2:6">
      <c r="B686" s="1"/>
      <c r="C686" s="1"/>
      <c r="D686" s="1"/>
      <c r="E686" s="6"/>
      <c r="F686" s="4"/>
    </row>
    <row r="687" spans="2:6">
      <c r="B687" s="1"/>
      <c r="C687" s="1"/>
      <c r="D687" s="1"/>
      <c r="E687" s="6"/>
      <c r="F687" s="4"/>
    </row>
    <row r="688" spans="2:6">
      <c r="B688" s="1"/>
      <c r="C688" s="1"/>
      <c r="D688" s="1"/>
      <c r="E688" s="6"/>
      <c r="F688" s="4"/>
    </row>
    <row r="689" spans="2:6">
      <c r="B689" s="1"/>
      <c r="C689" s="1"/>
      <c r="D689" s="1"/>
      <c r="E689" s="6"/>
      <c r="F689" s="4"/>
    </row>
    <row r="690" spans="2:6">
      <c r="B690" s="1"/>
      <c r="C690" s="1"/>
      <c r="D690" s="1"/>
      <c r="E690" s="6"/>
      <c r="F690" s="4"/>
    </row>
    <row r="691" spans="2:6">
      <c r="B691" s="1"/>
      <c r="C691" s="1"/>
      <c r="D691" s="1"/>
      <c r="E691" s="6"/>
      <c r="F691" s="4"/>
    </row>
    <row r="692" spans="2:6">
      <c r="B692" s="1"/>
      <c r="C692" s="1"/>
      <c r="D692" s="1"/>
      <c r="E692" s="6"/>
      <c r="F692" s="4"/>
    </row>
    <row r="693" spans="2:6">
      <c r="B693" s="1"/>
      <c r="C693" s="1"/>
      <c r="D693" s="1"/>
      <c r="E693" s="6"/>
      <c r="F693" s="4"/>
    </row>
    <row r="694" spans="2:6">
      <c r="B694" s="1"/>
      <c r="C694" s="1"/>
      <c r="D694" s="1"/>
      <c r="E694" s="6"/>
      <c r="F694" s="4"/>
    </row>
    <row r="695" spans="2:6">
      <c r="B695" s="1"/>
      <c r="C695" s="1"/>
      <c r="D695" s="1"/>
      <c r="E695" s="6"/>
      <c r="F695" s="4"/>
    </row>
    <row r="696" spans="2:6">
      <c r="B696" s="1"/>
      <c r="C696" s="1"/>
      <c r="D696" s="1"/>
      <c r="E696" s="6"/>
      <c r="F696" s="4"/>
    </row>
    <row r="697" spans="2:6">
      <c r="B697" s="1"/>
      <c r="C697" s="1"/>
      <c r="D697" s="1"/>
      <c r="E697" s="6"/>
      <c r="F697" s="4"/>
    </row>
    <row r="698" spans="2:6">
      <c r="B698" s="1"/>
      <c r="C698" s="1"/>
      <c r="D698" s="1"/>
      <c r="E698" s="6"/>
      <c r="F698" s="4"/>
    </row>
    <row r="699" spans="2:6">
      <c r="B699" s="1"/>
      <c r="C699" s="1"/>
      <c r="D699" s="1"/>
      <c r="E699" s="6"/>
      <c r="F699" s="4"/>
    </row>
    <row r="700" spans="2:6">
      <c r="B700" s="1"/>
      <c r="C700" s="1"/>
      <c r="D700" s="1"/>
      <c r="E700" s="6"/>
      <c r="F700" s="4"/>
    </row>
    <row r="701" spans="2:6">
      <c r="B701" s="1"/>
      <c r="C701" s="1"/>
      <c r="D701" s="1"/>
      <c r="E701" s="6"/>
      <c r="F701" s="4"/>
    </row>
    <row r="702" spans="2:6">
      <c r="B702" s="1"/>
      <c r="C702" s="1"/>
      <c r="D702" s="1"/>
      <c r="E702" s="6"/>
      <c r="F702" s="4"/>
    </row>
    <row r="703" spans="2:6">
      <c r="B703" s="1"/>
      <c r="C703" s="1"/>
      <c r="D703" s="1"/>
      <c r="E703" s="6"/>
      <c r="F703" s="4"/>
    </row>
    <row r="704" spans="2:6">
      <c r="B704" s="1"/>
      <c r="C704" s="1"/>
      <c r="D704" s="1"/>
      <c r="E704" s="6"/>
      <c r="F704" s="4"/>
    </row>
    <row r="705" spans="2:6">
      <c r="B705" s="1"/>
      <c r="C705" s="1"/>
      <c r="D705" s="1"/>
      <c r="E705" s="6"/>
      <c r="F705" s="4"/>
    </row>
    <row r="706" spans="2:6">
      <c r="B706" s="1"/>
      <c r="C706" s="1"/>
      <c r="D706" s="1"/>
      <c r="E706" s="6"/>
      <c r="F706" s="4"/>
    </row>
    <row r="707" spans="2:6">
      <c r="B707" s="1"/>
      <c r="C707" s="1"/>
      <c r="D707" s="1"/>
      <c r="E707" s="6"/>
      <c r="F707" s="4"/>
    </row>
    <row r="708" spans="2:6">
      <c r="B708" s="1"/>
      <c r="C708" s="1"/>
      <c r="D708" s="1"/>
      <c r="E708" s="6"/>
      <c r="F708" s="4"/>
    </row>
    <row r="709" spans="2:6">
      <c r="B709" s="1"/>
      <c r="C709" s="1"/>
      <c r="D709" s="1"/>
      <c r="E709" s="6"/>
      <c r="F709" s="4"/>
    </row>
    <row r="710" spans="2:6">
      <c r="B710" s="1"/>
      <c r="C710" s="1"/>
      <c r="D710" s="1"/>
      <c r="E710" s="6"/>
      <c r="F710" s="4"/>
    </row>
    <row r="711" spans="2:6">
      <c r="B711" s="1"/>
      <c r="C711" s="1"/>
      <c r="D711" s="1"/>
      <c r="E711" s="6"/>
      <c r="F711" s="4"/>
    </row>
    <row r="712" spans="2:6">
      <c r="B712" s="1"/>
      <c r="C712" s="1"/>
      <c r="D712" s="1"/>
      <c r="E712" s="6"/>
      <c r="F712" s="4"/>
    </row>
    <row r="713" spans="2:6">
      <c r="B713" s="1"/>
      <c r="C713" s="1"/>
      <c r="D713" s="1"/>
      <c r="E713" s="6"/>
      <c r="F713" s="4"/>
    </row>
    <row r="714" spans="2:6">
      <c r="B714" s="1"/>
      <c r="C714" s="1"/>
      <c r="D714" s="1"/>
      <c r="E714" s="6"/>
      <c r="F714" s="4"/>
    </row>
    <row r="715" spans="2:6">
      <c r="B715" s="1"/>
      <c r="C715" s="1"/>
      <c r="D715" s="1"/>
      <c r="E715" s="6"/>
      <c r="F715" s="4"/>
    </row>
    <row r="716" spans="2:6">
      <c r="B716" s="1"/>
      <c r="C716" s="1"/>
      <c r="D716" s="1"/>
      <c r="E716" s="6"/>
      <c r="F716" s="4"/>
    </row>
    <row r="717" spans="2:6">
      <c r="B717" s="1"/>
      <c r="C717" s="1"/>
      <c r="D717" s="1"/>
      <c r="E717" s="6"/>
      <c r="F717" s="4"/>
    </row>
    <row r="718" spans="2:6">
      <c r="B718" s="1"/>
      <c r="C718" s="1"/>
      <c r="D718" s="1"/>
      <c r="E718" s="6"/>
      <c r="F718" s="4"/>
    </row>
    <row r="719" spans="2:6">
      <c r="B719" s="1"/>
      <c r="C719" s="1"/>
      <c r="D719" s="1"/>
      <c r="E719" s="6"/>
      <c r="F719" s="4"/>
    </row>
    <row r="720" spans="2:6">
      <c r="B720" s="1"/>
      <c r="C720" s="1"/>
      <c r="D720" s="1"/>
      <c r="E720" s="6"/>
      <c r="F720" s="4"/>
    </row>
    <row r="721" spans="2:6">
      <c r="B721" s="1"/>
      <c r="C721" s="1"/>
      <c r="D721" s="1"/>
      <c r="E721" s="6"/>
      <c r="F721" s="4"/>
    </row>
    <row r="722" spans="2:6">
      <c r="B722" s="1"/>
      <c r="C722" s="1"/>
      <c r="D722" s="1"/>
      <c r="E722" s="6"/>
      <c r="F722" s="4"/>
    </row>
    <row r="723" spans="2:6">
      <c r="B723" s="1"/>
      <c r="C723" s="1"/>
      <c r="D723" s="1"/>
      <c r="E723" s="6"/>
      <c r="F723" s="4"/>
    </row>
    <row r="724" spans="2:6">
      <c r="B724" s="1"/>
      <c r="C724" s="1"/>
      <c r="D724" s="1"/>
      <c r="E724" s="6"/>
      <c r="F724" s="4"/>
    </row>
    <row r="725" spans="2:6">
      <c r="B725" s="1"/>
      <c r="C725" s="1"/>
      <c r="D725" s="1"/>
      <c r="E725" s="6"/>
      <c r="F725" s="4"/>
    </row>
    <row r="726" spans="2:6">
      <c r="B726" s="1"/>
      <c r="C726" s="1"/>
      <c r="D726" s="1"/>
      <c r="E726" s="6"/>
      <c r="F726" s="4"/>
    </row>
    <row r="727" spans="2:6">
      <c r="B727" s="1"/>
      <c r="C727" s="1"/>
      <c r="D727" s="1"/>
      <c r="E727" s="6"/>
      <c r="F727" s="4"/>
    </row>
    <row r="728" spans="2:6">
      <c r="B728" s="1"/>
      <c r="C728" s="1"/>
      <c r="D728" s="1"/>
      <c r="E728" s="6"/>
      <c r="F728" s="4"/>
    </row>
    <row r="729" spans="2:6">
      <c r="B729" s="1"/>
      <c r="C729" s="1"/>
      <c r="D729" s="1"/>
      <c r="E729" s="6"/>
      <c r="F729" s="4"/>
    </row>
    <row r="730" spans="2:6">
      <c r="B730" s="1"/>
      <c r="C730" s="1"/>
      <c r="D730" s="1"/>
      <c r="E730" s="6"/>
      <c r="F730" s="4"/>
    </row>
    <row r="731" spans="2:6">
      <c r="B731" s="1"/>
      <c r="C731" s="1"/>
      <c r="D731" s="1"/>
      <c r="E731" s="6"/>
      <c r="F731" s="4"/>
    </row>
    <row r="732" spans="2:6">
      <c r="B732" s="1"/>
      <c r="C732" s="1"/>
      <c r="D732" s="1"/>
      <c r="E732" s="6"/>
      <c r="F732" s="4"/>
    </row>
    <row r="733" spans="2:6">
      <c r="B733" s="1"/>
      <c r="C733" s="1"/>
      <c r="D733" s="1"/>
      <c r="E733" s="6"/>
      <c r="F733" s="4"/>
    </row>
    <row r="734" spans="2:6">
      <c r="B734" s="1"/>
      <c r="C734" s="1"/>
      <c r="D734" s="1"/>
      <c r="E734" s="6"/>
      <c r="F734" s="4"/>
    </row>
    <row r="735" spans="2:6">
      <c r="B735" s="1"/>
      <c r="C735" s="1"/>
      <c r="D735" s="1"/>
      <c r="E735" s="6"/>
      <c r="F735" s="4"/>
    </row>
    <row r="736" spans="2:6">
      <c r="B736" s="1"/>
      <c r="C736" s="1"/>
      <c r="D736" s="1"/>
      <c r="E736" s="6"/>
      <c r="F736" s="4"/>
    </row>
    <row r="737" spans="2:6">
      <c r="B737" s="1"/>
      <c r="C737" s="1"/>
      <c r="D737" s="1"/>
      <c r="E737" s="6"/>
      <c r="F737" s="4"/>
    </row>
    <row r="738" spans="2:6">
      <c r="B738" s="1"/>
      <c r="C738" s="1"/>
      <c r="D738" s="1"/>
      <c r="E738" s="6"/>
      <c r="F738" s="4"/>
    </row>
    <row r="739" spans="2:6">
      <c r="B739" s="1"/>
      <c r="C739" s="1"/>
      <c r="D739" s="1"/>
      <c r="E739" s="6"/>
      <c r="F739" s="4"/>
    </row>
    <row r="740" spans="2:6">
      <c r="B740" s="1"/>
      <c r="C740" s="1"/>
      <c r="D740" s="1"/>
      <c r="E740" s="6"/>
      <c r="F740" s="4"/>
    </row>
    <row r="741" spans="2:6">
      <c r="B741" s="1"/>
      <c r="C741" s="1"/>
      <c r="D741" s="1"/>
      <c r="E741" s="6"/>
      <c r="F741" s="4"/>
    </row>
    <row r="742" spans="2:6">
      <c r="B742" s="1"/>
      <c r="C742" s="1"/>
      <c r="D742" s="1"/>
      <c r="E742" s="6"/>
      <c r="F742" s="4"/>
    </row>
    <row r="743" spans="2:6">
      <c r="B743" s="1"/>
      <c r="C743" s="1"/>
      <c r="D743" s="1"/>
      <c r="E743" s="6"/>
      <c r="F743" s="4"/>
    </row>
    <row r="744" spans="2:6">
      <c r="B744" s="1"/>
      <c r="C744" s="1"/>
      <c r="D744" s="1"/>
      <c r="E744" s="6"/>
      <c r="F744" s="4"/>
    </row>
    <row r="745" spans="2:6">
      <c r="B745" s="1"/>
      <c r="C745" s="1"/>
      <c r="D745" s="1"/>
      <c r="E745" s="6"/>
      <c r="F745" s="4"/>
    </row>
    <row r="746" spans="2:6">
      <c r="B746" s="1"/>
      <c r="C746" s="1"/>
      <c r="D746" s="1"/>
      <c r="E746" s="6"/>
      <c r="F746" s="4"/>
    </row>
    <row r="747" spans="2:6">
      <c r="B747" s="1"/>
      <c r="C747" s="1"/>
      <c r="D747" s="1"/>
      <c r="E747" s="6"/>
      <c r="F747" s="4"/>
    </row>
    <row r="748" spans="2:6">
      <c r="B748" s="1"/>
      <c r="C748" s="1"/>
      <c r="D748" s="1"/>
      <c r="E748" s="6"/>
      <c r="F748" s="4"/>
    </row>
    <row r="749" spans="2:6">
      <c r="B749" s="1"/>
      <c r="C749" s="1"/>
      <c r="D749" s="1"/>
      <c r="E749" s="6"/>
      <c r="F749" s="4"/>
    </row>
    <row r="750" spans="2:6">
      <c r="B750" s="1"/>
      <c r="C750" s="1"/>
      <c r="D750" s="1"/>
      <c r="E750" s="6"/>
      <c r="F750" s="4"/>
    </row>
    <row r="751" spans="2:6">
      <c r="B751" s="1"/>
      <c r="C751" s="1"/>
      <c r="D751" s="1"/>
      <c r="E751" s="6"/>
      <c r="F751" s="4"/>
    </row>
    <row r="752" spans="2:6">
      <c r="B752" s="1"/>
      <c r="C752" s="1"/>
      <c r="D752" s="1"/>
      <c r="E752" s="6"/>
      <c r="F752" s="4"/>
    </row>
    <row r="753" spans="2:6">
      <c r="B753" s="1"/>
      <c r="C753" s="1"/>
      <c r="D753" s="1"/>
      <c r="E753" s="6"/>
      <c r="F753" s="4"/>
    </row>
    <row r="754" spans="2:6">
      <c r="B754" s="1"/>
      <c r="C754" s="1"/>
      <c r="D754" s="1"/>
      <c r="E754" s="6"/>
      <c r="F754" s="4"/>
    </row>
    <row r="755" spans="2:6">
      <c r="B755" s="1"/>
      <c r="C755" s="1"/>
      <c r="D755" s="1"/>
      <c r="E755" s="6"/>
      <c r="F755" s="4"/>
    </row>
    <row r="756" spans="2:6">
      <c r="B756" s="1"/>
      <c r="C756" s="1"/>
      <c r="D756" s="1"/>
      <c r="E756" s="6"/>
      <c r="F756" s="4"/>
    </row>
    <row r="757" spans="2:6">
      <c r="B757" s="1"/>
      <c r="C757" s="1"/>
      <c r="D757" s="1"/>
      <c r="E757" s="6"/>
      <c r="F757" s="4"/>
    </row>
    <row r="758" spans="2:6">
      <c r="B758" s="1"/>
      <c r="C758" s="1"/>
      <c r="D758" s="1"/>
      <c r="E758" s="6"/>
      <c r="F758" s="4"/>
    </row>
    <row r="759" spans="2:6">
      <c r="B759" s="1"/>
      <c r="C759" s="1"/>
      <c r="D759" s="1"/>
      <c r="E759" s="6"/>
      <c r="F759" s="4"/>
    </row>
    <row r="760" spans="2:6">
      <c r="B760" s="1"/>
      <c r="C760" s="1"/>
      <c r="D760" s="1"/>
      <c r="E760" s="6"/>
      <c r="F760" s="4"/>
    </row>
    <row r="761" spans="2:6">
      <c r="B761" s="1"/>
      <c r="C761" s="1"/>
      <c r="D761" s="1"/>
      <c r="E761" s="6"/>
      <c r="F761" s="4"/>
    </row>
    <row r="762" spans="2:6">
      <c r="B762" s="1"/>
      <c r="C762" s="1"/>
      <c r="D762" s="1"/>
      <c r="E762" s="6"/>
      <c r="F762" s="4"/>
    </row>
    <row r="763" spans="2:6">
      <c r="B763" s="1"/>
      <c r="C763" s="1"/>
      <c r="D763" s="1"/>
      <c r="E763" s="6"/>
      <c r="F763" s="4"/>
    </row>
    <row r="764" spans="2:6">
      <c r="B764" s="1"/>
      <c r="C764" s="1"/>
      <c r="D764" s="1"/>
      <c r="E764" s="6"/>
      <c r="F764" s="4"/>
    </row>
    <row r="765" spans="2:6">
      <c r="B765" s="1"/>
      <c r="C765" s="1"/>
      <c r="D765" s="1"/>
      <c r="E765" s="6"/>
      <c r="F765" s="4"/>
    </row>
    <row r="766" spans="2:6">
      <c r="B766" s="1"/>
      <c r="C766" s="1"/>
      <c r="D766" s="1"/>
      <c r="E766" s="6"/>
      <c r="F766" s="4"/>
    </row>
    <row r="767" spans="2:6">
      <c r="B767" s="1"/>
      <c r="C767" s="1"/>
      <c r="D767" s="1"/>
      <c r="E767" s="6"/>
      <c r="F767" s="4"/>
    </row>
    <row r="768" spans="2:6">
      <c r="B768" s="1"/>
      <c r="C768" s="1"/>
      <c r="D768" s="1"/>
      <c r="E768" s="6"/>
      <c r="F768" s="4"/>
    </row>
    <row r="769" spans="2:6">
      <c r="B769" s="1"/>
      <c r="C769" s="1"/>
      <c r="D769" s="1"/>
      <c r="E769" s="6"/>
      <c r="F769" s="4"/>
    </row>
    <row r="770" spans="2:6">
      <c r="B770" s="1"/>
      <c r="C770" s="1"/>
      <c r="D770" s="1"/>
      <c r="E770" s="6"/>
      <c r="F770" s="4"/>
    </row>
    <row r="771" spans="2:6">
      <c r="B771" s="1"/>
      <c r="C771" s="1"/>
      <c r="D771" s="1"/>
      <c r="E771" s="6"/>
      <c r="F771" s="4"/>
    </row>
    <row r="772" spans="2:6">
      <c r="B772" s="1"/>
      <c r="C772" s="1"/>
      <c r="D772" s="1"/>
      <c r="E772" s="6"/>
      <c r="F772" s="4"/>
    </row>
    <row r="773" spans="2:6">
      <c r="B773" s="1"/>
      <c r="C773" s="1"/>
      <c r="D773" s="1"/>
      <c r="E773" s="6"/>
      <c r="F773" s="4"/>
    </row>
    <row r="774" spans="2:6">
      <c r="B774" s="1"/>
      <c r="C774" s="1"/>
      <c r="D774" s="1"/>
      <c r="E774" s="6"/>
      <c r="F774" s="4"/>
    </row>
    <row r="775" spans="2:6">
      <c r="B775" s="1"/>
      <c r="C775" s="1"/>
      <c r="D775" s="1"/>
      <c r="E775" s="6"/>
      <c r="F775" s="4"/>
    </row>
    <row r="776" spans="2:6">
      <c r="B776" s="1"/>
      <c r="C776" s="1"/>
      <c r="D776" s="1"/>
      <c r="E776" s="6"/>
      <c r="F776" s="4"/>
    </row>
    <row r="777" spans="2:6">
      <c r="B777" s="1"/>
      <c r="C777" s="1"/>
      <c r="D777" s="1"/>
      <c r="E777" s="6"/>
      <c r="F777" s="4"/>
    </row>
    <row r="778" spans="2:6">
      <c r="B778" s="1"/>
      <c r="C778" s="1"/>
      <c r="D778" s="1"/>
      <c r="E778" s="6"/>
      <c r="F778" s="4"/>
    </row>
    <row r="779" spans="2:6">
      <c r="B779" s="1"/>
      <c r="C779" s="1"/>
      <c r="D779" s="1"/>
      <c r="E779" s="6"/>
      <c r="F779" s="4"/>
    </row>
    <row r="780" spans="2:6">
      <c r="B780" s="1"/>
      <c r="C780" s="1"/>
      <c r="D780" s="1"/>
      <c r="E780" s="6"/>
      <c r="F780" s="4"/>
    </row>
    <row r="781" spans="2:6">
      <c r="B781" s="1"/>
      <c r="C781" s="1"/>
      <c r="D781" s="1"/>
      <c r="E781" s="6"/>
      <c r="F781" s="4"/>
    </row>
    <row r="782" spans="2:6">
      <c r="B782" s="1"/>
      <c r="C782" s="1"/>
      <c r="D782" s="1"/>
      <c r="E782" s="6"/>
      <c r="F782" s="4"/>
    </row>
    <row r="783" spans="2:6">
      <c r="B783" s="1"/>
      <c r="C783" s="1"/>
      <c r="D783" s="1"/>
      <c r="E783" s="6"/>
      <c r="F783" s="4"/>
    </row>
    <row r="784" spans="2:6">
      <c r="B784" s="1"/>
      <c r="C784" s="1"/>
      <c r="D784" s="1"/>
      <c r="E784" s="6"/>
      <c r="F784" s="4"/>
    </row>
    <row r="785" spans="2:6">
      <c r="B785" s="1"/>
      <c r="C785" s="1"/>
      <c r="D785" s="1"/>
      <c r="E785" s="6"/>
      <c r="F785" s="4"/>
    </row>
    <row r="786" spans="2:6">
      <c r="B786" s="1"/>
      <c r="C786" s="1"/>
      <c r="D786" s="1"/>
      <c r="E786" s="6"/>
      <c r="F786" s="4"/>
    </row>
    <row r="787" spans="2:6">
      <c r="B787" s="1"/>
      <c r="C787" s="1"/>
      <c r="D787" s="1"/>
      <c r="E787" s="6"/>
      <c r="F787" s="4"/>
    </row>
    <row r="788" spans="2:6">
      <c r="B788" s="1"/>
      <c r="C788" s="1"/>
      <c r="D788" s="1"/>
      <c r="E788" s="6"/>
      <c r="F788" s="4"/>
    </row>
    <row r="789" spans="2:6">
      <c r="B789" s="1"/>
      <c r="C789" s="1"/>
      <c r="D789" s="1"/>
      <c r="E789" s="6"/>
      <c r="F789" s="4"/>
    </row>
    <row r="790" spans="2:6">
      <c r="B790" s="1"/>
      <c r="C790" s="1"/>
      <c r="D790" s="1"/>
      <c r="E790" s="6"/>
      <c r="F790" s="4"/>
    </row>
    <row r="791" spans="2:6">
      <c r="B791" s="1"/>
      <c r="C791" s="1"/>
      <c r="D791" s="1"/>
      <c r="E791" s="6"/>
      <c r="F791" s="4"/>
    </row>
    <row r="792" spans="2:6">
      <c r="B792" s="1"/>
      <c r="C792" s="1"/>
      <c r="D792" s="1"/>
      <c r="E792" s="6"/>
      <c r="F792" s="4"/>
    </row>
    <row r="793" spans="2:6">
      <c r="B793" s="1"/>
      <c r="C793" s="1"/>
      <c r="D793" s="1"/>
      <c r="E793" s="6"/>
      <c r="F793" s="4"/>
    </row>
    <row r="794" spans="2:6">
      <c r="B794" s="1"/>
      <c r="C794" s="1"/>
      <c r="D794" s="1"/>
      <c r="E794" s="6"/>
      <c r="F794" s="4"/>
    </row>
    <row r="795" spans="2:6">
      <c r="B795" s="1"/>
      <c r="C795" s="1"/>
      <c r="D795" s="1"/>
      <c r="E795" s="6"/>
      <c r="F795" s="4"/>
    </row>
    <row r="796" spans="2:6">
      <c r="B796" s="1"/>
      <c r="C796" s="1"/>
      <c r="D796" s="1"/>
      <c r="E796" s="6"/>
      <c r="F796" s="4"/>
    </row>
    <row r="797" spans="2:6">
      <c r="B797" s="1"/>
      <c r="C797" s="1"/>
      <c r="D797" s="1"/>
      <c r="E797" s="6"/>
      <c r="F797" s="4"/>
    </row>
    <row r="798" spans="2:6">
      <c r="B798" s="1"/>
      <c r="C798" s="1"/>
      <c r="D798" s="1"/>
      <c r="E798" s="6"/>
      <c r="F798" s="4"/>
    </row>
    <row r="799" spans="2:6">
      <c r="B799" s="1"/>
      <c r="C799" s="1"/>
      <c r="D799" s="1"/>
      <c r="E799" s="6"/>
      <c r="F799" s="4"/>
    </row>
    <row r="800" spans="2:6">
      <c r="B800" s="1"/>
      <c r="C800" s="1"/>
      <c r="D800" s="1"/>
      <c r="E800" s="6"/>
      <c r="F800" s="4"/>
    </row>
    <row r="801" spans="2:6">
      <c r="B801" s="1"/>
      <c r="C801" s="1"/>
      <c r="D801" s="1"/>
      <c r="E801" s="6"/>
      <c r="F801" s="4"/>
    </row>
    <row r="802" spans="2:6">
      <c r="B802" s="1"/>
      <c r="C802" s="1"/>
      <c r="D802" s="1"/>
      <c r="E802" s="6"/>
      <c r="F802" s="4"/>
    </row>
    <row r="803" spans="2:6">
      <c r="B803" s="1"/>
      <c r="C803" s="1"/>
      <c r="D803" s="1"/>
      <c r="E803" s="6"/>
      <c r="F803" s="4"/>
    </row>
    <row r="804" spans="2:6">
      <c r="B804" s="1"/>
      <c r="C804" s="1"/>
      <c r="D804" s="1"/>
      <c r="E804" s="6"/>
      <c r="F804" s="4"/>
    </row>
    <row r="805" spans="2:6">
      <c r="B805" s="1"/>
      <c r="C805" s="1"/>
      <c r="D805" s="1"/>
      <c r="E805" s="6"/>
      <c r="F805" s="4"/>
    </row>
    <row r="806" spans="2:6">
      <c r="B806" s="1"/>
      <c r="C806" s="1"/>
      <c r="D806" s="1"/>
      <c r="E806" s="6"/>
      <c r="F806" s="4"/>
    </row>
    <row r="807" spans="2:6">
      <c r="B807" s="1"/>
      <c r="C807" s="1"/>
      <c r="D807" s="1"/>
      <c r="E807" s="6"/>
      <c r="F807" s="4"/>
    </row>
    <row r="808" spans="2:6">
      <c r="B808" s="1"/>
      <c r="C808" s="1"/>
      <c r="D808" s="1"/>
      <c r="E808" s="6"/>
      <c r="F808" s="4"/>
    </row>
    <row r="809" spans="2:6">
      <c r="B809" s="1"/>
      <c r="C809" s="1"/>
      <c r="D809" s="1"/>
      <c r="E809" s="6"/>
      <c r="F809" s="4"/>
    </row>
    <row r="810" spans="2:6">
      <c r="B810" s="1"/>
      <c r="C810" s="1"/>
      <c r="D810" s="1"/>
      <c r="E810" s="6"/>
      <c r="F810" s="4"/>
    </row>
    <row r="811" spans="2:6">
      <c r="B811" s="1"/>
      <c r="C811" s="1"/>
      <c r="D811" s="1"/>
      <c r="E811" s="6"/>
      <c r="F811" s="4"/>
    </row>
    <row r="812" spans="2:6">
      <c r="B812" s="1"/>
      <c r="C812" s="1"/>
      <c r="D812" s="1"/>
      <c r="E812" s="6"/>
      <c r="F812" s="4"/>
    </row>
    <row r="813" spans="2:6">
      <c r="B813" s="1"/>
      <c r="C813" s="1"/>
      <c r="D813" s="1"/>
      <c r="E813" s="6"/>
      <c r="F813" s="4"/>
    </row>
    <row r="814" spans="2:6">
      <c r="B814" s="1"/>
      <c r="C814" s="1"/>
      <c r="D814" s="1"/>
      <c r="E814" s="6"/>
      <c r="F814" s="4"/>
    </row>
    <row r="815" spans="2:6">
      <c r="B815" s="1"/>
      <c r="C815" s="1"/>
      <c r="D815" s="1"/>
      <c r="E815" s="6"/>
      <c r="F815" s="4"/>
    </row>
    <row r="816" spans="2:6">
      <c r="B816" s="1"/>
      <c r="C816" s="1"/>
      <c r="D816" s="1"/>
      <c r="E816" s="6"/>
      <c r="F816" s="4"/>
    </row>
    <row r="817" spans="2:6">
      <c r="B817" s="1"/>
      <c r="C817" s="1"/>
      <c r="D817" s="1"/>
      <c r="E817" s="6"/>
      <c r="F817" s="4"/>
    </row>
    <row r="818" spans="2:6">
      <c r="B818" s="1"/>
      <c r="C818" s="1"/>
      <c r="D818" s="1"/>
      <c r="E818" s="6"/>
      <c r="F818" s="4"/>
    </row>
    <row r="819" spans="2:6">
      <c r="B819" s="1"/>
      <c r="C819" s="1"/>
      <c r="D819" s="1"/>
      <c r="E819" s="6"/>
      <c r="F819" s="4"/>
    </row>
    <row r="820" spans="2:6">
      <c r="B820" s="1"/>
      <c r="C820" s="1"/>
      <c r="D820" s="1"/>
      <c r="E820" s="6"/>
      <c r="F820" s="4"/>
    </row>
    <row r="821" spans="2:6">
      <c r="B821" s="1"/>
      <c r="C821" s="1"/>
      <c r="D821" s="1"/>
      <c r="E821" s="6"/>
      <c r="F821" s="4"/>
    </row>
    <row r="822" spans="2:6">
      <c r="B822" s="1"/>
      <c r="C822" s="1"/>
      <c r="D822" s="1"/>
      <c r="E822" s="6"/>
      <c r="F822" s="4"/>
    </row>
    <row r="823" spans="2:6">
      <c r="B823" s="1"/>
      <c r="C823" s="1"/>
      <c r="D823" s="1"/>
      <c r="E823" s="6"/>
      <c r="F823" s="4"/>
    </row>
    <row r="824" spans="2:6">
      <c r="B824" s="1"/>
      <c r="C824" s="1"/>
      <c r="D824" s="1"/>
      <c r="E824" s="6"/>
      <c r="F824" s="4"/>
    </row>
    <row r="825" spans="2:6">
      <c r="B825" s="1"/>
      <c r="C825" s="1"/>
      <c r="D825" s="1"/>
      <c r="E825" s="6"/>
      <c r="F825" s="4"/>
    </row>
    <row r="826" spans="2:6">
      <c r="B826" s="1"/>
      <c r="C826" s="1"/>
      <c r="D826" s="1"/>
      <c r="E826" s="6"/>
      <c r="F826" s="4"/>
    </row>
    <row r="827" spans="2:6">
      <c r="B827" s="1"/>
      <c r="C827" s="1"/>
      <c r="D827" s="1"/>
      <c r="E827" s="6"/>
      <c r="F827" s="4"/>
    </row>
    <row r="828" spans="2:6">
      <c r="B828" s="1"/>
      <c r="C828" s="1"/>
      <c r="D828" s="1"/>
      <c r="E828" s="6"/>
      <c r="F828" s="4"/>
    </row>
    <row r="829" spans="2:6">
      <c r="B829" s="1"/>
      <c r="C829" s="1"/>
      <c r="D829" s="1"/>
      <c r="E829" s="6"/>
      <c r="F829" s="4"/>
    </row>
    <row r="830" spans="2:6">
      <c r="B830" s="1"/>
      <c r="C830" s="1"/>
      <c r="D830" s="1"/>
      <c r="E830" s="6"/>
      <c r="F830" s="4"/>
    </row>
    <row r="831" spans="2:6">
      <c r="B831" s="1"/>
      <c r="C831" s="1"/>
      <c r="D831" s="1"/>
      <c r="E831" s="6"/>
      <c r="F831" s="4"/>
    </row>
    <row r="832" spans="2:6">
      <c r="B832" s="1"/>
      <c r="C832" s="1"/>
      <c r="D832" s="1"/>
      <c r="E832" s="6"/>
      <c r="F832" s="4"/>
    </row>
    <row r="833" spans="2:6">
      <c r="B833" s="1"/>
      <c r="C833" s="1"/>
      <c r="D833" s="1"/>
      <c r="E833" s="6"/>
      <c r="F833" s="4"/>
    </row>
    <row r="834" spans="2:6">
      <c r="B834" s="1"/>
      <c r="C834" s="1"/>
      <c r="D834" s="1"/>
      <c r="E834" s="6"/>
      <c r="F834" s="4"/>
    </row>
    <row r="835" spans="2:6">
      <c r="B835" s="1"/>
      <c r="C835" s="1"/>
      <c r="D835" s="1"/>
      <c r="E835" s="6"/>
      <c r="F835" s="4"/>
    </row>
    <row r="836" spans="2:6">
      <c r="B836" s="1"/>
      <c r="C836" s="1"/>
      <c r="D836" s="1"/>
      <c r="E836" s="6"/>
      <c r="F836" s="4"/>
    </row>
    <row r="837" spans="2:6">
      <c r="B837" s="1"/>
      <c r="C837" s="1"/>
      <c r="D837" s="1"/>
      <c r="E837" s="6"/>
      <c r="F837" s="4"/>
    </row>
    <row r="838" spans="2:6">
      <c r="B838" s="1"/>
      <c r="C838" s="1"/>
      <c r="D838" s="1"/>
      <c r="E838" s="6"/>
      <c r="F838" s="4"/>
    </row>
    <row r="839" spans="2:6">
      <c r="B839" s="1"/>
      <c r="C839" s="1"/>
      <c r="D839" s="1"/>
      <c r="E839" s="6"/>
      <c r="F839" s="4"/>
    </row>
    <row r="840" spans="2:6">
      <c r="B840" s="1"/>
      <c r="C840" s="1"/>
      <c r="D840" s="1"/>
      <c r="E840" s="6"/>
      <c r="F840" s="4"/>
    </row>
    <row r="841" spans="2:6">
      <c r="B841" s="1"/>
      <c r="C841" s="1"/>
      <c r="D841" s="1"/>
      <c r="E841" s="6"/>
      <c r="F841" s="4"/>
    </row>
    <row r="842" spans="2:6">
      <c r="B842" s="1"/>
      <c r="C842" s="1"/>
      <c r="D842" s="1"/>
      <c r="E842" s="6"/>
      <c r="F842" s="4"/>
    </row>
    <row r="843" spans="2:6">
      <c r="B843" s="1"/>
      <c r="C843" s="1"/>
      <c r="D843" s="1"/>
      <c r="E843" s="6"/>
      <c r="F843" s="4"/>
    </row>
    <row r="844" spans="2:6">
      <c r="B844" s="1"/>
      <c r="C844" s="1"/>
      <c r="D844" s="1"/>
      <c r="E844" s="6"/>
      <c r="F844" s="4"/>
    </row>
    <row r="845" spans="2:6">
      <c r="B845" s="1"/>
      <c r="C845" s="1"/>
      <c r="D845" s="1"/>
      <c r="E845" s="6"/>
      <c r="F845" s="4"/>
    </row>
    <row r="846" spans="2:6">
      <c r="B846" s="1"/>
      <c r="C846" s="1"/>
      <c r="D846" s="1"/>
      <c r="E846" s="6"/>
      <c r="F846" s="4"/>
    </row>
    <row r="847" spans="2:6">
      <c r="B847" s="1"/>
      <c r="C847" s="1"/>
      <c r="D847" s="1"/>
      <c r="E847" s="6"/>
      <c r="F847" s="4"/>
    </row>
    <row r="848" spans="2:6">
      <c r="B848" s="1"/>
      <c r="C848" s="1"/>
      <c r="D848" s="1"/>
      <c r="E848" s="6"/>
      <c r="F848" s="4"/>
    </row>
    <row r="849" spans="2:6">
      <c r="B849" s="1"/>
      <c r="C849" s="1"/>
      <c r="D849" s="1"/>
      <c r="E849" s="6"/>
      <c r="F849" s="4"/>
    </row>
    <row r="850" spans="2:6">
      <c r="B850" s="1"/>
      <c r="C850" s="1"/>
      <c r="D850" s="1"/>
      <c r="E850" s="6"/>
      <c r="F850" s="4"/>
    </row>
    <row r="851" spans="2:6">
      <c r="B851" s="1"/>
      <c r="C851" s="1"/>
      <c r="D851" s="1"/>
      <c r="E851" s="6"/>
      <c r="F851" s="4"/>
    </row>
    <row r="852" spans="2:6">
      <c r="B852" s="1"/>
      <c r="C852" s="1"/>
      <c r="D852" s="1"/>
      <c r="E852" s="6"/>
      <c r="F852" s="4"/>
    </row>
    <row r="853" spans="2:6">
      <c r="B853" s="1"/>
      <c r="C853" s="1"/>
      <c r="D853" s="1"/>
      <c r="E853" s="6"/>
      <c r="F853" s="4"/>
    </row>
    <row r="854" spans="2:6">
      <c r="B854" s="1"/>
      <c r="C854" s="1"/>
      <c r="D854" s="1"/>
      <c r="E854" s="6"/>
      <c r="F854" s="4"/>
    </row>
    <row r="855" spans="2:6">
      <c r="B855" s="1"/>
      <c r="C855" s="1"/>
      <c r="D855" s="1"/>
      <c r="E855" s="6"/>
      <c r="F855" s="4"/>
    </row>
    <row r="856" spans="2:6">
      <c r="B856" s="1"/>
      <c r="C856" s="1"/>
      <c r="D856" s="1"/>
      <c r="E856" s="6"/>
      <c r="F856" s="4"/>
    </row>
    <row r="857" spans="2:6">
      <c r="B857" s="1"/>
      <c r="C857" s="1"/>
      <c r="D857" s="1"/>
      <c r="E857" s="6"/>
      <c r="F857" s="4"/>
    </row>
    <row r="858" spans="2:6">
      <c r="B858" s="1"/>
      <c r="C858" s="1"/>
      <c r="D858" s="1"/>
      <c r="E858" s="6"/>
      <c r="F858" s="4"/>
    </row>
    <row r="859" spans="2:6">
      <c r="B859" s="1"/>
      <c r="C859" s="1"/>
      <c r="D859" s="1"/>
      <c r="E859" s="6"/>
      <c r="F859" s="4"/>
    </row>
    <row r="860" spans="2:6">
      <c r="B860" s="1"/>
      <c r="C860" s="1"/>
      <c r="D860" s="1"/>
      <c r="E860" s="6"/>
      <c r="F860" s="4"/>
    </row>
    <row r="861" spans="2:6">
      <c r="B861" s="1"/>
      <c r="C861" s="1"/>
      <c r="D861" s="1"/>
      <c r="E861" s="6"/>
      <c r="F861" s="4"/>
    </row>
    <row r="862" spans="2:6">
      <c r="B862" s="1"/>
      <c r="C862" s="1"/>
      <c r="D862" s="1"/>
      <c r="E862" s="6"/>
      <c r="F862" s="4"/>
    </row>
    <row r="863" spans="2:6">
      <c r="B863" s="1"/>
      <c r="C863" s="1"/>
      <c r="D863" s="1"/>
      <c r="E863" s="6"/>
      <c r="F863" s="4"/>
    </row>
    <row r="864" spans="2:6">
      <c r="B864" s="1"/>
      <c r="C864" s="1"/>
      <c r="D864" s="1"/>
      <c r="E864" s="6"/>
      <c r="F864" s="4"/>
    </row>
    <row r="865" spans="2:6">
      <c r="B865" s="1"/>
      <c r="C865" s="1"/>
      <c r="D865" s="1"/>
      <c r="E865" s="6"/>
      <c r="F865" s="4"/>
    </row>
    <row r="866" spans="2:6">
      <c r="B866" s="1"/>
      <c r="C866" s="1"/>
      <c r="D866" s="1"/>
      <c r="E866" s="6"/>
      <c r="F866" s="4"/>
    </row>
    <row r="867" spans="2:6">
      <c r="B867" s="1"/>
      <c r="C867" s="1"/>
      <c r="D867" s="1"/>
      <c r="E867" s="6"/>
      <c r="F867" s="4"/>
    </row>
    <row r="868" spans="2:6">
      <c r="B868" s="1"/>
      <c r="C868" s="1"/>
      <c r="D868" s="1"/>
      <c r="E868" s="6"/>
      <c r="F868" s="4"/>
    </row>
    <row r="869" spans="2:6">
      <c r="B869" s="1"/>
      <c r="C869" s="1"/>
      <c r="D869" s="1"/>
      <c r="E869" s="6"/>
      <c r="F869" s="4"/>
    </row>
    <row r="870" spans="2:6">
      <c r="B870" s="1"/>
      <c r="C870" s="1"/>
      <c r="D870" s="1"/>
      <c r="E870" s="6"/>
      <c r="F870" s="4"/>
    </row>
    <row r="871" spans="2:6">
      <c r="B871" s="1"/>
      <c r="C871" s="1"/>
      <c r="D871" s="1"/>
      <c r="E871" s="6"/>
      <c r="F871" s="4"/>
    </row>
    <row r="872" spans="2:6">
      <c r="B872" s="1"/>
      <c r="C872" s="1"/>
      <c r="D872" s="1"/>
      <c r="E872" s="6"/>
      <c r="F872" s="4"/>
    </row>
    <row r="873" spans="2:6">
      <c r="B873" s="1"/>
      <c r="C873" s="1"/>
      <c r="D873" s="1"/>
      <c r="E873" s="6"/>
      <c r="F873" s="4"/>
    </row>
    <row r="874" spans="2:6">
      <c r="B874" s="1"/>
      <c r="C874" s="1"/>
      <c r="D874" s="1"/>
      <c r="E874" s="6"/>
      <c r="F874" s="4"/>
    </row>
    <row r="875" spans="2:6">
      <c r="B875" s="1"/>
      <c r="C875" s="1"/>
      <c r="D875" s="1"/>
      <c r="E875" s="6"/>
      <c r="F875" s="4"/>
    </row>
    <row r="876" spans="2:6">
      <c r="B876" s="1"/>
      <c r="C876" s="1"/>
      <c r="D876" s="1"/>
      <c r="E876" s="6"/>
      <c r="F876" s="4"/>
    </row>
    <row r="877" spans="2:6">
      <c r="B877" s="1"/>
      <c r="C877" s="1"/>
      <c r="D877" s="1"/>
      <c r="E877" s="6"/>
      <c r="F877" s="4"/>
    </row>
    <row r="878" spans="2:6">
      <c r="B878" s="1"/>
      <c r="C878" s="1"/>
      <c r="D878" s="1"/>
      <c r="E878" s="6"/>
      <c r="F878" s="4"/>
    </row>
    <row r="879" spans="2:6">
      <c r="B879" s="1"/>
      <c r="C879" s="1"/>
      <c r="D879" s="1"/>
      <c r="E879" s="6"/>
      <c r="F879" s="4"/>
    </row>
    <row r="880" spans="2:6">
      <c r="B880" s="1"/>
      <c r="C880" s="1"/>
      <c r="D880" s="1"/>
      <c r="E880" s="6"/>
      <c r="F880" s="4"/>
    </row>
    <row r="881" spans="2:6">
      <c r="B881" s="1"/>
      <c r="C881" s="1"/>
      <c r="D881" s="1"/>
      <c r="E881" s="6"/>
      <c r="F881" s="4"/>
    </row>
    <row r="882" spans="2:6">
      <c r="B882" s="1"/>
      <c r="C882" s="1"/>
      <c r="D882" s="1"/>
      <c r="E882" s="6"/>
      <c r="F882" s="4"/>
    </row>
    <row r="883" spans="2:6">
      <c r="B883" s="1"/>
      <c r="C883" s="1"/>
      <c r="D883" s="1"/>
      <c r="E883" s="6"/>
      <c r="F883" s="4"/>
    </row>
    <row r="884" spans="2:6">
      <c r="B884" s="1"/>
      <c r="C884" s="1"/>
      <c r="D884" s="1"/>
      <c r="E884" s="6"/>
      <c r="F884" s="4"/>
    </row>
    <row r="885" spans="2:6">
      <c r="B885" s="1"/>
      <c r="C885" s="1"/>
      <c r="D885" s="1"/>
      <c r="E885" s="6"/>
      <c r="F885" s="4"/>
    </row>
    <row r="886" spans="2:6">
      <c r="B886" s="1"/>
      <c r="C886" s="1"/>
      <c r="D886" s="1"/>
      <c r="E886" s="6"/>
      <c r="F886" s="4"/>
    </row>
    <row r="887" spans="2:6">
      <c r="B887" s="1"/>
      <c r="C887" s="1"/>
      <c r="D887" s="1"/>
      <c r="E887" s="6"/>
      <c r="F887" s="4"/>
    </row>
    <row r="888" spans="2:6">
      <c r="B888" s="1"/>
      <c r="C888" s="1"/>
      <c r="D888" s="1"/>
      <c r="E888" s="6"/>
      <c r="F888" s="4"/>
    </row>
    <row r="889" spans="2:6">
      <c r="B889" s="1"/>
      <c r="C889" s="1"/>
      <c r="D889" s="1"/>
      <c r="E889" s="6"/>
      <c r="F889" s="4"/>
    </row>
    <row r="890" spans="2:6">
      <c r="B890" s="1"/>
      <c r="C890" s="1"/>
      <c r="D890" s="1"/>
      <c r="E890" s="6"/>
      <c r="F890" s="4"/>
    </row>
    <row r="891" spans="2:6">
      <c r="B891" s="1"/>
      <c r="C891" s="1"/>
      <c r="D891" s="1"/>
      <c r="E891" s="6"/>
      <c r="F891" s="4"/>
    </row>
    <row r="892" spans="2:6">
      <c r="B892" s="1"/>
      <c r="C892" s="1"/>
      <c r="D892" s="1"/>
      <c r="E892" s="6"/>
      <c r="F892" s="4"/>
    </row>
    <row r="893" spans="2:6">
      <c r="B893" s="1"/>
      <c r="C893" s="1"/>
      <c r="D893" s="1"/>
      <c r="E893" s="6"/>
      <c r="F893" s="4"/>
    </row>
    <row r="894" spans="2:6">
      <c r="B894" s="1"/>
      <c r="C894" s="1"/>
      <c r="D894" s="1"/>
      <c r="E894" s="6"/>
      <c r="F894" s="4"/>
    </row>
    <row r="895" spans="2:6">
      <c r="B895" s="1"/>
      <c r="C895" s="1"/>
      <c r="D895" s="1"/>
      <c r="E895" s="6"/>
      <c r="F895" s="4"/>
    </row>
    <row r="896" spans="2:6">
      <c r="B896" s="1"/>
      <c r="C896" s="1"/>
      <c r="D896" s="1"/>
      <c r="E896" s="6"/>
      <c r="F896" s="4"/>
    </row>
    <row r="897" spans="2:6">
      <c r="B897" s="1"/>
      <c r="C897" s="1"/>
      <c r="D897" s="1"/>
      <c r="E897" s="6"/>
      <c r="F897" s="4"/>
    </row>
    <row r="898" spans="2:6">
      <c r="B898" s="1"/>
      <c r="C898" s="1"/>
      <c r="D898" s="1"/>
      <c r="E898" s="6"/>
      <c r="F898" s="4"/>
    </row>
    <row r="899" spans="2:6">
      <c r="B899" s="1"/>
      <c r="C899" s="1"/>
      <c r="D899" s="1"/>
      <c r="E899" s="6"/>
      <c r="F899" s="4"/>
    </row>
    <row r="900" spans="2:6">
      <c r="B900" s="1"/>
      <c r="C900" s="1"/>
      <c r="D900" s="1"/>
      <c r="E900" s="6"/>
      <c r="F900" s="4"/>
    </row>
    <row r="901" spans="2:6">
      <c r="B901" s="1"/>
      <c r="C901" s="1"/>
      <c r="D901" s="1"/>
      <c r="E901" s="6"/>
      <c r="F901" s="4"/>
    </row>
    <row r="902" spans="2:6">
      <c r="B902" s="1"/>
      <c r="C902" s="1"/>
      <c r="D902" s="1"/>
      <c r="E902" s="6"/>
      <c r="F902" s="4"/>
    </row>
    <row r="903" spans="2:6">
      <c r="B903" s="1"/>
      <c r="C903" s="1"/>
      <c r="D903" s="1"/>
      <c r="E903" s="6"/>
      <c r="F903" s="4"/>
    </row>
    <row r="904" spans="2:6">
      <c r="B904" s="1"/>
      <c r="C904" s="1"/>
      <c r="D904" s="1"/>
      <c r="E904" s="6"/>
      <c r="F904" s="4"/>
    </row>
    <row r="905" spans="2:6">
      <c r="B905" s="1"/>
      <c r="C905" s="1"/>
      <c r="D905" s="1"/>
      <c r="E905" s="6"/>
      <c r="F905" s="4"/>
    </row>
    <row r="906" spans="2:6">
      <c r="B906" s="1"/>
      <c r="C906" s="1"/>
      <c r="D906" s="1"/>
      <c r="E906" s="6"/>
      <c r="F906" s="4"/>
    </row>
    <row r="907" spans="2:6">
      <c r="B907" s="1"/>
      <c r="C907" s="1"/>
      <c r="D907" s="1"/>
      <c r="E907" s="6"/>
      <c r="F907" s="4"/>
    </row>
    <row r="908" spans="2:6">
      <c r="B908" s="1"/>
      <c r="C908" s="1"/>
      <c r="D908" s="1"/>
      <c r="E908" s="6"/>
      <c r="F908" s="4"/>
    </row>
    <row r="909" spans="2:6">
      <c r="B909" s="1"/>
      <c r="C909" s="1"/>
      <c r="D909" s="1"/>
      <c r="E909" s="6"/>
      <c r="F909" s="4"/>
    </row>
    <row r="910" spans="2:6">
      <c r="B910" s="1"/>
      <c r="C910" s="1"/>
      <c r="D910" s="1"/>
      <c r="E910" s="6"/>
      <c r="F910" s="4"/>
    </row>
    <row r="911" spans="2:6">
      <c r="B911" s="1"/>
      <c r="C911" s="1"/>
      <c r="D911" s="1"/>
      <c r="E911" s="6"/>
      <c r="F911" s="4"/>
    </row>
    <row r="912" spans="2:6">
      <c r="B912" s="1"/>
      <c r="C912" s="1"/>
      <c r="D912" s="1"/>
      <c r="E912" s="6"/>
      <c r="F912" s="4"/>
    </row>
    <row r="913" spans="2:6">
      <c r="B913" s="1"/>
      <c r="C913" s="1"/>
      <c r="D913" s="1"/>
      <c r="E913" s="6"/>
      <c r="F913" s="4"/>
    </row>
    <row r="914" spans="2:6">
      <c r="B914" s="1"/>
      <c r="C914" s="1"/>
      <c r="D914" s="1"/>
      <c r="E914" s="6"/>
      <c r="F914" s="4"/>
    </row>
    <row r="915" spans="2:6">
      <c r="B915" s="1"/>
      <c r="C915" s="1"/>
      <c r="D915" s="1"/>
      <c r="E915" s="6"/>
      <c r="F915" s="4"/>
    </row>
    <row r="916" spans="2:6">
      <c r="B916" s="1"/>
      <c r="C916" s="1"/>
      <c r="D916" s="1"/>
      <c r="E916" s="6"/>
      <c r="F916" s="4"/>
    </row>
    <row r="917" spans="2:6">
      <c r="B917" s="1"/>
      <c r="C917" s="1"/>
      <c r="D917" s="1"/>
      <c r="E917" s="6"/>
      <c r="F917" s="4"/>
    </row>
    <row r="918" spans="2:6">
      <c r="B918" s="1"/>
      <c r="C918" s="1"/>
      <c r="D918" s="1"/>
      <c r="E918" s="6"/>
      <c r="F918" s="4"/>
    </row>
    <row r="919" spans="2:6">
      <c r="B919" s="1"/>
      <c r="C919" s="1"/>
      <c r="D919" s="1"/>
      <c r="E919" s="6"/>
      <c r="F919" s="4"/>
    </row>
    <row r="920" spans="2:6">
      <c r="B920" s="1"/>
      <c r="C920" s="1"/>
      <c r="D920" s="1"/>
      <c r="E920" s="6"/>
      <c r="F920" s="4"/>
    </row>
    <row r="921" spans="2:6">
      <c r="B921" s="1"/>
      <c r="C921" s="1"/>
      <c r="D921" s="1"/>
      <c r="E921" s="6"/>
      <c r="F921" s="4"/>
    </row>
    <row r="922" spans="2:6">
      <c r="B922" s="1"/>
      <c r="C922" s="1"/>
      <c r="D922" s="1"/>
      <c r="E922" s="6"/>
      <c r="F922" s="4"/>
    </row>
    <row r="923" spans="2:6">
      <c r="B923" s="1"/>
      <c r="C923" s="1"/>
      <c r="D923" s="1"/>
      <c r="E923" s="6"/>
      <c r="F923" s="4"/>
    </row>
    <row r="924" spans="2:6">
      <c r="B924" s="1"/>
      <c r="C924" s="1"/>
      <c r="D924" s="1"/>
      <c r="E924" s="6"/>
      <c r="F924" s="4"/>
    </row>
    <row r="925" spans="2:6">
      <c r="B925" s="1"/>
      <c r="C925" s="1"/>
      <c r="D925" s="1"/>
      <c r="E925" s="6"/>
      <c r="F925" s="4"/>
    </row>
    <row r="926" spans="2:6">
      <c r="B926" s="1"/>
      <c r="C926" s="1"/>
      <c r="D926" s="1"/>
      <c r="E926" s="6"/>
      <c r="F926" s="4"/>
    </row>
    <row r="927" spans="2:6">
      <c r="B927" s="1"/>
      <c r="C927" s="1"/>
      <c r="D927" s="1"/>
      <c r="E927" s="6"/>
      <c r="F927" s="4"/>
    </row>
    <row r="928" spans="2:6">
      <c r="B928" s="1"/>
      <c r="C928" s="1"/>
      <c r="D928" s="1"/>
      <c r="E928" s="6"/>
      <c r="F928" s="4"/>
    </row>
    <row r="929" spans="2:6">
      <c r="B929" s="1"/>
      <c r="C929" s="1"/>
      <c r="D929" s="1"/>
      <c r="E929" s="6"/>
      <c r="F929" s="4"/>
    </row>
    <row r="930" spans="2:6">
      <c r="B930" s="1"/>
      <c r="C930" s="1"/>
      <c r="D930" s="1"/>
      <c r="E930" s="6"/>
      <c r="F930" s="4"/>
    </row>
    <row r="931" spans="2:6">
      <c r="B931" s="1"/>
      <c r="C931" s="1"/>
      <c r="D931" s="1"/>
      <c r="E931" s="6"/>
      <c r="F931" s="4"/>
    </row>
    <row r="932" spans="2:6">
      <c r="B932" s="1"/>
      <c r="C932" s="1"/>
      <c r="D932" s="1"/>
      <c r="E932" s="6"/>
      <c r="F932" s="4"/>
    </row>
    <row r="933" spans="2:6">
      <c r="B933" s="1"/>
      <c r="C933" s="1"/>
      <c r="D933" s="1"/>
      <c r="E933" s="6"/>
      <c r="F933" s="4"/>
    </row>
    <row r="934" spans="2:6">
      <c r="B934" s="1"/>
      <c r="C934" s="1"/>
      <c r="D934" s="1"/>
      <c r="E934" s="6"/>
      <c r="F934" s="4"/>
    </row>
    <row r="935" spans="2:6">
      <c r="B935" s="1"/>
      <c r="C935" s="1"/>
      <c r="D935" s="1"/>
      <c r="E935" s="6"/>
      <c r="F935" s="4"/>
    </row>
    <row r="936" spans="2:6">
      <c r="B936" s="1"/>
      <c r="C936" s="1"/>
      <c r="D936" s="1"/>
      <c r="E936" s="6"/>
      <c r="F936" s="4"/>
    </row>
    <row r="937" spans="2:6">
      <c r="B937" s="1"/>
      <c r="C937" s="1"/>
      <c r="D937" s="1"/>
      <c r="E937" s="6"/>
      <c r="F937" s="4"/>
    </row>
    <row r="938" spans="2:6">
      <c r="B938" s="1"/>
      <c r="C938" s="1"/>
      <c r="D938" s="1"/>
      <c r="E938" s="6"/>
      <c r="F938" s="4"/>
    </row>
    <row r="939" spans="2:6">
      <c r="B939" s="1"/>
      <c r="C939" s="1"/>
      <c r="D939" s="1"/>
      <c r="E939" s="6"/>
      <c r="F939" s="4"/>
    </row>
    <row r="940" spans="2:6">
      <c r="B940" s="1"/>
      <c r="C940" s="1"/>
      <c r="D940" s="1"/>
      <c r="E940" s="6"/>
      <c r="F940" s="4"/>
    </row>
    <row r="941" spans="2:6">
      <c r="B941" s="1"/>
      <c r="C941" s="1"/>
      <c r="D941" s="1"/>
      <c r="E941" s="6"/>
      <c r="F941" s="4"/>
    </row>
    <row r="942" spans="2:6">
      <c r="B942" s="1"/>
      <c r="C942" s="1"/>
      <c r="D942" s="1"/>
      <c r="E942" s="6"/>
      <c r="F942" s="4"/>
    </row>
    <row r="943" spans="2:6">
      <c r="B943" s="1"/>
      <c r="C943" s="1"/>
      <c r="D943" s="1"/>
      <c r="E943" s="6"/>
      <c r="F943" s="4"/>
    </row>
    <row r="944" spans="2:6">
      <c r="B944" s="1"/>
      <c r="C944" s="1"/>
      <c r="D944" s="1"/>
      <c r="E944" s="6"/>
      <c r="F944" s="4"/>
    </row>
    <row r="945" spans="2:6">
      <c r="B945" s="1"/>
      <c r="C945" s="1"/>
      <c r="D945" s="1"/>
      <c r="E945" s="6"/>
      <c r="F945" s="4"/>
    </row>
    <row r="946" spans="2:6">
      <c r="B946" s="1"/>
      <c r="C946" s="1"/>
      <c r="D946" s="1"/>
      <c r="E946" s="6"/>
      <c r="F946" s="4"/>
    </row>
    <row r="947" spans="2:6">
      <c r="B947" s="1"/>
      <c r="C947" s="1"/>
      <c r="D947" s="1"/>
      <c r="E947" s="6"/>
      <c r="F947" s="4"/>
    </row>
    <row r="948" spans="2:6">
      <c r="B948" s="1"/>
      <c r="C948" s="1"/>
      <c r="D948" s="1"/>
      <c r="E948" s="6"/>
      <c r="F948" s="4"/>
    </row>
    <row r="949" spans="2:6">
      <c r="B949" s="1"/>
      <c r="C949" s="1"/>
      <c r="D949" s="1"/>
      <c r="E949" s="6"/>
      <c r="F949" s="4"/>
    </row>
    <row r="950" spans="2:6">
      <c r="B950" s="1"/>
      <c r="C950" s="1"/>
      <c r="D950" s="1"/>
      <c r="E950" s="6"/>
      <c r="F950" s="4"/>
    </row>
    <row r="951" spans="2:6">
      <c r="B951" s="1"/>
      <c r="C951" s="1"/>
      <c r="D951" s="1"/>
      <c r="E951" s="6"/>
      <c r="F951" s="4"/>
    </row>
    <row r="952" spans="2:6">
      <c r="B952" s="1"/>
      <c r="C952" s="1"/>
      <c r="D952" s="1"/>
      <c r="E952" s="6"/>
      <c r="F952" s="4"/>
    </row>
    <row r="953" spans="2:6">
      <c r="B953" s="1"/>
      <c r="C953" s="1"/>
      <c r="D953" s="1"/>
      <c r="E953" s="6"/>
      <c r="F953" s="4"/>
    </row>
    <row r="954" spans="2:6">
      <c r="B954" s="1"/>
      <c r="C954" s="1"/>
      <c r="D954" s="1"/>
      <c r="E954" s="6"/>
      <c r="F954" s="4"/>
    </row>
    <row r="955" spans="2:6">
      <c r="B955" s="1"/>
      <c r="C955" s="1"/>
      <c r="D955" s="1"/>
      <c r="E955" s="6"/>
      <c r="F955" s="4"/>
    </row>
    <row r="956" spans="2:6">
      <c r="B956" s="1"/>
      <c r="C956" s="1"/>
      <c r="D956" s="1"/>
      <c r="E956" s="6"/>
      <c r="F956" s="4"/>
    </row>
    <row r="957" spans="2:6">
      <c r="B957" s="1"/>
      <c r="C957" s="1"/>
      <c r="D957" s="1"/>
      <c r="E957" s="6"/>
      <c r="F957" s="4"/>
    </row>
    <row r="958" spans="2:6">
      <c r="B958" s="1"/>
      <c r="C958" s="1"/>
      <c r="D958" s="1"/>
      <c r="E958" s="6"/>
      <c r="F958" s="4"/>
    </row>
    <row r="959" spans="2:6">
      <c r="B959" s="1"/>
      <c r="C959" s="1"/>
      <c r="D959" s="1"/>
      <c r="E959" s="6"/>
      <c r="F959" s="4"/>
    </row>
    <row r="960" spans="2:6">
      <c r="B960" s="1"/>
      <c r="C960" s="1"/>
      <c r="D960" s="1"/>
      <c r="E960" s="6"/>
      <c r="F960" s="4"/>
    </row>
    <row r="961" spans="2:6">
      <c r="B961" s="1"/>
      <c r="C961" s="1"/>
      <c r="D961" s="1"/>
      <c r="E961" s="6"/>
      <c r="F961" s="4"/>
    </row>
    <row r="962" spans="2:6">
      <c r="B962" s="1"/>
      <c r="C962" s="1"/>
      <c r="D962" s="1"/>
      <c r="E962" s="6"/>
      <c r="F962" s="4"/>
    </row>
    <row r="963" spans="2:6">
      <c r="B963" s="1"/>
      <c r="C963" s="1"/>
      <c r="D963" s="1"/>
      <c r="E963" s="6"/>
      <c r="F963" s="4"/>
    </row>
    <row r="964" spans="2:6">
      <c r="B964" s="1"/>
      <c r="C964" s="1"/>
      <c r="D964" s="1"/>
      <c r="E964" s="6"/>
      <c r="F964" s="4"/>
    </row>
    <row r="965" spans="2:6">
      <c r="B965" s="1"/>
      <c r="C965" s="1"/>
      <c r="D965" s="1"/>
      <c r="E965" s="6"/>
      <c r="F965" s="4"/>
    </row>
    <row r="966" spans="2:6">
      <c r="B966" s="1"/>
      <c r="C966" s="1"/>
      <c r="D966" s="1"/>
      <c r="E966" s="6"/>
      <c r="F966" s="4"/>
    </row>
    <row r="967" spans="2:6">
      <c r="B967" s="1"/>
      <c r="C967" s="1"/>
      <c r="D967" s="1"/>
      <c r="E967" s="6"/>
      <c r="F967" s="4"/>
    </row>
    <row r="968" spans="2:6">
      <c r="B968" s="1"/>
      <c r="C968" s="1"/>
      <c r="D968" s="1"/>
      <c r="E968" s="6"/>
      <c r="F968" s="4"/>
    </row>
    <row r="969" spans="2:6">
      <c r="B969" s="1"/>
      <c r="C969" s="1"/>
      <c r="D969" s="1"/>
      <c r="E969" s="6"/>
      <c r="F969" s="4"/>
    </row>
    <row r="970" spans="2:6">
      <c r="B970" s="1"/>
      <c r="C970" s="1"/>
      <c r="D970" s="1"/>
      <c r="E970" s="6"/>
      <c r="F970" s="4"/>
    </row>
    <row r="971" spans="2:6">
      <c r="B971" s="1"/>
      <c r="C971" s="1"/>
      <c r="D971" s="1"/>
      <c r="E971" s="6"/>
      <c r="F971" s="4"/>
    </row>
    <row r="972" spans="2:6">
      <c r="B972" s="1"/>
      <c r="C972" s="1"/>
      <c r="D972" s="1"/>
      <c r="E972" s="6"/>
      <c r="F972" s="4"/>
    </row>
    <row r="973" spans="2:6">
      <c r="B973" s="1"/>
      <c r="C973" s="1"/>
      <c r="D973" s="1"/>
      <c r="E973" s="6"/>
      <c r="F973" s="4"/>
    </row>
    <row r="974" spans="2:6">
      <c r="B974" s="1"/>
      <c r="C974" s="1"/>
      <c r="D974" s="1"/>
      <c r="E974" s="6"/>
      <c r="F974" s="4"/>
    </row>
    <row r="975" spans="2:6">
      <c r="B975" s="1"/>
      <c r="C975" s="1"/>
      <c r="D975" s="1"/>
      <c r="E975" s="6"/>
      <c r="F975" s="4"/>
    </row>
    <row r="976" spans="2:6">
      <c r="B976" s="1"/>
      <c r="C976" s="1"/>
      <c r="D976" s="1"/>
      <c r="E976" s="6"/>
      <c r="F976" s="4"/>
    </row>
    <row r="977" spans="2:6">
      <c r="B977" s="1"/>
      <c r="C977" s="1"/>
      <c r="D977" s="1"/>
      <c r="E977" s="6"/>
      <c r="F977" s="4"/>
    </row>
    <row r="978" spans="2:6">
      <c r="B978" s="1"/>
      <c r="C978" s="1"/>
      <c r="D978" s="1"/>
      <c r="E978" s="6"/>
      <c r="F978" s="4"/>
    </row>
    <row r="979" spans="2:6">
      <c r="B979" s="1"/>
      <c r="C979" s="1"/>
      <c r="D979" s="1"/>
      <c r="E979" s="6"/>
      <c r="F979" s="4"/>
    </row>
    <row r="980" spans="2:6">
      <c r="B980" s="1"/>
      <c r="C980" s="1"/>
      <c r="D980" s="1"/>
      <c r="E980" s="6"/>
      <c r="F980" s="4"/>
    </row>
    <row r="981" spans="2:6">
      <c r="B981" s="1"/>
      <c r="C981" s="1"/>
      <c r="D981" s="1"/>
      <c r="E981" s="6"/>
      <c r="F981" s="4"/>
    </row>
    <row r="982" spans="2:6">
      <c r="B982" s="1"/>
      <c r="C982" s="1"/>
      <c r="D982" s="1"/>
      <c r="E982" s="6"/>
      <c r="F982" s="4"/>
    </row>
    <row r="983" spans="2:6">
      <c r="B983" s="1"/>
      <c r="C983" s="1"/>
      <c r="D983" s="1"/>
      <c r="E983" s="6"/>
      <c r="F983" s="4"/>
    </row>
    <row r="984" spans="2:6">
      <c r="B984" s="1"/>
      <c r="C984" s="1"/>
      <c r="D984" s="1"/>
      <c r="E984" s="6"/>
      <c r="F984" s="4"/>
    </row>
    <row r="985" spans="2:6">
      <c r="B985" s="1"/>
      <c r="C985" s="1"/>
      <c r="D985" s="1"/>
      <c r="E985" s="6"/>
      <c r="F985" s="4"/>
    </row>
    <row r="986" spans="2:6">
      <c r="B986" s="1"/>
      <c r="C986" s="1"/>
      <c r="D986" s="1"/>
      <c r="E986" s="6"/>
      <c r="F986" s="4"/>
    </row>
    <row r="987" spans="2:6">
      <c r="B987" s="1"/>
      <c r="C987" s="1"/>
      <c r="D987" s="1"/>
      <c r="E987" s="6"/>
      <c r="F987" s="4"/>
    </row>
    <row r="988" spans="2:6">
      <c r="B988" s="1"/>
      <c r="C988" s="1"/>
      <c r="D988" s="1"/>
      <c r="E988" s="6"/>
      <c r="F988" s="4"/>
    </row>
    <row r="989" spans="2:6">
      <c r="B989" s="1"/>
      <c r="C989" s="1"/>
      <c r="D989" s="1"/>
      <c r="E989" s="6"/>
      <c r="F989" s="4"/>
    </row>
    <row r="990" spans="2:6">
      <c r="B990" s="1"/>
      <c r="C990" s="1"/>
      <c r="D990" s="1"/>
      <c r="E990" s="6"/>
      <c r="F990" s="4"/>
    </row>
    <row r="991" spans="2:6">
      <c r="B991" s="1"/>
      <c r="C991" s="1"/>
      <c r="D991" s="1"/>
      <c r="E991" s="6"/>
      <c r="F991" s="4"/>
    </row>
    <row r="992" spans="2:6">
      <c r="B992" s="1"/>
      <c r="C992" s="1"/>
      <c r="D992" s="1"/>
      <c r="E992" s="6"/>
      <c r="F992" s="4"/>
    </row>
    <row r="993" spans="2:6">
      <c r="B993" s="1"/>
      <c r="C993" s="1"/>
      <c r="D993" s="1"/>
      <c r="E993" s="6"/>
      <c r="F993" s="4"/>
    </row>
    <row r="994" spans="2:6">
      <c r="B994" s="1"/>
      <c r="C994" s="1"/>
      <c r="D994" s="1"/>
      <c r="E994" s="6"/>
      <c r="F994" s="4"/>
    </row>
    <row r="995" spans="2:6">
      <c r="B995" s="1"/>
      <c r="C995" s="1"/>
      <c r="D995" s="1"/>
      <c r="E995" s="6"/>
      <c r="F995" s="4"/>
    </row>
    <row r="996" spans="2:6">
      <c r="B996" s="1"/>
      <c r="C996" s="1"/>
      <c r="D996" s="1"/>
      <c r="E996" s="6"/>
      <c r="F996" s="4"/>
    </row>
    <row r="997" spans="2:6">
      <c r="B997" s="1"/>
      <c r="C997" s="1"/>
      <c r="D997" s="1"/>
      <c r="E997" s="6"/>
      <c r="F997" s="4"/>
    </row>
    <row r="998" spans="2:6">
      <c r="B998" s="1"/>
      <c r="C998" s="1"/>
      <c r="D998" s="1"/>
      <c r="E998" s="6"/>
      <c r="F998" s="4"/>
    </row>
    <row r="999" spans="2:6">
      <c r="B999" s="1"/>
      <c r="C999" s="1"/>
      <c r="D999" s="1"/>
      <c r="E999" s="6"/>
      <c r="F999" s="4"/>
    </row>
    <row r="1000" spans="2:6">
      <c r="B1000" s="1"/>
      <c r="C1000" s="1"/>
      <c r="D1000" s="1"/>
      <c r="E1000" s="6"/>
      <c r="F1000" s="4"/>
    </row>
    <row r="1001" spans="2:6">
      <c r="B1001" s="1"/>
      <c r="C1001" s="1"/>
      <c r="D1001" s="1"/>
      <c r="E1001" s="6"/>
      <c r="F1001" s="4"/>
    </row>
    <row r="1002" spans="2:6">
      <c r="B1002" s="1"/>
      <c r="C1002" s="1"/>
      <c r="D1002" s="1"/>
      <c r="E1002" s="6"/>
      <c r="F1002" s="4"/>
    </row>
    <row r="1003" spans="2:6">
      <c r="B1003" s="1"/>
      <c r="C1003" s="1"/>
      <c r="D1003" s="1"/>
      <c r="E1003" s="6"/>
      <c r="F1003" s="4"/>
    </row>
    <row r="1004" spans="2:6">
      <c r="B1004" s="1"/>
      <c r="C1004" s="1"/>
      <c r="D1004" s="1"/>
      <c r="E1004" s="6"/>
      <c r="F1004" s="4"/>
    </row>
    <row r="1005" spans="2:6">
      <c r="B1005" s="1"/>
      <c r="C1005" s="1"/>
      <c r="D1005" s="1"/>
      <c r="E1005" s="6"/>
      <c r="F1005" s="4"/>
    </row>
    <row r="1006" spans="2:6">
      <c r="B1006" s="1"/>
      <c r="C1006" s="1"/>
      <c r="D1006" s="1"/>
      <c r="E1006" s="6"/>
      <c r="F1006" s="4"/>
    </row>
    <row r="1007" spans="2:6">
      <c r="B1007" s="1"/>
      <c r="C1007" s="1"/>
      <c r="D1007" s="1"/>
      <c r="E1007" s="6"/>
      <c r="F1007" s="4"/>
    </row>
    <row r="1008" spans="2:6">
      <c r="B1008" s="1"/>
      <c r="C1008" s="1"/>
      <c r="D1008" s="1"/>
      <c r="E1008" s="6"/>
      <c r="F1008" s="4"/>
    </row>
    <row r="1009" spans="2:6">
      <c r="B1009" s="1"/>
      <c r="C1009" s="1"/>
      <c r="D1009" s="1"/>
      <c r="E1009" s="6"/>
      <c r="F1009" s="4"/>
    </row>
    <row r="1010" spans="2:6">
      <c r="B1010" s="1"/>
      <c r="C1010" s="1"/>
      <c r="D1010" s="1"/>
      <c r="E1010" s="6"/>
      <c r="F1010" s="4"/>
    </row>
    <row r="1011" spans="2:6">
      <c r="B1011" s="1"/>
      <c r="C1011" s="1"/>
      <c r="D1011" s="1"/>
      <c r="E1011" s="6"/>
      <c r="F1011" s="4"/>
    </row>
    <row r="1012" spans="2:6">
      <c r="B1012" s="1"/>
      <c r="C1012" s="1"/>
      <c r="D1012" s="1"/>
      <c r="E1012" s="6"/>
      <c r="F1012" s="4"/>
    </row>
    <row r="1013" spans="2:6">
      <c r="B1013" s="1"/>
      <c r="C1013" s="1"/>
      <c r="D1013" s="1"/>
      <c r="E1013" s="6"/>
      <c r="F1013" s="4"/>
    </row>
    <row r="1014" spans="2:6">
      <c r="B1014" s="1"/>
      <c r="C1014" s="1"/>
      <c r="D1014" s="1"/>
      <c r="E1014" s="6"/>
      <c r="F1014" s="4"/>
    </row>
    <row r="1015" spans="2:6">
      <c r="B1015" s="1"/>
      <c r="C1015" s="1"/>
      <c r="D1015" s="1"/>
      <c r="E1015" s="6"/>
      <c r="F1015" s="4"/>
    </row>
    <row r="1016" spans="2:6">
      <c r="B1016" s="1"/>
      <c r="C1016" s="1"/>
      <c r="D1016" s="1"/>
      <c r="E1016" s="6"/>
      <c r="F1016" s="4"/>
    </row>
    <row r="1017" spans="2:6">
      <c r="B1017" s="1"/>
      <c r="C1017" s="1"/>
      <c r="D1017" s="1"/>
      <c r="E1017" s="6"/>
      <c r="F1017" s="4"/>
    </row>
    <row r="1018" spans="2:6">
      <c r="B1018" s="1"/>
      <c r="C1018" s="1"/>
      <c r="D1018" s="1"/>
      <c r="E1018" s="6"/>
      <c r="F1018" s="4"/>
    </row>
    <row r="1019" spans="2:6">
      <c r="B1019" s="1"/>
      <c r="C1019" s="1"/>
      <c r="D1019" s="1"/>
      <c r="E1019" s="6"/>
      <c r="F1019" s="4"/>
    </row>
    <row r="1020" spans="2:6">
      <c r="B1020" s="1"/>
      <c r="C1020" s="1"/>
      <c r="D1020" s="1"/>
      <c r="E1020" s="6"/>
      <c r="F1020" s="4"/>
    </row>
    <row r="1021" spans="2:6">
      <c r="B1021" s="1"/>
      <c r="C1021" s="1"/>
      <c r="D1021" s="1"/>
      <c r="E1021" s="6"/>
      <c r="F1021" s="4"/>
    </row>
    <row r="1022" spans="2:6">
      <c r="B1022" s="1"/>
      <c r="C1022" s="1"/>
      <c r="D1022" s="1"/>
      <c r="E1022" s="6"/>
      <c r="F1022" s="4"/>
    </row>
    <row r="1023" spans="2:6">
      <c r="B1023" s="1"/>
      <c r="C1023" s="1"/>
      <c r="D1023" s="1"/>
      <c r="E1023" s="6"/>
      <c r="F1023" s="4"/>
    </row>
    <row r="1024" spans="2:6">
      <c r="B1024" s="1"/>
      <c r="C1024" s="1"/>
      <c r="D1024" s="1"/>
      <c r="E1024" s="6"/>
      <c r="F1024" s="4"/>
    </row>
    <row r="1025" spans="2:6">
      <c r="B1025" s="1"/>
      <c r="C1025" s="1"/>
      <c r="D1025" s="1"/>
      <c r="E1025" s="6"/>
      <c r="F1025" s="4"/>
    </row>
    <row r="1026" spans="2:6">
      <c r="B1026" s="1"/>
      <c r="C1026" s="1"/>
      <c r="D1026" s="1"/>
      <c r="E1026" s="6"/>
      <c r="F1026" s="4"/>
    </row>
    <row r="1027" spans="2:6">
      <c r="B1027" s="1"/>
      <c r="C1027" s="1"/>
      <c r="D1027" s="1"/>
      <c r="E1027" s="6"/>
      <c r="F1027" s="4"/>
    </row>
    <row r="1028" spans="2:6">
      <c r="B1028" s="1"/>
      <c r="C1028" s="1"/>
      <c r="D1028" s="1"/>
      <c r="E1028" s="6"/>
      <c r="F1028" s="4"/>
    </row>
    <row r="1029" spans="2:6">
      <c r="B1029" s="1"/>
      <c r="C1029" s="1"/>
      <c r="D1029" s="1"/>
      <c r="E1029" s="6"/>
      <c r="F1029" s="4"/>
    </row>
    <row r="1030" spans="2:6">
      <c r="B1030" s="1"/>
      <c r="C1030" s="1"/>
      <c r="D1030" s="1"/>
      <c r="E1030" s="6"/>
      <c r="F1030" s="4"/>
    </row>
    <row r="1031" spans="2:6">
      <c r="B1031" s="1"/>
      <c r="C1031" s="1"/>
      <c r="D1031" s="1"/>
      <c r="E1031" s="6"/>
      <c r="F1031" s="4"/>
    </row>
    <row r="1032" spans="2:6">
      <c r="B1032" s="1"/>
      <c r="C1032" s="1"/>
      <c r="D1032" s="1"/>
      <c r="E1032" s="6"/>
      <c r="F1032" s="4"/>
    </row>
    <row r="1033" spans="2:6">
      <c r="B1033" s="1"/>
      <c r="C1033" s="1"/>
      <c r="D1033" s="1"/>
      <c r="E1033" s="6"/>
      <c r="F1033" s="4"/>
    </row>
    <row r="1034" spans="2:6">
      <c r="B1034" s="1"/>
      <c r="C1034" s="1"/>
      <c r="D1034" s="1"/>
      <c r="E1034" s="6"/>
      <c r="F1034" s="4"/>
    </row>
    <row r="1035" spans="2:6">
      <c r="B1035" s="1"/>
      <c r="C1035" s="1"/>
      <c r="D1035" s="1"/>
      <c r="E1035" s="6"/>
      <c r="F1035" s="4"/>
    </row>
    <row r="1036" spans="2:6">
      <c r="B1036" s="1"/>
      <c r="C1036" s="1"/>
      <c r="D1036" s="1"/>
      <c r="E1036" s="6"/>
      <c r="F1036" s="4"/>
    </row>
    <row r="1037" spans="2:6">
      <c r="B1037" s="1"/>
      <c r="C1037" s="1"/>
      <c r="D1037" s="1"/>
      <c r="E1037" s="6"/>
      <c r="F1037" s="4"/>
    </row>
    <row r="1038" spans="2:6">
      <c r="B1038" s="1"/>
      <c r="C1038" s="1"/>
      <c r="D1038" s="1"/>
      <c r="E1038" s="6"/>
      <c r="F1038" s="4"/>
    </row>
    <row r="1039" spans="2:6">
      <c r="B1039" s="1"/>
      <c r="C1039" s="1"/>
      <c r="D1039" s="1"/>
      <c r="E1039" s="6"/>
      <c r="F1039" s="4"/>
    </row>
    <row r="1040" spans="2:6">
      <c r="B1040" s="1"/>
      <c r="C1040" s="1"/>
      <c r="D1040" s="1"/>
      <c r="E1040" s="6"/>
      <c r="F1040" s="4"/>
    </row>
    <row r="1041" spans="2:6">
      <c r="B1041" s="1"/>
      <c r="C1041" s="1"/>
      <c r="D1041" s="1"/>
      <c r="E1041" s="6"/>
      <c r="F1041" s="4"/>
    </row>
    <row r="1042" spans="2:6">
      <c r="B1042" s="1"/>
      <c r="C1042" s="1"/>
      <c r="D1042" s="1"/>
      <c r="E1042" s="6"/>
      <c r="F1042" s="4"/>
    </row>
    <row r="1043" spans="2:6">
      <c r="B1043" s="1"/>
      <c r="C1043" s="1"/>
      <c r="D1043" s="1"/>
      <c r="E1043" s="6"/>
      <c r="F1043" s="4"/>
    </row>
    <row r="1044" spans="2:6">
      <c r="B1044" s="1"/>
      <c r="C1044" s="1"/>
      <c r="D1044" s="1"/>
      <c r="E1044" s="6"/>
      <c r="F1044" s="4"/>
    </row>
    <row r="1045" spans="2:6">
      <c r="B1045" s="1"/>
      <c r="C1045" s="1"/>
      <c r="D1045" s="1"/>
      <c r="E1045" s="6"/>
      <c r="F1045" s="4"/>
    </row>
    <row r="1046" spans="2:6">
      <c r="B1046" s="1"/>
      <c r="C1046" s="1"/>
      <c r="D1046" s="1"/>
      <c r="E1046" s="6"/>
      <c r="F1046" s="4"/>
    </row>
    <row r="1047" spans="2:6">
      <c r="B1047" s="1"/>
      <c r="C1047" s="1"/>
      <c r="D1047" s="1"/>
      <c r="E1047" s="6"/>
      <c r="F1047" s="4"/>
    </row>
    <row r="1048" spans="2:6">
      <c r="B1048" s="1"/>
      <c r="C1048" s="1"/>
      <c r="D1048" s="1"/>
      <c r="E1048" s="6"/>
      <c r="F1048" s="4"/>
    </row>
    <row r="1049" spans="2:6">
      <c r="B1049" s="1"/>
      <c r="C1049" s="1"/>
      <c r="D1049" s="1"/>
      <c r="E1049" s="6"/>
      <c r="F1049" s="4"/>
    </row>
    <row r="1050" spans="2:6">
      <c r="B1050" s="1"/>
      <c r="C1050" s="1"/>
      <c r="D1050" s="1"/>
      <c r="E1050" s="6"/>
      <c r="F1050" s="4"/>
    </row>
    <row r="1051" spans="2:6">
      <c r="B1051" s="1"/>
      <c r="C1051" s="1"/>
      <c r="D1051" s="1"/>
      <c r="E1051" s="6"/>
      <c r="F1051" s="4"/>
    </row>
    <row r="1052" spans="2:6">
      <c r="B1052" s="1"/>
      <c r="C1052" s="1"/>
      <c r="D1052" s="1"/>
      <c r="E1052" s="6"/>
      <c r="F1052" s="4"/>
    </row>
    <row r="1053" spans="2:6">
      <c r="B1053" s="1"/>
      <c r="C1053" s="1"/>
      <c r="D1053" s="1"/>
      <c r="E1053" s="6"/>
      <c r="F1053" s="4"/>
    </row>
    <row r="1054" spans="2:6">
      <c r="B1054" s="1"/>
      <c r="C1054" s="1"/>
      <c r="D1054" s="1"/>
      <c r="E1054" s="6"/>
      <c r="F1054" s="4"/>
    </row>
    <row r="1055" spans="2:6">
      <c r="B1055" s="1"/>
      <c r="C1055" s="1"/>
      <c r="D1055" s="1"/>
      <c r="E1055" s="6"/>
      <c r="F1055" s="4"/>
    </row>
    <row r="1056" spans="2:6">
      <c r="B1056" s="1"/>
      <c r="C1056" s="1"/>
      <c r="D1056" s="1"/>
      <c r="E1056" s="6"/>
      <c r="F1056" s="4"/>
    </row>
    <row r="1057" spans="2:6">
      <c r="B1057" s="1"/>
      <c r="C1057" s="1"/>
      <c r="D1057" s="1"/>
      <c r="E1057" s="6"/>
      <c r="F1057" s="4"/>
    </row>
    <row r="1058" spans="2:6">
      <c r="B1058" s="1"/>
      <c r="C1058" s="1"/>
      <c r="D1058" s="1"/>
      <c r="E1058" s="6"/>
      <c r="F1058" s="4"/>
    </row>
    <row r="1059" spans="2:6">
      <c r="B1059" s="1"/>
      <c r="C1059" s="1"/>
      <c r="D1059" s="1"/>
      <c r="E1059" s="6"/>
      <c r="F1059" s="4"/>
    </row>
    <row r="1060" spans="2:6">
      <c r="B1060" s="1"/>
      <c r="C1060" s="1"/>
      <c r="D1060" s="1"/>
      <c r="E1060" s="6"/>
      <c r="F1060" s="4"/>
    </row>
    <row r="1061" spans="2:6">
      <c r="B1061" s="1"/>
      <c r="C1061" s="1"/>
      <c r="D1061" s="1"/>
      <c r="E1061" s="6"/>
      <c r="F1061" s="4"/>
    </row>
    <row r="1062" spans="2:6">
      <c r="B1062" s="1"/>
      <c r="C1062" s="1"/>
      <c r="D1062" s="1"/>
      <c r="E1062" s="6"/>
      <c r="F1062" s="4"/>
    </row>
    <row r="1063" spans="2:6">
      <c r="B1063" s="1"/>
      <c r="C1063" s="1"/>
      <c r="D1063" s="1"/>
      <c r="E1063" s="6"/>
      <c r="F1063" s="4"/>
    </row>
    <row r="1064" spans="2:6">
      <c r="B1064" s="1"/>
      <c r="C1064" s="1"/>
      <c r="D1064" s="1"/>
      <c r="E1064" s="6"/>
      <c r="F1064" s="4"/>
    </row>
    <row r="1065" spans="2:6">
      <c r="B1065" s="1"/>
      <c r="C1065" s="1"/>
      <c r="D1065" s="1"/>
      <c r="E1065" s="6"/>
      <c r="F1065" s="4"/>
    </row>
    <row r="1066" spans="2:6">
      <c r="B1066" s="1"/>
      <c r="C1066" s="1"/>
      <c r="D1066" s="1"/>
      <c r="E1066" s="6"/>
      <c r="F1066" s="4"/>
    </row>
    <row r="1067" spans="2:6">
      <c r="B1067" s="1"/>
      <c r="C1067" s="1"/>
      <c r="D1067" s="1"/>
      <c r="E1067" s="6"/>
      <c r="F1067" s="4"/>
    </row>
    <row r="1068" spans="2:6">
      <c r="B1068" s="1"/>
      <c r="C1068" s="1"/>
      <c r="D1068" s="1"/>
      <c r="E1068" s="6"/>
      <c r="F1068" s="4"/>
    </row>
    <row r="1069" spans="2:6">
      <c r="B1069" s="1"/>
      <c r="C1069" s="1"/>
      <c r="D1069" s="1"/>
      <c r="E1069" s="6"/>
      <c r="F1069" s="4"/>
    </row>
    <row r="1070" spans="2:6">
      <c r="B1070" s="1"/>
      <c r="C1070" s="1"/>
      <c r="D1070" s="1"/>
      <c r="E1070" s="6"/>
      <c r="F1070" s="4"/>
    </row>
    <row r="1071" spans="2:6">
      <c r="B1071" s="1"/>
      <c r="C1071" s="1"/>
      <c r="D1071" s="1"/>
      <c r="E1071" s="6"/>
      <c r="F1071" s="4"/>
    </row>
    <row r="1072" spans="2:6">
      <c r="B1072" s="1"/>
      <c r="C1072" s="1"/>
      <c r="D1072" s="1"/>
      <c r="E1072" s="6"/>
      <c r="F1072" s="4"/>
    </row>
    <row r="1073" spans="2:6">
      <c r="B1073" s="1"/>
      <c r="C1073" s="1"/>
      <c r="D1073" s="1"/>
      <c r="E1073" s="6"/>
      <c r="F1073" s="4"/>
    </row>
    <row r="1074" spans="2:6">
      <c r="B1074" s="1"/>
      <c r="C1074" s="1"/>
      <c r="D1074" s="1"/>
      <c r="E1074" s="6"/>
      <c r="F1074" s="4"/>
    </row>
    <row r="1075" spans="2:6">
      <c r="B1075" s="1"/>
      <c r="C1075" s="1"/>
      <c r="D1075" s="1"/>
      <c r="E1075" s="6"/>
      <c r="F1075" s="4"/>
    </row>
    <row r="1076" spans="2:6">
      <c r="B1076" s="1"/>
      <c r="C1076" s="1"/>
      <c r="D1076" s="1"/>
      <c r="E1076" s="6"/>
      <c r="F1076" s="4"/>
    </row>
    <row r="1077" spans="2:6">
      <c r="B1077" s="1"/>
      <c r="C1077" s="1"/>
      <c r="D1077" s="1"/>
      <c r="E1077" s="6"/>
      <c r="F1077" s="4"/>
    </row>
    <row r="1078" spans="2:6">
      <c r="B1078" s="1"/>
      <c r="C1078" s="1"/>
      <c r="D1078" s="1"/>
      <c r="E1078" s="6"/>
      <c r="F1078" s="4"/>
    </row>
    <row r="1079" spans="2:6">
      <c r="B1079" s="1"/>
      <c r="C1079" s="1"/>
      <c r="D1079" s="1"/>
      <c r="E1079" s="6"/>
      <c r="F1079" s="4"/>
    </row>
    <row r="1080" spans="2:6">
      <c r="B1080" s="1"/>
      <c r="C1080" s="1"/>
      <c r="D1080" s="1"/>
      <c r="E1080" s="6"/>
      <c r="F1080" s="4"/>
    </row>
    <row r="1081" spans="2:6">
      <c r="B1081" s="1"/>
      <c r="C1081" s="1"/>
      <c r="D1081" s="1"/>
      <c r="E1081" s="6"/>
      <c r="F1081" s="4"/>
    </row>
    <row r="1082" spans="2:6">
      <c r="B1082" s="1"/>
      <c r="C1082" s="1"/>
      <c r="D1082" s="1"/>
      <c r="E1082" s="6"/>
      <c r="F1082" s="4"/>
    </row>
    <row r="1083" spans="2:6">
      <c r="B1083" s="1"/>
      <c r="C1083" s="1"/>
      <c r="D1083" s="1"/>
      <c r="E1083" s="6"/>
      <c r="F1083" s="4"/>
    </row>
    <row r="1084" spans="2:6">
      <c r="B1084" s="1"/>
      <c r="C1084" s="1"/>
      <c r="D1084" s="1"/>
      <c r="E1084" s="6"/>
      <c r="F1084" s="4"/>
    </row>
    <row r="1085" spans="2:6">
      <c r="B1085" s="1"/>
      <c r="C1085" s="1"/>
      <c r="D1085" s="1"/>
      <c r="E1085" s="6"/>
      <c r="F1085" s="4"/>
    </row>
    <row r="1086" spans="2:6">
      <c r="B1086" s="1"/>
      <c r="C1086" s="1"/>
      <c r="D1086" s="1"/>
      <c r="E1086" s="6"/>
      <c r="F1086" s="4"/>
    </row>
    <row r="1087" spans="2:6">
      <c r="B1087" s="1"/>
      <c r="C1087" s="1"/>
      <c r="D1087" s="1"/>
      <c r="E1087" s="6"/>
      <c r="F1087" s="4"/>
    </row>
    <row r="1088" spans="2:6">
      <c r="B1088" s="1"/>
      <c r="C1088" s="1"/>
      <c r="D1088" s="1"/>
      <c r="E1088" s="6"/>
      <c r="F1088" s="4"/>
    </row>
    <row r="1089" spans="2:6">
      <c r="B1089" s="1"/>
      <c r="C1089" s="1"/>
      <c r="D1089" s="1"/>
      <c r="E1089" s="6"/>
      <c r="F1089" s="4"/>
    </row>
    <row r="1090" spans="2:6">
      <c r="B1090" s="1"/>
      <c r="C1090" s="1"/>
      <c r="D1090" s="1"/>
      <c r="E1090" s="6"/>
      <c r="F1090" s="4"/>
    </row>
    <row r="1091" spans="2:6">
      <c r="B1091" s="1"/>
      <c r="C1091" s="1"/>
      <c r="D1091" s="1"/>
      <c r="E1091" s="6"/>
      <c r="F1091" s="4"/>
    </row>
    <row r="1092" spans="2:6">
      <c r="B1092" s="1"/>
      <c r="C1092" s="1"/>
      <c r="D1092" s="1"/>
      <c r="E1092" s="6"/>
      <c r="F1092" s="4"/>
    </row>
    <row r="1093" spans="2:6">
      <c r="B1093" s="1"/>
      <c r="C1093" s="1"/>
      <c r="D1093" s="1"/>
      <c r="E1093" s="6"/>
      <c r="F1093" s="4"/>
    </row>
    <row r="1094" spans="2:6">
      <c r="B1094" s="1"/>
      <c r="C1094" s="1"/>
      <c r="D1094" s="1"/>
      <c r="E1094" s="6"/>
      <c r="F1094" s="4"/>
    </row>
    <row r="1095" spans="2:6">
      <c r="B1095" s="1"/>
      <c r="C1095" s="1"/>
      <c r="D1095" s="1"/>
      <c r="E1095" s="6"/>
      <c r="F1095" s="4"/>
    </row>
    <row r="1096" spans="2:6">
      <c r="B1096" s="1"/>
      <c r="C1096" s="1"/>
      <c r="D1096" s="1"/>
      <c r="E1096" s="6"/>
      <c r="F1096" s="4"/>
    </row>
    <row r="1097" spans="2:6">
      <c r="B1097" s="1"/>
      <c r="C1097" s="1"/>
      <c r="D1097" s="1"/>
      <c r="E1097" s="6"/>
      <c r="F1097" s="4"/>
    </row>
    <row r="1098" spans="2:6">
      <c r="B1098" s="1"/>
      <c r="C1098" s="1"/>
      <c r="D1098" s="1"/>
      <c r="E1098" s="6"/>
      <c r="F1098" s="4"/>
    </row>
    <row r="1099" spans="2:6">
      <c r="B1099" s="1"/>
      <c r="C1099" s="1"/>
      <c r="D1099" s="1"/>
      <c r="E1099" s="6"/>
      <c r="F1099" s="4"/>
    </row>
    <row r="1100" spans="2:6">
      <c r="B1100" s="1"/>
      <c r="C1100" s="1"/>
      <c r="D1100" s="1"/>
      <c r="E1100" s="6"/>
      <c r="F1100" s="4"/>
    </row>
    <row r="1101" spans="2:6">
      <c r="B1101" s="1"/>
      <c r="C1101" s="1"/>
      <c r="D1101" s="1"/>
      <c r="E1101" s="6"/>
      <c r="F1101" s="4"/>
    </row>
    <row r="1102" spans="2:6">
      <c r="B1102" s="1"/>
      <c r="C1102" s="1"/>
      <c r="D1102" s="1"/>
      <c r="E1102" s="6"/>
      <c r="F1102" s="4"/>
    </row>
    <row r="1103" spans="2:6">
      <c r="B1103" s="1"/>
      <c r="C1103" s="1"/>
      <c r="D1103" s="1"/>
      <c r="E1103" s="6"/>
      <c r="F1103" s="4"/>
    </row>
    <row r="1104" spans="2:6">
      <c r="B1104" s="1"/>
      <c r="C1104" s="1"/>
      <c r="D1104" s="1"/>
      <c r="E1104" s="6"/>
      <c r="F1104" s="4"/>
    </row>
    <row r="1105" spans="2:6">
      <c r="B1105" s="1"/>
      <c r="C1105" s="1"/>
      <c r="D1105" s="1"/>
      <c r="E1105" s="6"/>
      <c r="F1105" s="4"/>
    </row>
    <row r="1106" spans="2:6">
      <c r="B1106" s="1"/>
      <c r="C1106" s="1"/>
      <c r="D1106" s="1"/>
      <c r="E1106" s="6"/>
      <c r="F1106" s="4"/>
    </row>
    <row r="1107" spans="2:6">
      <c r="B1107" s="1"/>
      <c r="C1107" s="1"/>
      <c r="D1107" s="1"/>
      <c r="E1107" s="6"/>
      <c r="F1107" s="4"/>
    </row>
    <row r="1108" spans="2:6">
      <c r="B1108" s="1"/>
      <c r="C1108" s="1"/>
      <c r="D1108" s="1"/>
      <c r="E1108" s="6"/>
      <c r="F1108" s="4"/>
    </row>
    <row r="1109" spans="2:6">
      <c r="B1109" s="1"/>
      <c r="C1109" s="1"/>
      <c r="D1109" s="1"/>
      <c r="E1109" s="6"/>
      <c r="F1109" s="4"/>
    </row>
    <row r="1110" spans="2:6">
      <c r="B1110" s="1"/>
      <c r="C1110" s="1"/>
      <c r="D1110" s="1"/>
      <c r="E1110" s="6"/>
      <c r="F1110" s="4"/>
    </row>
    <row r="1111" spans="2:6">
      <c r="B1111" s="1"/>
      <c r="C1111" s="1"/>
      <c r="D1111" s="1"/>
      <c r="E1111" s="6"/>
      <c r="F1111" s="4"/>
    </row>
    <row r="1112" spans="2:6">
      <c r="B1112" s="1"/>
      <c r="C1112" s="1"/>
      <c r="D1112" s="1"/>
      <c r="E1112" s="6"/>
      <c r="F1112" s="4"/>
    </row>
    <row r="1113" spans="2:6">
      <c r="B1113" s="1"/>
      <c r="C1113" s="1"/>
      <c r="D1113" s="1"/>
      <c r="E1113" s="6"/>
      <c r="F1113" s="4"/>
    </row>
    <row r="1114" spans="2:6">
      <c r="B1114" s="1"/>
      <c r="C1114" s="1"/>
      <c r="D1114" s="1"/>
      <c r="E1114" s="6"/>
      <c r="F1114" s="4"/>
    </row>
    <row r="1115" spans="2:6">
      <c r="B1115" s="1"/>
      <c r="C1115" s="1"/>
      <c r="D1115" s="1"/>
      <c r="E1115" s="6"/>
      <c r="F1115" s="4"/>
    </row>
    <row r="1116" spans="2:6">
      <c r="B1116" s="1"/>
      <c r="C1116" s="1"/>
      <c r="D1116" s="1"/>
      <c r="E1116" s="6"/>
      <c r="F1116" s="4"/>
    </row>
    <row r="1117" spans="2:6">
      <c r="B1117" s="1"/>
      <c r="C1117" s="1"/>
      <c r="D1117" s="1"/>
      <c r="E1117" s="6"/>
      <c r="F1117" s="4"/>
    </row>
    <row r="1118" spans="2:6">
      <c r="B1118" s="1"/>
      <c r="C1118" s="1"/>
      <c r="D1118" s="1"/>
      <c r="E1118" s="6"/>
      <c r="F1118" s="4"/>
    </row>
    <row r="1119" spans="2:6">
      <c r="B1119" s="1"/>
      <c r="C1119" s="1"/>
      <c r="D1119" s="1"/>
      <c r="E1119" s="6"/>
      <c r="F1119" s="4"/>
    </row>
    <row r="1120" spans="2:6">
      <c r="B1120" s="1"/>
      <c r="C1120" s="1"/>
      <c r="D1120" s="1"/>
      <c r="E1120" s="6"/>
      <c r="F1120" s="4"/>
    </row>
    <row r="1121" spans="2:6">
      <c r="B1121" s="1"/>
      <c r="C1121" s="1"/>
      <c r="D1121" s="1"/>
      <c r="E1121" s="6"/>
      <c r="F1121" s="4"/>
    </row>
    <row r="1122" spans="2:6">
      <c r="B1122" s="1"/>
      <c r="C1122" s="1"/>
      <c r="D1122" s="1"/>
      <c r="E1122" s="6"/>
      <c r="F1122" s="4"/>
    </row>
    <row r="1123" spans="2:6">
      <c r="B1123" s="1"/>
      <c r="C1123" s="1"/>
      <c r="D1123" s="1"/>
      <c r="E1123" s="6"/>
      <c r="F1123" s="4"/>
    </row>
    <row r="1124" spans="2:6">
      <c r="B1124" s="1"/>
      <c r="C1124" s="1"/>
      <c r="D1124" s="1"/>
      <c r="E1124" s="6"/>
      <c r="F1124" s="4"/>
    </row>
    <row r="1125" spans="2:6">
      <c r="B1125" s="1"/>
      <c r="C1125" s="1"/>
      <c r="D1125" s="1"/>
      <c r="E1125" s="6"/>
      <c r="F1125" s="4"/>
    </row>
    <row r="1126" spans="2:6">
      <c r="B1126" s="1"/>
      <c r="C1126" s="1"/>
      <c r="D1126" s="1"/>
      <c r="E1126" s="6"/>
      <c r="F1126" s="4"/>
    </row>
    <row r="1127" spans="2:6">
      <c r="B1127" s="1"/>
      <c r="C1127" s="1"/>
      <c r="D1127" s="1"/>
      <c r="E1127" s="6"/>
      <c r="F1127" s="4"/>
    </row>
    <row r="1128" spans="2:6">
      <c r="B1128" s="1"/>
      <c r="C1128" s="1"/>
      <c r="D1128" s="1"/>
      <c r="E1128" s="6"/>
      <c r="F1128" s="4"/>
    </row>
    <row r="1129" spans="2:6">
      <c r="B1129" s="1"/>
      <c r="C1129" s="1"/>
      <c r="D1129" s="1"/>
      <c r="E1129" s="6"/>
      <c r="F1129" s="4"/>
    </row>
    <row r="1130" spans="2:6">
      <c r="B1130" s="1"/>
      <c r="C1130" s="1"/>
      <c r="D1130" s="1"/>
      <c r="E1130" s="6"/>
      <c r="F1130" s="4"/>
    </row>
    <row r="1131" spans="2:6">
      <c r="B1131" s="1"/>
      <c r="C1131" s="1"/>
      <c r="D1131" s="1"/>
      <c r="E1131" s="6"/>
      <c r="F1131" s="4"/>
    </row>
    <row r="1132" spans="2:6">
      <c r="B1132" s="1"/>
      <c r="C1132" s="1"/>
      <c r="D1132" s="1"/>
      <c r="E1132" s="6"/>
      <c r="F1132" s="4"/>
    </row>
    <row r="1133" spans="2:6">
      <c r="B1133" s="1"/>
      <c r="C1133" s="1"/>
      <c r="D1133" s="1"/>
      <c r="E1133" s="6"/>
      <c r="F1133" s="4"/>
    </row>
    <row r="1134" spans="2:6">
      <c r="B1134" s="1"/>
      <c r="C1134" s="1"/>
      <c r="D1134" s="1"/>
      <c r="E1134" s="6"/>
      <c r="F1134" s="4"/>
    </row>
    <row r="1135" spans="2:6">
      <c r="B1135" s="1"/>
      <c r="C1135" s="1"/>
      <c r="D1135" s="1"/>
      <c r="E1135" s="6"/>
      <c r="F1135" s="4"/>
    </row>
    <row r="1136" spans="2:6">
      <c r="B1136" s="1"/>
      <c r="C1136" s="1"/>
      <c r="D1136" s="1"/>
      <c r="E1136" s="6"/>
      <c r="F1136" s="4"/>
    </row>
    <row r="1137" spans="2:6">
      <c r="B1137" s="1"/>
      <c r="C1137" s="1"/>
      <c r="D1137" s="1"/>
      <c r="E1137" s="6"/>
      <c r="F1137" s="4"/>
    </row>
    <row r="1138" spans="2:6">
      <c r="B1138" s="1"/>
      <c r="C1138" s="1"/>
      <c r="D1138" s="1"/>
      <c r="E1138" s="6"/>
      <c r="F1138" s="4"/>
    </row>
    <row r="1139" spans="2:6">
      <c r="B1139" s="1"/>
      <c r="C1139" s="1"/>
      <c r="D1139" s="1"/>
      <c r="E1139" s="6"/>
      <c r="F1139" s="4"/>
    </row>
    <row r="1140" spans="2:6">
      <c r="B1140" s="1"/>
      <c r="C1140" s="1"/>
      <c r="D1140" s="1"/>
      <c r="E1140" s="6"/>
      <c r="F1140" s="4"/>
    </row>
    <row r="1141" spans="2:6">
      <c r="B1141" s="1"/>
      <c r="C1141" s="1"/>
      <c r="D1141" s="1"/>
      <c r="E1141" s="6"/>
      <c r="F1141" s="4"/>
    </row>
    <row r="1142" spans="2:6">
      <c r="B1142" s="1"/>
      <c r="C1142" s="1"/>
      <c r="D1142" s="1"/>
      <c r="E1142" s="6"/>
      <c r="F1142" s="4"/>
    </row>
    <row r="1143" spans="2:6">
      <c r="B1143" s="1"/>
      <c r="C1143" s="1"/>
      <c r="D1143" s="1"/>
      <c r="E1143" s="6"/>
      <c r="F1143" s="4"/>
    </row>
    <row r="1144" spans="2:6">
      <c r="B1144" s="1"/>
      <c r="C1144" s="1"/>
      <c r="D1144" s="1"/>
      <c r="E1144" s="6"/>
      <c r="F1144" s="4"/>
    </row>
    <row r="1145" spans="2:6">
      <c r="B1145" s="1"/>
      <c r="C1145" s="1"/>
      <c r="D1145" s="1"/>
      <c r="E1145" s="6"/>
      <c r="F1145" s="4"/>
    </row>
    <row r="1146" spans="2:6">
      <c r="B1146" s="1"/>
      <c r="C1146" s="1"/>
      <c r="D1146" s="1"/>
      <c r="E1146" s="6"/>
      <c r="F1146" s="4"/>
    </row>
    <row r="1147" spans="2:6">
      <c r="B1147" s="1"/>
      <c r="C1147" s="1"/>
      <c r="D1147" s="1"/>
      <c r="E1147" s="6"/>
      <c r="F1147" s="4"/>
    </row>
    <row r="1148" spans="2:6">
      <c r="B1148" s="1"/>
      <c r="C1148" s="1"/>
      <c r="D1148" s="1"/>
      <c r="E1148" s="6"/>
      <c r="F1148" s="4"/>
    </row>
    <row r="1149" spans="2:6">
      <c r="B1149" s="1"/>
      <c r="C1149" s="1"/>
      <c r="D1149" s="1"/>
      <c r="E1149" s="6"/>
      <c r="F1149" s="4"/>
    </row>
    <row r="1150" spans="2:6">
      <c r="B1150" s="1"/>
      <c r="C1150" s="1"/>
      <c r="D1150" s="1"/>
      <c r="E1150" s="6"/>
      <c r="F1150" s="4"/>
    </row>
    <row r="1151" spans="2:6">
      <c r="B1151" s="1"/>
      <c r="C1151" s="1"/>
      <c r="D1151" s="1"/>
      <c r="E1151" s="6"/>
      <c r="F1151" s="4"/>
    </row>
    <row r="1152" spans="2:6">
      <c r="B1152" s="1"/>
      <c r="C1152" s="1"/>
      <c r="D1152" s="1"/>
      <c r="E1152" s="6"/>
      <c r="F1152" s="4"/>
    </row>
    <row r="1153" spans="2:6">
      <c r="B1153" s="1"/>
      <c r="C1153" s="1"/>
      <c r="D1153" s="1"/>
      <c r="E1153" s="6"/>
      <c r="F1153" s="4"/>
    </row>
    <row r="1154" spans="2:6">
      <c r="B1154" s="1"/>
      <c r="C1154" s="1"/>
      <c r="D1154" s="1"/>
      <c r="E1154" s="6"/>
      <c r="F1154" s="4"/>
    </row>
    <row r="1155" spans="2:6">
      <c r="B1155" s="1"/>
      <c r="C1155" s="1"/>
      <c r="D1155" s="1"/>
      <c r="E1155" s="6"/>
      <c r="F1155" s="4"/>
    </row>
    <row r="1156" spans="2:6">
      <c r="B1156" s="1"/>
      <c r="C1156" s="1"/>
      <c r="D1156" s="1"/>
      <c r="E1156" s="6"/>
      <c r="F1156" s="4"/>
    </row>
    <row r="1157" spans="2:6">
      <c r="B1157" s="1"/>
      <c r="C1157" s="1"/>
      <c r="D1157" s="1"/>
      <c r="E1157" s="6"/>
      <c r="F1157" s="4"/>
    </row>
    <row r="1158" spans="2:6">
      <c r="B1158" s="1"/>
      <c r="C1158" s="1"/>
      <c r="D1158" s="1"/>
      <c r="E1158" s="6"/>
      <c r="F1158" s="4"/>
    </row>
    <row r="1159" spans="2:6">
      <c r="B1159" s="1"/>
      <c r="C1159" s="1"/>
      <c r="D1159" s="1"/>
      <c r="E1159" s="6"/>
      <c r="F1159" s="4"/>
    </row>
    <row r="1160" spans="2:6">
      <c r="B1160" s="1"/>
      <c r="C1160" s="1"/>
      <c r="D1160" s="1"/>
      <c r="E1160" s="6"/>
      <c r="F1160" s="4"/>
    </row>
    <row r="1161" spans="2:6">
      <c r="B1161" s="1"/>
      <c r="C1161" s="1"/>
      <c r="D1161" s="1"/>
      <c r="E1161" s="6"/>
      <c r="F1161" s="4"/>
    </row>
    <row r="1162" spans="2:6">
      <c r="B1162" s="1"/>
      <c r="C1162" s="1"/>
      <c r="D1162" s="1"/>
      <c r="E1162" s="6"/>
      <c r="F1162" s="4"/>
    </row>
    <row r="1163" spans="2:6">
      <c r="B1163" s="1"/>
      <c r="C1163" s="1"/>
      <c r="D1163" s="1"/>
      <c r="E1163" s="6"/>
      <c r="F1163" s="4"/>
    </row>
    <row r="1164" spans="2:6">
      <c r="B1164" s="1"/>
      <c r="C1164" s="1"/>
      <c r="D1164" s="1"/>
      <c r="E1164" s="6"/>
      <c r="F1164" s="4"/>
    </row>
    <row r="1165" spans="2:6">
      <c r="B1165" s="1"/>
      <c r="C1165" s="1"/>
      <c r="D1165" s="1"/>
      <c r="E1165" s="6"/>
      <c r="F1165" s="4"/>
    </row>
    <row r="1166" spans="2:6">
      <c r="B1166" s="1"/>
      <c r="C1166" s="1"/>
      <c r="D1166" s="1"/>
      <c r="E1166" s="6"/>
      <c r="F1166" s="4"/>
    </row>
    <row r="1167" spans="2:6">
      <c r="B1167" s="1"/>
      <c r="C1167" s="1"/>
      <c r="D1167" s="1"/>
      <c r="E1167" s="6"/>
      <c r="F1167" s="4"/>
    </row>
    <row r="1168" spans="2:6">
      <c r="B1168" s="1"/>
      <c r="C1168" s="1"/>
      <c r="D1168" s="1"/>
      <c r="E1168" s="6"/>
      <c r="F1168" s="4"/>
    </row>
    <row r="1169" spans="2:6">
      <c r="B1169" s="1"/>
      <c r="C1169" s="1"/>
      <c r="D1169" s="1"/>
      <c r="E1169" s="6"/>
      <c r="F1169" s="4"/>
    </row>
    <row r="1170" spans="2:6">
      <c r="B1170" s="1"/>
      <c r="C1170" s="1"/>
      <c r="D1170" s="1"/>
      <c r="E1170" s="6"/>
      <c r="F1170" s="4"/>
    </row>
    <row r="1171" spans="2:6">
      <c r="B1171" s="1"/>
      <c r="C1171" s="1"/>
      <c r="D1171" s="1"/>
      <c r="E1171" s="6"/>
      <c r="F1171" s="4"/>
    </row>
    <row r="1172" spans="2:6">
      <c r="B1172" s="1"/>
      <c r="C1172" s="1"/>
      <c r="D1172" s="1"/>
      <c r="E1172" s="6"/>
      <c r="F1172" s="4"/>
    </row>
    <row r="1173" spans="2:6">
      <c r="B1173" s="1"/>
      <c r="C1173" s="1"/>
      <c r="D1173" s="1"/>
      <c r="E1173" s="6"/>
      <c r="F1173" s="4"/>
    </row>
    <row r="1174" spans="2:6">
      <c r="B1174" s="1"/>
      <c r="C1174" s="1"/>
      <c r="D1174" s="1"/>
      <c r="E1174" s="6"/>
      <c r="F1174" s="4"/>
    </row>
    <row r="1175" spans="2:6">
      <c r="B1175" s="1"/>
      <c r="C1175" s="1"/>
      <c r="D1175" s="1"/>
      <c r="E1175" s="6"/>
      <c r="F1175" s="4"/>
    </row>
    <row r="1176" spans="2:6">
      <c r="B1176" s="1"/>
      <c r="C1176" s="1"/>
      <c r="D1176" s="1"/>
      <c r="E1176" s="6"/>
      <c r="F1176" s="4"/>
    </row>
    <row r="1177" spans="2:6">
      <c r="B1177" s="1"/>
      <c r="C1177" s="1"/>
      <c r="D1177" s="1"/>
      <c r="E1177" s="6"/>
      <c r="F1177" s="4"/>
    </row>
    <row r="1178" spans="2:6">
      <c r="B1178" s="1"/>
      <c r="C1178" s="1"/>
      <c r="D1178" s="1"/>
      <c r="E1178" s="6"/>
      <c r="F1178" s="4"/>
    </row>
    <row r="1179" spans="2:6">
      <c r="B1179" s="1"/>
      <c r="C1179" s="1"/>
      <c r="D1179" s="1"/>
      <c r="E1179" s="6"/>
      <c r="F1179" s="4"/>
    </row>
    <row r="1180" spans="2:6">
      <c r="B1180" s="1"/>
      <c r="C1180" s="1"/>
      <c r="D1180" s="1"/>
      <c r="E1180" s="6"/>
      <c r="F1180" s="4"/>
    </row>
    <row r="1181" spans="2:6">
      <c r="B1181" s="1"/>
      <c r="C1181" s="1"/>
      <c r="D1181" s="1"/>
      <c r="E1181" s="6"/>
      <c r="F1181" s="4"/>
    </row>
    <row r="1182" spans="2:6">
      <c r="B1182" s="1"/>
      <c r="C1182" s="1"/>
      <c r="D1182" s="1"/>
      <c r="E1182" s="6"/>
      <c r="F1182" s="4"/>
    </row>
    <row r="1183" spans="2:6">
      <c r="B1183" s="1"/>
      <c r="C1183" s="1"/>
      <c r="D1183" s="1"/>
      <c r="E1183" s="6"/>
      <c r="F1183" s="4"/>
    </row>
    <row r="1184" spans="2:6">
      <c r="B1184" s="1"/>
      <c r="C1184" s="1"/>
      <c r="D1184" s="1"/>
      <c r="E1184" s="6"/>
      <c r="F1184" s="4"/>
    </row>
    <row r="1185" spans="2:6">
      <c r="B1185" s="1"/>
      <c r="C1185" s="1"/>
      <c r="D1185" s="1"/>
      <c r="E1185" s="6"/>
      <c r="F1185" s="4"/>
    </row>
    <row r="1186" spans="2:6">
      <c r="B1186" s="1"/>
      <c r="C1186" s="1"/>
      <c r="D1186" s="1"/>
      <c r="E1186" s="6"/>
      <c r="F1186" s="4"/>
    </row>
    <row r="1187" spans="2:6">
      <c r="B1187" s="1"/>
      <c r="C1187" s="1"/>
      <c r="D1187" s="1"/>
      <c r="E1187" s="6"/>
      <c r="F1187" s="4"/>
    </row>
    <row r="1188" spans="2:6">
      <c r="B1188" s="1"/>
      <c r="C1188" s="1"/>
      <c r="D1188" s="1"/>
      <c r="E1188" s="6"/>
      <c r="F1188" s="4"/>
    </row>
    <row r="1189" spans="2:6">
      <c r="B1189" s="1"/>
      <c r="C1189" s="1"/>
      <c r="D1189" s="1"/>
      <c r="E1189" s="6"/>
      <c r="F1189" s="4"/>
    </row>
    <row r="1190" spans="2:6">
      <c r="B1190" s="1"/>
      <c r="C1190" s="1"/>
      <c r="D1190" s="1"/>
      <c r="E1190" s="6"/>
      <c r="F1190" s="4"/>
    </row>
    <row r="1191" spans="2:6">
      <c r="B1191" s="1"/>
      <c r="C1191" s="1"/>
      <c r="D1191" s="1"/>
      <c r="E1191" s="6"/>
      <c r="F1191" s="4"/>
    </row>
    <row r="1192" spans="2:6">
      <c r="B1192" s="1"/>
      <c r="C1192" s="1"/>
      <c r="D1192" s="1"/>
      <c r="E1192" s="6"/>
      <c r="F1192" s="4"/>
    </row>
    <row r="1193" spans="2:6">
      <c r="B1193" s="1"/>
      <c r="C1193" s="1"/>
      <c r="D1193" s="1"/>
      <c r="E1193" s="6"/>
      <c r="F1193" s="4"/>
    </row>
    <row r="1194" spans="2:6">
      <c r="B1194" s="1"/>
      <c r="C1194" s="1"/>
      <c r="D1194" s="1"/>
      <c r="E1194" s="6"/>
      <c r="F1194" s="4"/>
    </row>
    <row r="1195" spans="2:6">
      <c r="B1195" s="1"/>
      <c r="C1195" s="1"/>
      <c r="D1195" s="1"/>
      <c r="E1195" s="6"/>
      <c r="F1195" s="4"/>
    </row>
    <row r="1196" spans="2:6">
      <c r="B1196" s="1"/>
      <c r="C1196" s="1"/>
      <c r="D1196" s="1"/>
      <c r="E1196" s="6"/>
      <c r="F1196" s="4"/>
    </row>
    <row r="1197" spans="2:6">
      <c r="B1197" s="1"/>
      <c r="C1197" s="1"/>
      <c r="D1197" s="1"/>
      <c r="E1197" s="6"/>
      <c r="F1197" s="4"/>
    </row>
    <row r="1198" spans="2:6">
      <c r="B1198" s="1"/>
      <c r="C1198" s="1"/>
      <c r="D1198" s="1"/>
      <c r="E1198" s="6"/>
      <c r="F1198" s="4"/>
    </row>
    <row r="1199" spans="2:6">
      <c r="B1199" s="1"/>
      <c r="C1199" s="1"/>
      <c r="D1199" s="1"/>
      <c r="E1199" s="6"/>
      <c r="F1199" s="4"/>
    </row>
    <row r="1200" spans="2:6">
      <c r="B1200" s="1"/>
      <c r="C1200" s="1"/>
      <c r="D1200" s="1"/>
      <c r="E1200" s="6"/>
      <c r="F1200" s="4"/>
    </row>
    <row r="1201" spans="2:6">
      <c r="B1201" s="1"/>
      <c r="C1201" s="1"/>
      <c r="D1201" s="1"/>
      <c r="E1201" s="6"/>
      <c r="F1201" s="4"/>
    </row>
    <row r="1202" spans="2:6">
      <c r="B1202" s="1"/>
      <c r="C1202" s="1"/>
      <c r="D1202" s="1"/>
      <c r="E1202" s="6"/>
      <c r="F1202" s="4"/>
    </row>
    <row r="1203" spans="2:6">
      <c r="B1203" s="1"/>
      <c r="C1203" s="1"/>
      <c r="D1203" s="1"/>
      <c r="E1203" s="6"/>
      <c r="F1203" s="4"/>
    </row>
    <row r="1204" spans="2:6">
      <c r="B1204" s="1"/>
      <c r="C1204" s="1"/>
      <c r="D1204" s="1"/>
      <c r="E1204" s="6"/>
      <c r="F1204" s="4"/>
    </row>
    <row r="1205" spans="2:6">
      <c r="B1205" s="1"/>
      <c r="C1205" s="1"/>
      <c r="D1205" s="1"/>
      <c r="E1205" s="6"/>
      <c r="F1205" s="4"/>
    </row>
    <row r="1206" spans="2:6">
      <c r="B1206" s="1"/>
      <c r="C1206" s="1"/>
      <c r="D1206" s="1"/>
      <c r="E1206" s="6"/>
      <c r="F1206" s="4"/>
    </row>
    <row r="1207" spans="2:6">
      <c r="B1207" s="1"/>
      <c r="C1207" s="1"/>
      <c r="D1207" s="1"/>
      <c r="E1207" s="6"/>
      <c r="F1207" s="4"/>
    </row>
    <row r="1208" spans="2:6">
      <c r="B1208" s="1"/>
      <c r="C1208" s="1"/>
      <c r="D1208" s="1"/>
      <c r="E1208" s="6"/>
      <c r="F1208" s="4"/>
    </row>
    <row r="1209" spans="2:6">
      <c r="B1209" s="1"/>
      <c r="C1209" s="1"/>
      <c r="D1209" s="1"/>
      <c r="E1209" s="6"/>
      <c r="F1209" s="4"/>
    </row>
    <row r="1210" spans="2:6">
      <c r="B1210" s="1"/>
      <c r="C1210" s="1"/>
      <c r="D1210" s="1"/>
      <c r="E1210" s="6"/>
      <c r="F1210" s="4"/>
    </row>
    <row r="1211" spans="2:6">
      <c r="B1211" s="1"/>
      <c r="C1211" s="1"/>
      <c r="D1211" s="1"/>
      <c r="E1211" s="6"/>
      <c r="F1211" s="4"/>
    </row>
    <row r="1212" spans="2:6">
      <c r="B1212" s="1"/>
      <c r="C1212" s="1"/>
      <c r="D1212" s="1"/>
      <c r="E1212" s="6"/>
      <c r="F1212" s="4"/>
    </row>
    <row r="1213" spans="2:6">
      <c r="B1213" s="1"/>
      <c r="C1213" s="1"/>
      <c r="D1213" s="1"/>
      <c r="E1213" s="6"/>
      <c r="F1213" s="4"/>
    </row>
    <row r="1214" spans="2:6">
      <c r="B1214" s="1"/>
      <c r="C1214" s="1"/>
      <c r="D1214" s="1"/>
      <c r="E1214" s="6"/>
      <c r="F1214" s="4"/>
    </row>
    <row r="1215" spans="2:6">
      <c r="B1215" s="1"/>
      <c r="C1215" s="1"/>
      <c r="D1215" s="1"/>
      <c r="E1215" s="6"/>
      <c r="F1215" s="4"/>
    </row>
    <row r="1216" spans="2:6">
      <c r="B1216" s="1"/>
      <c r="C1216" s="1"/>
      <c r="D1216" s="1"/>
      <c r="E1216" s="6"/>
      <c r="F1216" s="4"/>
    </row>
    <row r="1217" spans="2:6">
      <c r="B1217" s="1"/>
      <c r="C1217" s="1"/>
      <c r="D1217" s="1"/>
      <c r="E1217" s="6"/>
      <c r="F1217" s="4"/>
    </row>
    <row r="1218" spans="2:6">
      <c r="B1218" s="1"/>
      <c r="C1218" s="1"/>
      <c r="D1218" s="1"/>
      <c r="E1218" s="6"/>
      <c r="F1218" s="4"/>
    </row>
    <row r="1219" spans="2:6">
      <c r="B1219" s="1"/>
      <c r="C1219" s="1"/>
      <c r="D1219" s="1"/>
      <c r="E1219" s="6"/>
      <c r="F1219" s="4"/>
    </row>
    <row r="1220" spans="2:6">
      <c r="B1220" s="1"/>
      <c r="C1220" s="1"/>
      <c r="D1220" s="1"/>
      <c r="E1220" s="6"/>
      <c r="F1220" s="4"/>
    </row>
    <row r="1221" spans="2:6">
      <c r="B1221" s="1"/>
      <c r="C1221" s="1"/>
      <c r="D1221" s="1"/>
      <c r="E1221" s="6"/>
      <c r="F1221" s="4"/>
    </row>
    <row r="1222" spans="2:6">
      <c r="B1222" s="1"/>
      <c r="C1222" s="1"/>
      <c r="D1222" s="1"/>
      <c r="E1222" s="6"/>
      <c r="F1222" s="4"/>
    </row>
    <row r="1223" spans="2:6">
      <c r="B1223" s="1"/>
      <c r="C1223" s="1"/>
      <c r="D1223" s="1"/>
      <c r="E1223" s="6"/>
      <c r="F1223" s="4"/>
    </row>
    <row r="1224" spans="2:6">
      <c r="B1224" s="1"/>
      <c r="C1224" s="1"/>
      <c r="D1224" s="1"/>
      <c r="E1224" s="6"/>
      <c r="F1224" s="4"/>
    </row>
    <row r="1225" spans="2:6">
      <c r="B1225" s="1"/>
      <c r="C1225" s="1"/>
      <c r="D1225" s="1"/>
      <c r="E1225" s="6"/>
      <c r="F1225" s="4"/>
    </row>
    <row r="1226" spans="2:6">
      <c r="B1226" s="1"/>
      <c r="C1226" s="1"/>
      <c r="D1226" s="1"/>
      <c r="E1226" s="6"/>
      <c r="F1226" s="4"/>
    </row>
    <row r="1227" spans="2:6">
      <c r="B1227" s="1"/>
      <c r="C1227" s="1"/>
      <c r="D1227" s="1"/>
      <c r="E1227" s="6"/>
      <c r="F1227" s="4"/>
    </row>
    <row r="1228" spans="2:6">
      <c r="B1228" s="1"/>
      <c r="C1228" s="1"/>
      <c r="D1228" s="1"/>
      <c r="E1228" s="6"/>
      <c r="F1228" s="4"/>
    </row>
    <row r="1229" spans="2:6">
      <c r="B1229" s="1"/>
      <c r="C1229" s="1"/>
      <c r="D1229" s="1"/>
      <c r="E1229" s="6"/>
      <c r="F1229" s="4"/>
    </row>
    <row r="1230" spans="2:6">
      <c r="B1230" s="1"/>
      <c r="C1230" s="1"/>
      <c r="D1230" s="1"/>
      <c r="E1230" s="6"/>
      <c r="F1230" s="4"/>
    </row>
    <row r="1231" spans="2:6">
      <c r="B1231" s="1"/>
      <c r="C1231" s="1"/>
      <c r="D1231" s="1"/>
      <c r="E1231" s="6"/>
      <c r="F1231" s="4"/>
    </row>
    <row r="1232" spans="2:6">
      <c r="B1232" s="1"/>
      <c r="C1232" s="1"/>
      <c r="D1232" s="1"/>
      <c r="E1232" s="6"/>
      <c r="F1232" s="4"/>
    </row>
    <row r="1233" spans="2:6">
      <c r="B1233" s="1"/>
      <c r="C1233" s="1"/>
      <c r="D1233" s="1"/>
      <c r="E1233" s="6"/>
      <c r="F1233" s="4"/>
    </row>
    <row r="1234" spans="2:6">
      <c r="B1234" s="1"/>
      <c r="C1234" s="1"/>
      <c r="D1234" s="1"/>
      <c r="E1234" s="6"/>
      <c r="F1234" s="4"/>
    </row>
    <row r="1235" spans="2:6">
      <c r="B1235" s="1"/>
      <c r="C1235" s="1"/>
      <c r="D1235" s="1"/>
      <c r="E1235" s="6"/>
      <c r="F1235" s="4"/>
    </row>
    <row r="1236" spans="2:6">
      <c r="B1236" s="1"/>
      <c r="C1236" s="1"/>
      <c r="D1236" s="1"/>
      <c r="E1236" s="6"/>
      <c r="F1236" s="4"/>
    </row>
    <row r="1237" spans="2:6">
      <c r="B1237" s="1"/>
      <c r="C1237" s="1"/>
      <c r="D1237" s="1"/>
      <c r="E1237" s="6"/>
      <c r="F1237" s="4"/>
    </row>
    <row r="1238" spans="2:6">
      <c r="B1238" s="1"/>
      <c r="C1238" s="1"/>
      <c r="D1238" s="1"/>
      <c r="E1238" s="6"/>
      <c r="F1238" s="4"/>
    </row>
    <row r="1239" spans="2:6">
      <c r="B1239" s="1"/>
      <c r="C1239" s="1"/>
      <c r="D1239" s="1"/>
      <c r="E1239" s="6"/>
      <c r="F1239" s="4"/>
    </row>
    <row r="1240" spans="2:6">
      <c r="B1240" s="1"/>
      <c r="C1240" s="1"/>
      <c r="D1240" s="1"/>
      <c r="E1240" s="6"/>
      <c r="F1240" s="4"/>
    </row>
    <row r="1241" spans="2:6">
      <c r="B1241" s="1"/>
      <c r="C1241" s="1"/>
      <c r="D1241" s="1"/>
      <c r="E1241" s="6"/>
      <c r="F1241" s="4"/>
    </row>
    <row r="1242" spans="2:6">
      <c r="B1242" s="1"/>
      <c r="C1242" s="1"/>
      <c r="D1242" s="1"/>
      <c r="E1242" s="6"/>
      <c r="F1242" s="4"/>
    </row>
    <row r="1243" spans="2:6">
      <c r="B1243" s="1"/>
      <c r="C1243" s="1"/>
      <c r="D1243" s="1"/>
      <c r="E1243" s="6"/>
      <c r="F1243" s="4"/>
    </row>
    <row r="1244" spans="2:6">
      <c r="B1244" s="1"/>
      <c r="C1244" s="1"/>
      <c r="D1244" s="1"/>
      <c r="E1244" s="6"/>
      <c r="F1244" s="4"/>
    </row>
    <row r="1245" spans="2:6">
      <c r="B1245" s="1"/>
      <c r="C1245" s="1"/>
      <c r="D1245" s="1"/>
      <c r="E1245" s="6"/>
      <c r="F1245" s="4"/>
    </row>
    <row r="1246" spans="2:6">
      <c r="B1246" s="1"/>
      <c r="C1246" s="1"/>
      <c r="D1246" s="1"/>
      <c r="E1246" s="6"/>
      <c r="F1246" s="4"/>
    </row>
    <row r="1247" spans="2:6">
      <c r="B1247" s="1"/>
      <c r="C1247" s="1"/>
      <c r="D1247" s="1"/>
      <c r="E1247" s="6"/>
      <c r="F1247" s="4"/>
    </row>
    <row r="1248" spans="2:6">
      <c r="B1248" s="1"/>
      <c r="C1248" s="1"/>
      <c r="D1248" s="1"/>
      <c r="E1248" s="6"/>
      <c r="F1248" s="4"/>
    </row>
    <row r="1249" spans="2:6">
      <c r="B1249" s="1"/>
      <c r="C1249" s="1"/>
      <c r="D1249" s="1"/>
      <c r="E1249" s="6"/>
      <c r="F1249" s="4"/>
    </row>
    <row r="1250" spans="2:6">
      <c r="B1250" s="1"/>
      <c r="C1250" s="1"/>
      <c r="D1250" s="1"/>
      <c r="E1250" s="6"/>
      <c r="F1250" s="4"/>
    </row>
    <row r="1251" spans="2:6">
      <c r="B1251" s="1"/>
      <c r="C1251" s="1"/>
      <c r="D1251" s="1"/>
      <c r="E1251" s="6"/>
      <c r="F1251" s="4"/>
    </row>
    <row r="1252" spans="2:6">
      <c r="B1252" s="1"/>
      <c r="C1252" s="1"/>
      <c r="D1252" s="1"/>
      <c r="E1252" s="6"/>
      <c r="F1252" s="4"/>
    </row>
    <row r="1253" spans="2:6">
      <c r="B1253" s="1"/>
      <c r="C1253" s="1"/>
      <c r="D1253" s="1"/>
      <c r="E1253" s="6"/>
      <c r="F1253" s="4"/>
    </row>
    <row r="1254" spans="2:6">
      <c r="B1254" s="1"/>
      <c r="C1254" s="1"/>
      <c r="D1254" s="1"/>
      <c r="E1254" s="6"/>
      <c r="F1254" s="4"/>
    </row>
    <row r="1255" spans="2:6">
      <c r="B1255" s="1"/>
      <c r="C1255" s="1"/>
      <c r="D1255" s="1"/>
      <c r="E1255" s="6"/>
      <c r="F1255" s="4"/>
    </row>
    <row r="1256" spans="2:6">
      <c r="B1256" s="1"/>
      <c r="C1256" s="1"/>
      <c r="D1256" s="1"/>
      <c r="E1256" s="6"/>
      <c r="F1256" s="4"/>
    </row>
    <row r="1257" spans="2:6">
      <c r="B1257" s="1"/>
      <c r="C1257" s="1"/>
      <c r="D1257" s="1"/>
      <c r="E1257" s="6"/>
      <c r="F1257" s="4"/>
    </row>
    <row r="1258" spans="2:6">
      <c r="B1258" s="1"/>
      <c r="C1258" s="1"/>
      <c r="D1258" s="1"/>
      <c r="E1258" s="6"/>
      <c r="F1258" s="4"/>
    </row>
    <row r="1259" spans="2:6">
      <c r="B1259" s="1"/>
      <c r="C1259" s="1"/>
      <c r="D1259" s="1"/>
      <c r="E1259" s="6"/>
      <c r="F1259" s="4"/>
    </row>
    <row r="1260" spans="2:6">
      <c r="B1260" s="1"/>
      <c r="C1260" s="1"/>
      <c r="D1260" s="1"/>
      <c r="E1260" s="6"/>
      <c r="F1260" s="4"/>
    </row>
    <row r="1261" spans="2:6">
      <c r="B1261" s="1"/>
      <c r="C1261" s="1"/>
      <c r="D1261" s="1"/>
      <c r="E1261" s="6"/>
      <c r="F1261" s="4"/>
    </row>
    <row r="1262" spans="2:6">
      <c r="B1262" s="1"/>
      <c r="C1262" s="1"/>
      <c r="D1262" s="1"/>
      <c r="E1262" s="6"/>
      <c r="F1262" s="4"/>
    </row>
    <row r="1263" spans="2:6">
      <c r="B1263" s="1"/>
      <c r="C1263" s="1"/>
      <c r="D1263" s="1"/>
      <c r="E1263" s="6"/>
      <c r="F1263" s="4"/>
    </row>
    <row r="1264" spans="2:6">
      <c r="B1264" s="1"/>
      <c r="C1264" s="1"/>
      <c r="D1264" s="1"/>
      <c r="E1264" s="6"/>
      <c r="F1264" s="4"/>
    </row>
    <row r="1265" spans="2:6">
      <c r="B1265" s="1"/>
      <c r="C1265" s="1"/>
      <c r="D1265" s="1"/>
      <c r="E1265" s="6"/>
      <c r="F1265" s="4"/>
    </row>
    <row r="1266" spans="2:6">
      <c r="B1266" s="1"/>
      <c r="C1266" s="1"/>
      <c r="D1266" s="1"/>
      <c r="E1266" s="6"/>
      <c r="F1266" s="4"/>
    </row>
    <row r="1267" spans="2:6">
      <c r="B1267" s="1"/>
      <c r="C1267" s="1"/>
      <c r="D1267" s="1"/>
      <c r="E1267" s="6"/>
      <c r="F1267" s="4"/>
    </row>
    <row r="1268" spans="2:6">
      <c r="B1268" s="1"/>
      <c r="C1268" s="1"/>
      <c r="D1268" s="1"/>
      <c r="E1268" s="6"/>
      <c r="F1268" s="4"/>
    </row>
    <row r="1269" spans="2:6">
      <c r="B1269" s="1"/>
      <c r="C1269" s="1"/>
      <c r="D1269" s="1"/>
      <c r="E1269" s="6"/>
      <c r="F1269" s="4"/>
    </row>
    <row r="1270" spans="2:6">
      <c r="B1270" s="1"/>
      <c r="C1270" s="1"/>
      <c r="D1270" s="1"/>
      <c r="E1270" s="6"/>
      <c r="F1270" s="4"/>
    </row>
    <row r="1271" spans="2:6">
      <c r="B1271" s="1"/>
      <c r="C1271" s="1"/>
      <c r="D1271" s="1"/>
      <c r="E1271" s="6"/>
      <c r="F1271" s="4"/>
    </row>
    <row r="1272" spans="2:6">
      <c r="B1272" s="1"/>
      <c r="C1272" s="1"/>
      <c r="D1272" s="1"/>
      <c r="E1272" s="6"/>
      <c r="F1272" s="4"/>
    </row>
    <row r="1273" spans="2:6">
      <c r="B1273" s="1"/>
      <c r="C1273" s="1"/>
      <c r="D1273" s="1"/>
      <c r="E1273" s="6"/>
      <c r="F1273" s="4"/>
    </row>
    <row r="1274" spans="2:6">
      <c r="B1274" s="1"/>
      <c r="C1274" s="1"/>
      <c r="D1274" s="1"/>
      <c r="E1274" s="6"/>
      <c r="F1274" s="4"/>
    </row>
    <row r="1275" spans="2:6">
      <c r="B1275" s="1"/>
      <c r="C1275" s="1"/>
      <c r="D1275" s="1"/>
      <c r="E1275" s="6"/>
      <c r="F1275" s="4"/>
    </row>
    <row r="1276" spans="2:6">
      <c r="B1276" s="1"/>
      <c r="C1276" s="1"/>
      <c r="D1276" s="1"/>
      <c r="E1276" s="6"/>
      <c r="F1276" s="4"/>
    </row>
    <row r="1277" spans="2:6">
      <c r="B1277" s="1"/>
      <c r="C1277" s="1"/>
      <c r="D1277" s="1"/>
      <c r="E1277" s="6"/>
      <c r="F1277" s="4"/>
    </row>
    <row r="1278" spans="2:6">
      <c r="B1278" s="1"/>
      <c r="C1278" s="1"/>
      <c r="D1278" s="1"/>
      <c r="E1278" s="6"/>
      <c r="F1278" s="4"/>
    </row>
    <row r="1279" spans="2:6">
      <c r="B1279" s="1"/>
      <c r="C1279" s="1"/>
      <c r="D1279" s="1"/>
      <c r="E1279" s="6"/>
      <c r="F1279" s="4"/>
    </row>
    <row r="1280" spans="2:6">
      <c r="B1280" s="1"/>
      <c r="C1280" s="1"/>
      <c r="D1280" s="1"/>
      <c r="E1280" s="6"/>
      <c r="F1280" s="4"/>
    </row>
    <row r="1281" spans="2:6">
      <c r="B1281" s="1"/>
      <c r="C1281" s="1"/>
      <c r="D1281" s="1"/>
      <c r="E1281" s="6"/>
      <c r="F1281" s="4"/>
    </row>
    <row r="1282" spans="2:6">
      <c r="B1282" s="1"/>
      <c r="C1282" s="1"/>
      <c r="D1282" s="1"/>
      <c r="E1282" s="6"/>
      <c r="F1282" s="4"/>
    </row>
    <row r="1283" spans="2:6">
      <c r="B1283" s="1"/>
      <c r="C1283" s="1"/>
      <c r="D1283" s="1"/>
      <c r="E1283" s="6"/>
      <c r="F1283" s="4"/>
    </row>
    <row r="1284" spans="2:6">
      <c r="B1284" s="1"/>
      <c r="C1284" s="1"/>
      <c r="D1284" s="1"/>
      <c r="E1284" s="6"/>
      <c r="F1284" s="4"/>
    </row>
    <row r="1285" spans="2:6">
      <c r="B1285" s="1"/>
      <c r="C1285" s="1"/>
      <c r="D1285" s="1"/>
      <c r="E1285" s="6"/>
      <c r="F1285" s="4"/>
    </row>
    <row r="1286" spans="2:6">
      <c r="B1286" s="1"/>
      <c r="C1286" s="1"/>
      <c r="D1286" s="1"/>
      <c r="E1286" s="6"/>
      <c r="F1286" s="4"/>
    </row>
    <row r="1287" spans="2:6">
      <c r="B1287" s="1"/>
      <c r="C1287" s="1"/>
      <c r="D1287" s="1"/>
      <c r="E1287" s="6"/>
      <c r="F1287" s="4"/>
    </row>
    <row r="1288" spans="2:6">
      <c r="B1288" s="1"/>
      <c r="C1288" s="1"/>
      <c r="D1288" s="1"/>
      <c r="E1288" s="6"/>
      <c r="F1288" s="4"/>
    </row>
    <row r="1289" spans="2:6">
      <c r="B1289" s="1"/>
      <c r="C1289" s="1"/>
      <c r="D1289" s="1"/>
      <c r="E1289" s="6"/>
      <c r="F1289" s="4"/>
    </row>
    <row r="1290" spans="2:6">
      <c r="B1290" s="1"/>
      <c r="C1290" s="1"/>
      <c r="D1290" s="1"/>
      <c r="E1290" s="6"/>
      <c r="F1290" s="4"/>
    </row>
    <row r="1291" spans="2:6">
      <c r="B1291" s="1"/>
      <c r="C1291" s="1"/>
      <c r="D1291" s="1"/>
      <c r="E1291" s="6"/>
      <c r="F1291" s="4"/>
    </row>
    <row r="1292" spans="2:6">
      <c r="B1292" s="1"/>
      <c r="C1292" s="1"/>
      <c r="D1292" s="1"/>
      <c r="E1292" s="6"/>
      <c r="F1292" s="4"/>
    </row>
    <row r="1293" spans="2:6">
      <c r="B1293" s="1"/>
      <c r="C1293" s="1"/>
      <c r="D1293" s="1"/>
      <c r="E1293" s="6"/>
      <c r="F1293" s="4"/>
    </row>
    <row r="1294" spans="2:6">
      <c r="B1294" s="1"/>
      <c r="C1294" s="1"/>
      <c r="D1294" s="1"/>
      <c r="E1294" s="6"/>
      <c r="F1294" s="4"/>
    </row>
    <row r="1295" spans="2:6">
      <c r="B1295" s="1"/>
      <c r="C1295" s="1"/>
      <c r="D1295" s="1"/>
      <c r="E1295" s="6"/>
      <c r="F1295" s="4"/>
    </row>
    <row r="1296" spans="2:6">
      <c r="B1296" s="1"/>
      <c r="C1296" s="1"/>
      <c r="D1296" s="1"/>
      <c r="E1296" s="6"/>
      <c r="F1296" s="4"/>
    </row>
    <row r="1297" spans="2:6">
      <c r="B1297" s="1"/>
      <c r="C1297" s="1"/>
      <c r="D1297" s="1"/>
      <c r="E1297" s="6"/>
      <c r="F1297" s="4"/>
    </row>
    <row r="1298" spans="2:6">
      <c r="B1298" s="1"/>
      <c r="C1298" s="1"/>
      <c r="D1298" s="1"/>
      <c r="E1298" s="6"/>
      <c r="F1298" s="4"/>
    </row>
    <row r="1299" spans="2:6">
      <c r="B1299" s="1"/>
      <c r="C1299" s="1"/>
      <c r="D1299" s="1"/>
      <c r="E1299" s="6"/>
      <c r="F1299" s="4"/>
    </row>
    <row r="1300" spans="2:6">
      <c r="B1300" s="1"/>
      <c r="C1300" s="1"/>
      <c r="D1300" s="1"/>
      <c r="E1300" s="6"/>
      <c r="F1300" s="4"/>
    </row>
    <row r="1301" spans="2:6">
      <c r="B1301" s="1"/>
      <c r="C1301" s="1"/>
      <c r="D1301" s="1"/>
      <c r="E1301" s="6"/>
      <c r="F1301" s="4"/>
    </row>
    <row r="1302" spans="2:6">
      <c r="B1302" s="1"/>
      <c r="C1302" s="1"/>
      <c r="D1302" s="1"/>
      <c r="E1302" s="6"/>
      <c r="F1302" s="4"/>
    </row>
    <row r="1303" spans="2:6">
      <c r="B1303" s="1"/>
      <c r="C1303" s="1"/>
      <c r="D1303" s="1"/>
      <c r="E1303" s="6"/>
      <c r="F1303" s="4"/>
    </row>
    <row r="1304" spans="2:6">
      <c r="B1304" s="1"/>
      <c r="C1304" s="1"/>
      <c r="D1304" s="1"/>
      <c r="E1304" s="6"/>
      <c r="F1304" s="4"/>
    </row>
    <row r="1305" spans="2:6">
      <c r="B1305" s="1"/>
      <c r="C1305" s="1"/>
      <c r="D1305" s="1"/>
      <c r="E1305" s="6"/>
      <c r="F1305" s="4"/>
    </row>
    <row r="1306" spans="2:6">
      <c r="B1306" s="1"/>
      <c r="C1306" s="1"/>
      <c r="D1306" s="1"/>
      <c r="E1306" s="6"/>
      <c r="F1306" s="4"/>
    </row>
    <row r="1307" spans="2:6">
      <c r="B1307" s="1"/>
      <c r="C1307" s="1"/>
      <c r="D1307" s="1"/>
      <c r="E1307" s="6"/>
      <c r="F1307" s="4"/>
    </row>
    <row r="1308" spans="2:6">
      <c r="B1308" s="1"/>
      <c r="C1308" s="1"/>
      <c r="D1308" s="1"/>
      <c r="E1308" s="6"/>
      <c r="F1308" s="4"/>
    </row>
    <row r="1309" spans="2:6">
      <c r="B1309" s="1"/>
      <c r="C1309" s="1"/>
      <c r="D1309" s="1"/>
      <c r="E1309" s="6"/>
      <c r="F1309" s="4"/>
    </row>
    <row r="1310" spans="2:6">
      <c r="B1310" s="1"/>
      <c r="C1310" s="1"/>
      <c r="D1310" s="1"/>
      <c r="E1310" s="6"/>
      <c r="F1310" s="4"/>
    </row>
    <row r="1311" spans="2:6">
      <c r="B1311" s="1"/>
      <c r="C1311" s="1"/>
      <c r="D1311" s="1"/>
      <c r="E1311" s="6"/>
      <c r="F1311" s="4"/>
    </row>
    <row r="1312" spans="2:6">
      <c r="B1312" s="1"/>
      <c r="C1312" s="1"/>
      <c r="D1312" s="1"/>
      <c r="E1312" s="6"/>
      <c r="F1312" s="4"/>
    </row>
    <row r="1313" spans="2:6">
      <c r="B1313" s="1"/>
      <c r="C1313" s="1"/>
      <c r="D1313" s="1"/>
      <c r="E1313" s="6"/>
      <c r="F1313" s="4"/>
    </row>
    <row r="1314" spans="2:6">
      <c r="B1314" s="1"/>
      <c r="C1314" s="1"/>
      <c r="D1314" s="1"/>
      <c r="E1314" s="6"/>
      <c r="F1314" s="4"/>
    </row>
    <row r="1315" spans="2:6">
      <c r="B1315" s="1"/>
      <c r="C1315" s="1"/>
      <c r="D1315" s="1"/>
      <c r="E1315" s="6"/>
      <c r="F1315" s="4"/>
    </row>
    <row r="1316" spans="2:6">
      <c r="B1316" s="1"/>
      <c r="C1316" s="1"/>
      <c r="D1316" s="1"/>
      <c r="E1316" s="6"/>
      <c r="F1316" s="4"/>
    </row>
    <row r="1317" spans="2:6">
      <c r="B1317" s="1"/>
      <c r="C1317" s="1"/>
      <c r="D1317" s="1"/>
      <c r="E1317" s="6"/>
      <c r="F1317" s="4"/>
    </row>
    <row r="1318" spans="2:6">
      <c r="B1318" s="1"/>
      <c r="C1318" s="1"/>
      <c r="D1318" s="1"/>
      <c r="E1318" s="6"/>
      <c r="F1318" s="4"/>
    </row>
    <row r="1319" spans="2:6">
      <c r="B1319" s="1"/>
      <c r="C1319" s="1"/>
      <c r="D1319" s="1"/>
      <c r="E1319" s="6"/>
      <c r="F1319" s="4"/>
    </row>
    <row r="1320" spans="2:6">
      <c r="B1320" s="1"/>
      <c r="C1320" s="1"/>
      <c r="D1320" s="1"/>
      <c r="E1320" s="6"/>
      <c r="F1320" s="4"/>
    </row>
    <row r="1321" spans="2:6">
      <c r="B1321" s="1"/>
      <c r="C1321" s="1"/>
      <c r="D1321" s="1"/>
      <c r="E1321" s="6"/>
      <c r="F1321" s="4"/>
    </row>
    <row r="1322" spans="2:6">
      <c r="B1322" s="1"/>
      <c r="C1322" s="1"/>
      <c r="D1322" s="1"/>
      <c r="E1322" s="6"/>
      <c r="F1322" s="4"/>
    </row>
    <row r="1323" spans="2:6">
      <c r="B1323" s="1"/>
      <c r="C1323" s="1"/>
      <c r="D1323" s="1"/>
      <c r="E1323" s="6"/>
      <c r="F1323" s="4"/>
    </row>
    <row r="1324" spans="2:6">
      <c r="B1324" s="1"/>
      <c r="C1324" s="1"/>
      <c r="D1324" s="1"/>
      <c r="E1324" s="6"/>
      <c r="F1324" s="4"/>
    </row>
    <row r="1325" spans="2:6">
      <c r="B1325" s="1"/>
      <c r="C1325" s="1"/>
      <c r="D1325" s="1"/>
      <c r="E1325" s="6"/>
      <c r="F1325" s="4"/>
    </row>
    <row r="1326" spans="2:6">
      <c r="B1326" s="1"/>
      <c r="C1326" s="1"/>
      <c r="D1326" s="1"/>
      <c r="E1326" s="6"/>
      <c r="F1326" s="4"/>
    </row>
    <row r="1327" spans="2:6">
      <c r="B1327" s="1"/>
      <c r="C1327" s="1"/>
      <c r="D1327" s="1"/>
      <c r="E1327" s="6"/>
      <c r="F1327" s="4"/>
    </row>
    <row r="1328" spans="2:6">
      <c r="B1328" s="1"/>
      <c r="C1328" s="1"/>
      <c r="D1328" s="1"/>
      <c r="E1328" s="6"/>
      <c r="F1328" s="4"/>
    </row>
    <row r="1329" spans="2:6">
      <c r="B1329" s="1"/>
      <c r="C1329" s="1"/>
      <c r="D1329" s="1"/>
      <c r="E1329" s="6"/>
      <c r="F1329" s="4"/>
    </row>
    <row r="1330" spans="2:6">
      <c r="B1330" s="1"/>
      <c r="C1330" s="1"/>
      <c r="D1330" s="1"/>
      <c r="E1330" s="6"/>
      <c r="F1330" s="4"/>
    </row>
    <row r="1331" spans="2:6">
      <c r="B1331" s="1"/>
      <c r="C1331" s="1"/>
      <c r="D1331" s="1"/>
      <c r="E1331" s="6"/>
      <c r="F1331" s="4"/>
    </row>
    <row r="1332" spans="2:6">
      <c r="B1332" s="1"/>
      <c r="C1332" s="1"/>
      <c r="D1332" s="1"/>
      <c r="E1332" s="6"/>
      <c r="F1332" s="4"/>
    </row>
    <row r="1333" spans="2:6">
      <c r="B1333" s="1"/>
      <c r="C1333" s="1"/>
      <c r="D1333" s="1"/>
      <c r="E1333" s="6"/>
      <c r="F1333" s="4"/>
    </row>
    <row r="1334" spans="2:6">
      <c r="B1334" s="1"/>
      <c r="C1334" s="1"/>
      <c r="D1334" s="1"/>
      <c r="E1334" s="6"/>
      <c r="F1334" s="4"/>
    </row>
    <row r="1335" spans="2:6">
      <c r="B1335" s="1"/>
      <c r="C1335" s="1"/>
      <c r="D1335" s="1"/>
      <c r="E1335" s="6"/>
      <c r="F1335" s="4"/>
    </row>
    <row r="1336" spans="2:6">
      <c r="B1336" s="1"/>
      <c r="C1336" s="1"/>
      <c r="D1336" s="1"/>
      <c r="E1336" s="6"/>
      <c r="F1336" s="4"/>
    </row>
    <row r="1337" spans="2:6">
      <c r="B1337" s="1"/>
      <c r="C1337" s="1"/>
      <c r="D1337" s="1"/>
      <c r="E1337" s="6"/>
      <c r="F1337" s="4"/>
    </row>
    <row r="1338" spans="2:6">
      <c r="B1338" s="1"/>
      <c r="C1338" s="1"/>
      <c r="D1338" s="1"/>
      <c r="E1338" s="6"/>
      <c r="F1338" s="4"/>
    </row>
    <row r="1339" spans="2:6">
      <c r="B1339" s="1"/>
      <c r="C1339" s="1"/>
      <c r="D1339" s="1"/>
      <c r="E1339" s="6"/>
      <c r="F1339" s="4"/>
    </row>
    <row r="1340" spans="2:6">
      <c r="B1340" s="1"/>
      <c r="C1340" s="1"/>
      <c r="D1340" s="1"/>
      <c r="E1340" s="6"/>
      <c r="F1340" s="4"/>
    </row>
    <row r="1341" spans="2:6">
      <c r="B1341" s="1"/>
      <c r="C1341" s="1"/>
      <c r="D1341" s="1"/>
      <c r="E1341" s="6"/>
      <c r="F1341" s="4"/>
    </row>
    <row r="1342" spans="2:6">
      <c r="B1342" s="1"/>
      <c r="C1342" s="1"/>
      <c r="D1342" s="1"/>
      <c r="E1342" s="6"/>
      <c r="F1342" s="4"/>
    </row>
    <row r="1343" spans="2:6">
      <c r="B1343" s="1"/>
      <c r="C1343" s="1"/>
      <c r="D1343" s="1"/>
      <c r="E1343" s="6"/>
      <c r="F1343" s="4"/>
    </row>
    <row r="1344" spans="2:6">
      <c r="B1344" s="1"/>
      <c r="C1344" s="1"/>
      <c r="D1344" s="1"/>
      <c r="E1344" s="6"/>
      <c r="F1344" s="4"/>
    </row>
    <row r="1345" spans="2:6">
      <c r="B1345" s="1"/>
      <c r="C1345" s="1"/>
      <c r="D1345" s="1"/>
      <c r="E1345" s="6"/>
      <c r="F1345" s="4"/>
    </row>
    <row r="1346" spans="2:6">
      <c r="B1346" s="1"/>
      <c r="C1346" s="1"/>
      <c r="D1346" s="1"/>
      <c r="E1346" s="6"/>
      <c r="F1346" s="4"/>
    </row>
    <row r="1347" spans="2:6">
      <c r="B1347" s="1"/>
      <c r="C1347" s="1"/>
      <c r="D1347" s="1"/>
      <c r="E1347" s="6"/>
      <c r="F1347" s="4"/>
    </row>
    <row r="1348" spans="2:6">
      <c r="B1348" s="1"/>
      <c r="C1348" s="1"/>
      <c r="D1348" s="1"/>
      <c r="E1348" s="6"/>
      <c r="F1348" s="4"/>
    </row>
    <row r="1349" spans="2:6">
      <c r="B1349" s="1"/>
      <c r="C1349" s="1"/>
      <c r="D1349" s="1"/>
      <c r="E1349" s="6"/>
      <c r="F1349" s="4"/>
    </row>
    <row r="1350" spans="2:6">
      <c r="B1350" s="1"/>
      <c r="C1350" s="1"/>
      <c r="D1350" s="1"/>
      <c r="E1350" s="6"/>
      <c r="F1350" s="4"/>
    </row>
    <row r="1351" spans="2:6">
      <c r="B1351" s="1"/>
      <c r="C1351" s="1"/>
      <c r="D1351" s="1"/>
      <c r="E1351" s="6"/>
      <c r="F1351" s="4"/>
    </row>
    <row r="1352" spans="2:6">
      <c r="B1352" s="1"/>
      <c r="C1352" s="1"/>
      <c r="D1352" s="1"/>
      <c r="E1352" s="6"/>
      <c r="F1352" s="4"/>
    </row>
    <row r="1353" spans="2:6">
      <c r="B1353" s="1"/>
      <c r="C1353" s="1"/>
      <c r="D1353" s="1"/>
      <c r="E1353" s="6"/>
      <c r="F1353" s="4"/>
    </row>
    <row r="1354" spans="2:6">
      <c r="B1354" s="1"/>
      <c r="C1354" s="1"/>
      <c r="D1354" s="1"/>
      <c r="E1354" s="6"/>
      <c r="F1354" s="4"/>
    </row>
    <row r="1355" spans="2:6">
      <c r="B1355" s="1"/>
      <c r="C1355" s="1"/>
      <c r="D1355" s="1"/>
      <c r="E1355" s="6"/>
      <c r="F1355" s="4"/>
    </row>
    <row r="1356" spans="2:6">
      <c r="B1356" s="1"/>
      <c r="C1356" s="1"/>
      <c r="D1356" s="1"/>
      <c r="E1356" s="6"/>
      <c r="F1356" s="4"/>
    </row>
    <row r="1357" spans="2:6">
      <c r="B1357" s="1"/>
      <c r="C1357" s="1"/>
      <c r="D1357" s="1"/>
      <c r="E1357" s="6"/>
      <c r="F1357" s="4"/>
    </row>
    <row r="1358" spans="2:6">
      <c r="B1358" s="1"/>
      <c r="C1358" s="1"/>
      <c r="D1358" s="1"/>
      <c r="E1358" s="6"/>
      <c r="F1358" s="4"/>
    </row>
    <row r="1359" spans="2:6">
      <c r="B1359" s="1"/>
      <c r="C1359" s="1"/>
      <c r="D1359" s="1"/>
      <c r="E1359" s="6"/>
      <c r="F1359" s="4"/>
    </row>
    <row r="1360" spans="2:6">
      <c r="B1360" s="1"/>
      <c r="C1360" s="1"/>
      <c r="D1360" s="1"/>
      <c r="E1360" s="6"/>
      <c r="F1360" s="4"/>
    </row>
    <row r="1361" spans="2:6">
      <c r="B1361" s="1"/>
      <c r="C1361" s="1"/>
      <c r="D1361" s="1"/>
      <c r="E1361" s="6"/>
      <c r="F1361" s="4"/>
    </row>
    <row r="1362" spans="2:6">
      <c r="B1362" s="1"/>
      <c r="C1362" s="1"/>
      <c r="D1362" s="1"/>
      <c r="E1362" s="6"/>
      <c r="F1362" s="4"/>
    </row>
    <row r="1363" spans="2:6">
      <c r="B1363" s="1"/>
      <c r="C1363" s="1"/>
      <c r="D1363" s="1"/>
      <c r="E1363" s="6"/>
      <c r="F1363" s="4"/>
    </row>
    <row r="1364" spans="2:6">
      <c r="B1364" s="1"/>
      <c r="C1364" s="1"/>
      <c r="D1364" s="1"/>
      <c r="E1364" s="6"/>
      <c r="F1364" s="4"/>
    </row>
    <row r="1365" spans="2:6">
      <c r="B1365" s="1"/>
      <c r="C1365" s="1"/>
      <c r="D1365" s="1"/>
      <c r="E1365" s="6"/>
      <c r="F1365" s="4"/>
    </row>
    <row r="1366" spans="2:6">
      <c r="B1366" s="1"/>
      <c r="C1366" s="1"/>
      <c r="D1366" s="1"/>
      <c r="E1366" s="6"/>
      <c r="F1366" s="4"/>
    </row>
    <row r="1367" spans="2:6">
      <c r="B1367" s="1"/>
      <c r="C1367" s="1"/>
      <c r="D1367" s="1"/>
      <c r="E1367" s="6"/>
      <c r="F1367" s="4"/>
    </row>
    <row r="1368" spans="2:6">
      <c r="B1368" s="1"/>
      <c r="C1368" s="1"/>
      <c r="D1368" s="1"/>
      <c r="E1368" s="6"/>
      <c r="F1368" s="4"/>
    </row>
    <row r="1369" spans="2:6">
      <c r="B1369" s="1"/>
      <c r="C1369" s="1"/>
      <c r="D1369" s="1"/>
      <c r="E1369" s="6"/>
      <c r="F1369" s="4"/>
    </row>
    <row r="1370" spans="2:6">
      <c r="B1370" s="1"/>
      <c r="C1370" s="1"/>
      <c r="D1370" s="1"/>
      <c r="E1370" s="6"/>
      <c r="F1370" s="4"/>
    </row>
    <row r="1371" spans="2:6">
      <c r="B1371" s="1"/>
      <c r="C1371" s="1"/>
      <c r="D1371" s="1"/>
      <c r="E1371" s="6"/>
      <c r="F1371" s="4"/>
    </row>
    <row r="1372" spans="2:6">
      <c r="B1372" s="1"/>
      <c r="C1372" s="1"/>
      <c r="D1372" s="1"/>
      <c r="E1372" s="6"/>
      <c r="F1372" s="4"/>
    </row>
    <row r="1373" spans="2:6">
      <c r="B1373" s="1"/>
      <c r="C1373" s="1"/>
      <c r="D1373" s="1"/>
      <c r="E1373" s="6"/>
      <c r="F1373" s="4"/>
    </row>
    <row r="1374" spans="2:6">
      <c r="B1374" s="1"/>
      <c r="C1374" s="1"/>
      <c r="D1374" s="1"/>
      <c r="E1374" s="6"/>
      <c r="F1374" s="4"/>
    </row>
    <row r="1375" spans="2:6">
      <c r="B1375" s="1"/>
      <c r="C1375" s="1"/>
      <c r="D1375" s="1"/>
      <c r="E1375" s="6"/>
      <c r="F1375" s="4"/>
    </row>
    <row r="1376" spans="2:6">
      <c r="B1376" s="1"/>
      <c r="C1376" s="1"/>
      <c r="D1376" s="1"/>
      <c r="E1376" s="6"/>
      <c r="F1376" s="4"/>
    </row>
    <row r="1377" spans="2:6">
      <c r="B1377" s="1"/>
      <c r="C1377" s="1"/>
      <c r="D1377" s="1"/>
      <c r="E1377" s="6"/>
      <c r="F1377" s="4"/>
    </row>
    <row r="1378" spans="2:6">
      <c r="B1378" s="1"/>
      <c r="C1378" s="1"/>
      <c r="D1378" s="1"/>
      <c r="E1378" s="6"/>
      <c r="F1378" s="4"/>
    </row>
    <row r="1379" spans="2:6">
      <c r="B1379" s="1"/>
      <c r="C1379" s="1"/>
      <c r="D1379" s="1"/>
      <c r="E1379" s="6"/>
      <c r="F1379" s="4"/>
    </row>
    <row r="1380" spans="2:6">
      <c r="B1380" s="1"/>
      <c r="C1380" s="1"/>
      <c r="D1380" s="1"/>
      <c r="E1380" s="6"/>
      <c r="F1380" s="4"/>
    </row>
    <row r="1381" spans="2:6">
      <c r="B1381" s="1"/>
      <c r="C1381" s="1"/>
      <c r="D1381" s="1"/>
      <c r="E1381" s="6"/>
      <c r="F1381" s="4"/>
    </row>
    <row r="1382" spans="2:6">
      <c r="B1382" s="1"/>
      <c r="C1382" s="1"/>
      <c r="D1382" s="1"/>
      <c r="E1382" s="6"/>
      <c r="F1382" s="4"/>
    </row>
    <row r="1383" spans="2:6">
      <c r="B1383" s="1"/>
      <c r="C1383" s="1"/>
      <c r="D1383" s="1"/>
      <c r="E1383" s="6"/>
      <c r="F1383" s="4"/>
    </row>
    <row r="1384" spans="2:6">
      <c r="B1384" s="1"/>
      <c r="C1384" s="1"/>
      <c r="D1384" s="1"/>
      <c r="E1384" s="6"/>
      <c r="F1384" s="4"/>
    </row>
    <row r="1385" spans="2:6">
      <c r="B1385" s="1"/>
      <c r="C1385" s="1"/>
      <c r="D1385" s="1"/>
      <c r="E1385" s="6"/>
      <c r="F1385" s="4"/>
    </row>
    <row r="1386" spans="2:6">
      <c r="B1386" s="1"/>
      <c r="C1386" s="1"/>
      <c r="D1386" s="1"/>
      <c r="E1386" s="6"/>
      <c r="F1386" s="4"/>
    </row>
    <row r="1387" spans="2:6">
      <c r="B1387" s="1"/>
      <c r="C1387" s="1"/>
      <c r="D1387" s="1"/>
      <c r="E1387" s="6"/>
      <c r="F1387" s="4"/>
    </row>
    <row r="1388" spans="2:6">
      <c r="B1388" s="1"/>
      <c r="C1388" s="1"/>
      <c r="D1388" s="1"/>
      <c r="E1388" s="6"/>
      <c r="F1388" s="4"/>
    </row>
    <row r="1389" spans="2:6">
      <c r="B1389" s="1"/>
      <c r="C1389" s="1"/>
      <c r="D1389" s="1"/>
      <c r="E1389" s="6"/>
      <c r="F1389" s="4"/>
    </row>
    <row r="1390" spans="2:6">
      <c r="B1390" s="1"/>
      <c r="C1390" s="1"/>
      <c r="D1390" s="1"/>
      <c r="E1390" s="6"/>
      <c r="F1390" s="4"/>
    </row>
    <row r="1391" spans="2:6">
      <c r="B1391" s="1"/>
      <c r="C1391" s="1"/>
      <c r="D1391" s="1"/>
      <c r="E1391" s="6"/>
      <c r="F1391" s="4"/>
    </row>
    <row r="1392" spans="2:6">
      <c r="B1392" s="1"/>
      <c r="C1392" s="1"/>
      <c r="D1392" s="1"/>
      <c r="E1392" s="6"/>
      <c r="F1392" s="4"/>
    </row>
    <row r="1393" spans="2:6">
      <c r="B1393" s="1"/>
      <c r="C1393" s="1"/>
      <c r="D1393" s="1"/>
      <c r="E1393" s="6"/>
      <c r="F1393" s="4"/>
    </row>
    <row r="1394" spans="2:6">
      <c r="B1394" s="1"/>
      <c r="C1394" s="1"/>
      <c r="D1394" s="1"/>
      <c r="E1394" s="6"/>
      <c r="F1394" s="4"/>
    </row>
    <row r="1395" spans="2:6">
      <c r="B1395" s="1"/>
      <c r="C1395" s="1"/>
      <c r="D1395" s="1"/>
      <c r="E1395" s="6"/>
      <c r="F1395" s="4"/>
    </row>
    <row r="1396" spans="2:6">
      <c r="B1396" s="1"/>
      <c r="C1396" s="1"/>
      <c r="D1396" s="1"/>
      <c r="E1396" s="6"/>
      <c r="F1396" s="4"/>
    </row>
    <row r="1397" spans="2:6">
      <c r="B1397" s="1"/>
      <c r="C1397" s="1"/>
      <c r="D1397" s="1"/>
      <c r="E1397" s="6"/>
      <c r="F1397" s="4"/>
    </row>
    <row r="1398" spans="2:6">
      <c r="B1398" s="1"/>
      <c r="C1398" s="1"/>
      <c r="D1398" s="1"/>
      <c r="E1398" s="6"/>
      <c r="F1398" s="4"/>
    </row>
    <row r="1399" spans="2:6">
      <c r="B1399" s="1"/>
      <c r="C1399" s="1"/>
      <c r="D1399" s="1"/>
      <c r="E1399" s="6"/>
      <c r="F1399" s="4"/>
    </row>
    <row r="1400" spans="2:6">
      <c r="B1400" s="1"/>
      <c r="C1400" s="1"/>
      <c r="D1400" s="1"/>
      <c r="E1400" s="6"/>
      <c r="F1400" s="4"/>
    </row>
    <row r="1401" spans="2:6">
      <c r="B1401" s="1"/>
      <c r="C1401" s="1"/>
      <c r="D1401" s="1"/>
      <c r="E1401" s="6"/>
      <c r="F1401" s="4"/>
    </row>
    <row r="1402" spans="2:6">
      <c r="B1402" s="1"/>
      <c r="C1402" s="1"/>
      <c r="D1402" s="1"/>
      <c r="E1402" s="6"/>
      <c r="F1402" s="4"/>
    </row>
    <row r="1403" spans="2:6">
      <c r="B1403" s="1"/>
      <c r="C1403" s="1"/>
      <c r="D1403" s="1"/>
      <c r="E1403" s="6"/>
      <c r="F1403" s="4"/>
    </row>
    <row r="1404" spans="2:6">
      <c r="B1404" s="1"/>
      <c r="C1404" s="1"/>
      <c r="D1404" s="1"/>
      <c r="E1404" s="6"/>
      <c r="F1404" s="4"/>
    </row>
    <row r="1405" spans="2:6">
      <c r="B1405" s="1"/>
      <c r="C1405" s="1"/>
      <c r="D1405" s="1"/>
      <c r="E1405" s="6"/>
      <c r="F1405" s="4"/>
    </row>
    <row r="1406" spans="2:6">
      <c r="B1406" s="1"/>
      <c r="C1406" s="1"/>
      <c r="D1406" s="1"/>
      <c r="E1406" s="6"/>
      <c r="F1406" s="4"/>
    </row>
    <row r="1407" spans="2:6">
      <c r="B1407" s="1"/>
      <c r="C1407" s="1"/>
      <c r="D1407" s="1"/>
      <c r="E1407" s="6"/>
      <c r="F1407" s="4"/>
    </row>
    <row r="1408" spans="2:6">
      <c r="B1408" s="1"/>
      <c r="C1408" s="1"/>
      <c r="D1408" s="1"/>
      <c r="E1408" s="6"/>
      <c r="F1408" s="4"/>
    </row>
    <row r="1409" spans="2:6">
      <c r="B1409" s="1"/>
      <c r="C1409" s="1"/>
      <c r="D1409" s="1"/>
      <c r="E1409" s="6"/>
      <c r="F1409" s="4"/>
    </row>
    <row r="1410" spans="2:6">
      <c r="B1410" s="1"/>
      <c r="C1410" s="1"/>
      <c r="D1410" s="1"/>
      <c r="E1410" s="6"/>
      <c r="F1410" s="4"/>
    </row>
    <row r="1411" spans="2:6">
      <c r="B1411" s="1"/>
      <c r="C1411" s="1"/>
      <c r="D1411" s="1"/>
      <c r="E1411" s="6"/>
      <c r="F1411" s="4"/>
    </row>
    <row r="1412" spans="2:6">
      <c r="B1412" s="1"/>
      <c r="C1412" s="1"/>
      <c r="D1412" s="1"/>
      <c r="E1412" s="6"/>
      <c r="F1412" s="4"/>
    </row>
    <row r="1413" spans="2:6">
      <c r="B1413" s="1"/>
      <c r="C1413" s="1"/>
      <c r="D1413" s="1"/>
      <c r="E1413" s="6"/>
      <c r="F1413" s="4"/>
    </row>
    <row r="1414" spans="2:6">
      <c r="B1414" s="1"/>
      <c r="C1414" s="1"/>
      <c r="D1414" s="1"/>
      <c r="E1414" s="6"/>
      <c r="F1414" s="4"/>
    </row>
    <row r="1415" spans="2:6">
      <c r="B1415" s="1"/>
      <c r="C1415" s="1"/>
      <c r="D1415" s="1"/>
      <c r="E1415" s="6"/>
      <c r="F1415" s="4"/>
    </row>
    <row r="1416" spans="2:6">
      <c r="B1416" s="1"/>
      <c r="C1416" s="1"/>
      <c r="D1416" s="1"/>
      <c r="E1416" s="6"/>
      <c r="F1416" s="4"/>
    </row>
    <row r="1417" spans="2:6">
      <c r="B1417" s="1"/>
      <c r="C1417" s="1"/>
      <c r="D1417" s="1"/>
      <c r="E1417" s="6"/>
      <c r="F1417" s="4"/>
    </row>
    <row r="1418" spans="2:6">
      <c r="B1418" s="1"/>
      <c r="C1418" s="1"/>
      <c r="D1418" s="1"/>
      <c r="E1418" s="6"/>
      <c r="F1418" s="4"/>
    </row>
    <row r="1419" spans="2:6">
      <c r="B1419" s="1"/>
      <c r="C1419" s="1"/>
      <c r="D1419" s="1"/>
      <c r="E1419" s="6"/>
      <c r="F1419" s="4"/>
    </row>
    <row r="1420" spans="2:6">
      <c r="B1420" s="1"/>
      <c r="C1420" s="1"/>
      <c r="D1420" s="1"/>
      <c r="E1420" s="6"/>
      <c r="F1420" s="4"/>
    </row>
    <row r="1421" spans="2:6">
      <c r="B1421" s="1"/>
      <c r="C1421" s="1"/>
      <c r="D1421" s="1"/>
      <c r="E1421" s="6"/>
      <c r="F1421" s="4"/>
    </row>
    <row r="1422" spans="2:6">
      <c r="B1422" s="1"/>
      <c r="C1422" s="1"/>
      <c r="D1422" s="1"/>
      <c r="E1422" s="6"/>
      <c r="F1422" s="4"/>
    </row>
    <row r="1423" spans="2:6">
      <c r="B1423" s="1"/>
      <c r="C1423" s="1"/>
      <c r="D1423" s="1"/>
      <c r="E1423" s="6"/>
      <c r="F1423" s="4"/>
    </row>
    <row r="1424" spans="2:6">
      <c r="B1424" s="1"/>
      <c r="C1424" s="1"/>
      <c r="D1424" s="1"/>
      <c r="E1424" s="6"/>
      <c r="F1424" s="4"/>
    </row>
    <row r="1425" spans="2:6">
      <c r="B1425" s="1"/>
      <c r="C1425" s="1"/>
      <c r="D1425" s="1"/>
      <c r="E1425" s="6"/>
      <c r="F1425" s="4"/>
    </row>
    <row r="1426" spans="2:6">
      <c r="B1426" s="1"/>
      <c r="C1426" s="1"/>
      <c r="D1426" s="1"/>
      <c r="E1426" s="6"/>
      <c r="F1426" s="4"/>
    </row>
    <row r="1427" spans="2:6">
      <c r="B1427" s="1"/>
      <c r="C1427" s="1"/>
      <c r="D1427" s="1"/>
      <c r="E1427" s="6"/>
      <c r="F1427" s="4"/>
    </row>
    <row r="1428" spans="2:6">
      <c r="B1428" s="1"/>
      <c r="C1428" s="1"/>
      <c r="D1428" s="1"/>
      <c r="E1428" s="6"/>
      <c r="F1428" s="4"/>
    </row>
    <row r="1429" spans="2:6">
      <c r="B1429" s="1"/>
      <c r="C1429" s="1"/>
      <c r="D1429" s="1"/>
      <c r="E1429" s="6"/>
      <c r="F1429" s="4"/>
    </row>
    <row r="1430" spans="2:6">
      <c r="B1430" s="1"/>
      <c r="C1430" s="1"/>
      <c r="D1430" s="1"/>
      <c r="E1430" s="6"/>
      <c r="F1430" s="4"/>
    </row>
    <row r="1431" spans="2:6">
      <c r="B1431" s="1"/>
      <c r="C1431" s="1"/>
      <c r="D1431" s="1"/>
      <c r="E1431" s="6"/>
      <c r="F1431" s="4"/>
    </row>
    <row r="1432" spans="2:6">
      <c r="B1432" s="1"/>
      <c r="C1432" s="1"/>
      <c r="D1432" s="1"/>
      <c r="E1432" s="6"/>
      <c r="F1432" s="4"/>
    </row>
    <row r="1433" spans="2:6">
      <c r="B1433" s="1"/>
      <c r="C1433" s="1"/>
      <c r="D1433" s="1"/>
      <c r="E1433" s="6"/>
      <c r="F1433" s="4"/>
    </row>
    <row r="1434" spans="2:6">
      <c r="B1434" s="1"/>
      <c r="C1434" s="1"/>
      <c r="D1434" s="1"/>
      <c r="E1434" s="6"/>
      <c r="F1434" s="4"/>
    </row>
    <row r="1435" spans="2:6">
      <c r="B1435" s="1"/>
      <c r="C1435" s="1"/>
      <c r="D1435" s="1"/>
      <c r="E1435" s="6"/>
      <c r="F1435" s="4"/>
    </row>
    <row r="1436" spans="2:6">
      <c r="B1436" s="1"/>
      <c r="C1436" s="1"/>
      <c r="D1436" s="1"/>
      <c r="E1436" s="6"/>
      <c r="F1436" s="4"/>
    </row>
    <row r="1437" spans="2:6">
      <c r="B1437" s="1"/>
      <c r="C1437" s="1"/>
      <c r="D1437" s="1"/>
      <c r="E1437" s="6"/>
      <c r="F1437" s="4"/>
    </row>
    <row r="1438" spans="2:6">
      <c r="B1438" s="1"/>
      <c r="C1438" s="1"/>
      <c r="D1438" s="1"/>
      <c r="E1438" s="6"/>
      <c r="F1438" s="4"/>
    </row>
    <row r="1439" spans="2:6">
      <c r="B1439" s="1"/>
      <c r="C1439" s="1"/>
      <c r="D1439" s="1"/>
      <c r="E1439" s="6"/>
      <c r="F1439" s="4"/>
    </row>
    <row r="1440" spans="2:6">
      <c r="B1440" s="1"/>
      <c r="C1440" s="1"/>
      <c r="D1440" s="1"/>
      <c r="E1440" s="6"/>
      <c r="F1440" s="4"/>
    </row>
    <row r="1441" spans="2:6">
      <c r="B1441" s="1"/>
      <c r="C1441" s="1"/>
      <c r="D1441" s="1"/>
      <c r="E1441" s="6"/>
      <c r="F1441" s="4"/>
    </row>
    <row r="1442" spans="2:6">
      <c r="B1442" s="1"/>
      <c r="C1442" s="1"/>
      <c r="D1442" s="1"/>
      <c r="E1442" s="6"/>
      <c r="F1442" s="4"/>
    </row>
    <row r="1443" spans="2:6">
      <c r="B1443" s="1"/>
      <c r="C1443" s="1"/>
      <c r="D1443" s="1"/>
      <c r="E1443" s="6"/>
      <c r="F1443" s="4"/>
    </row>
    <row r="1444" spans="2:6">
      <c r="B1444" s="1"/>
      <c r="C1444" s="1"/>
      <c r="D1444" s="1"/>
      <c r="E1444" s="6"/>
      <c r="F1444" s="4"/>
    </row>
    <row r="1445" spans="2:6">
      <c r="B1445" s="1"/>
      <c r="C1445" s="1"/>
      <c r="D1445" s="1"/>
      <c r="E1445" s="6"/>
      <c r="F1445" s="4"/>
    </row>
    <row r="1446" spans="2:6">
      <c r="B1446" s="1"/>
      <c r="C1446" s="1"/>
      <c r="D1446" s="1"/>
      <c r="E1446" s="6"/>
      <c r="F1446" s="4"/>
    </row>
    <row r="1447" spans="2:6">
      <c r="B1447" s="1"/>
      <c r="C1447" s="1"/>
      <c r="D1447" s="1"/>
      <c r="E1447" s="6"/>
      <c r="F1447" s="4"/>
    </row>
    <row r="1448" spans="2:6">
      <c r="B1448" s="1"/>
      <c r="C1448" s="1"/>
      <c r="D1448" s="1"/>
      <c r="E1448" s="6"/>
      <c r="F1448" s="4"/>
    </row>
    <row r="1449" spans="2:6">
      <c r="B1449" s="1"/>
      <c r="C1449" s="1"/>
      <c r="D1449" s="1"/>
      <c r="E1449" s="6"/>
      <c r="F1449" s="4"/>
    </row>
    <row r="1450" spans="2:6">
      <c r="B1450" s="1"/>
      <c r="C1450" s="1"/>
      <c r="D1450" s="1"/>
      <c r="E1450" s="6"/>
      <c r="F1450" s="4"/>
    </row>
    <row r="1451" spans="2:6">
      <c r="B1451" s="1"/>
      <c r="C1451" s="1"/>
      <c r="D1451" s="1"/>
      <c r="E1451" s="6"/>
      <c r="F1451" s="4"/>
    </row>
    <row r="1452" spans="2:6">
      <c r="B1452" s="1"/>
      <c r="C1452" s="1"/>
      <c r="D1452" s="1"/>
      <c r="E1452" s="6"/>
      <c r="F1452" s="4"/>
    </row>
    <row r="1453" spans="2:6">
      <c r="B1453" s="1"/>
      <c r="C1453" s="1"/>
      <c r="D1453" s="1"/>
      <c r="E1453" s="6"/>
      <c r="F1453" s="4"/>
    </row>
    <row r="1454" spans="2:6">
      <c r="B1454" s="1"/>
      <c r="C1454" s="1"/>
      <c r="D1454" s="1"/>
      <c r="E1454" s="6"/>
      <c r="F1454" s="4"/>
    </row>
    <row r="1455" spans="2:6">
      <c r="B1455" s="1"/>
      <c r="C1455" s="1"/>
      <c r="D1455" s="1"/>
      <c r="E1455" s="6"/>
      <c r="F1455" s="4"/>
    </row>
    <row r="1456" spans="2:6">
      <c r="B1456" s="1"/>
      <c r="C1456" s="1"/>
      <c r="D1456" s="1"/>
      <c r="E1456" s="6"/>
      <c r="F1456" s="4"/>
    </row>
    <row r="1457" spans="2:6">
      <c r="B1457" s="1"/>
      <c r="C1457" s="1"/>
      <c r="D1457" s="1"/>
      <c r="E1457" s="6"/>
      <c r="F1457" s="4"/>
    </row>
    <row r="1458" spans="2:6">
      <c r="B1458" s="1"/>
      <c r="C1458" s="1"/>
      <c r="D1458" s="1"/>
      <c r="E1458" s="6"/>
      <c r="F1458" s="4"/>
    </row>
    <row r="1459" spans="2:6">
      <c r="B1459" s="1"/>
      <c r="C1459" s="1"/>
      <c r="D1459" s="1"/>
      <c r="E1459" s="6"/>
      <c r="F1459" s="4"/>
    </row>
    <row r="1460" spans="2:6">
      <c r="B1460" s="1"/>
      <c r="C1460" s="1"/>
      <c r="D1460" s="1"/>
      <c r="E1460" s="6"/>
      <c r="F1460" s="4"/>
    </row>
    <row r="1461" spans="2:6">
      <c r="B1461" s="1"/>
      <c r="C1461" s="1"/>
      <c r="D1461" s="1"/>
      <c r="E1461" s="6"/>
      <c r="F1461" s="4"/>
    </row>
    <row r="1462" spans="2:6">
      <c r="B1462" s="1"/>
      <c r="C1462" s="1"/>
      <c r="D1462" s="1"/>
      <c r="E1462" s="6"/>
      <c r="F1462" s="4"/>
    </row>
    <row r="1463" spans="2:6">
      <c r="B1463" s="1"/>
      <c r="C1463" s="1"/>
      <c r="D1463" s="1"/>
      <c r="E1463" s="6"/>
      <c r="F1463" s="4"/>
    </row>
    <row r="1464" spans="2:6">
      <c r="B1464" s="1"/>
      <c r="C1464" s="1"/>
      <c r="D1464" s="1"/>
      <c r="E1464" s="6"/>
      <c r="F1464" s="4"/>
    </row>
    <row r="1465" spans="2:6">
      <c r="B1465" s="1"/>
      <c r="C1465" s="1"/>
      <c r="D1465" s="1"/>
      <c r="E1465" s="6"/>
      <c r="F1465" s="4"/>
    </row>
    <row r="1466" spans="2:6">
      <c r="B1466" s="1"/>
      <c r="C1466" s="1"/>
      <c r="D1466" s="1"/>
      <c r="E1466" s="6"/>
      <c r="F1466" s="4"/>
    </row>
    <row r="1467" spans="2:6">
      <c r="B1467" s="1"/>
      <c r="C1467" s="1"/>
      <c r="D1467" s="1"/>
      <c r="E1467" s="6"/>
      <c r="F1467" s="4"/>
    </row>
    <row r="1468" spans="2:6">
      <c r="B1468" s="1"/>
      <c r="C1468" s="1"/>
      <c r="D1468" s="1"/>
      <c r="E1468" s="6"/>
      <c r="F1468" s="4"/>
    </row>
    <row r="1469" spans="2:6">
      <c r="B1469" s="1"/>
      <c r="C1469" s="1"/>
      <c r="D1469" s="1"/>
      <c r="E1469" s="6"/>
      <c r="F1469" s="4"/>
    </row>
    <row r="1470" spans="2:6">
      <c r="B1470" s="1"/>
      <c r="C1470" s="1"/>
      <c r="D1470" s="1"/>
      <c r="E1470" s="6"/>
      <c r="F1470" s="4"/>
    </row>
    <row r="1471" spans="2:6">
      <c r="B1471" s="1"/>
      <c r="C1471" s="1"/>
      <c r="D1471" s="1"/>
      <c r="E1471" s="6"/>
      <c r="F1471" s="4"/>
    </row>
    <row r="1472" spans="2:6">
      <c r="B1472" s="1"/>
      <c r="C1472" s="1"/>
      <c r="D1472" s="1"/>
      <c r="E1472" s="6"/>
      <c r="F1472" s="4"/>
    </row>
    <row r="1473" spans="2:6">
      <c r="B1473" s="1"/>
      <c r="C1473" s="1"/>
      <c r="D1473" s="1"/>
      <c r="E1473" s="6"/>
      <c r="F1473" s="4"/>
    </row>
    <row r="1474" spans="2:6">
      <c r="B1474" s="1"/>
      <c r="C1474" s="1"/>
      <c r="D1474" s="1"/>
      <c r="E1474" s="6"/>
      <c r="F1474" s="4"/>
    </row>
    <row r="1475" spans="2:6">
      <c r="B1475" s="1"/>
      <c r="C1475" s="1"/>
      <c r="D1475" s="1"/>
      <c r="E1475" s="6"/>
      <c r="F1475" s="4"/>
    </row>
    <row r="1476" spans="2:6">
      <c r="B1476" s="1"/>
      <c r="C1476" s="1"/>
      <c r="D1476" s="1"/>
      <c r="E1476" s="6"/>
      <c r="F1476" s="4"/>
    </row>
    <row r="1477" spans="2:6">
      <c r="B1477" s="1"/>
      <c r="C1477" s="1"/>
      <c r="D1477" s="1"/>
      <c r="E1477" s="6"/>
      <c r="F1477" s="4"/>
    </row>
    <row r="1478" spans="2:6">
      <c r="B1478" s="1"/>
      <c r="C1478" s="1"/>
      <c r="D1478" s="1"/>
      <c r="E1478" s="6"/>
      <c r="F1478" s="4"/>
    </row>
    <row r="1479" spans="2:6">
      <c r="B1479" s="1"/>
      <c r="C1479" s="1"/>
      <c r="D1479" s="1"/>
      <c r="E1479" s="6"/>
      <c r="F1479" s="4"/>
    </row>
    <row r="1480" spans="2:6">
      <c r="B1480" s="1"/>
      <c r="C1480" s="1"/>
      <c r="D1480" s="1"/>
      <c r="E1480" s="6"/>
      <c r="F1480" s="4"/>
    </row>
    <row r="1481" spans="2:6">
      <c r="B1481" s="1"/>
      <c r="C1481" s="1"/>
      <c r="D1481" s="1"/>
      <c r="E1481" s="6"/>
      <c r="F1481" s="4"/>
    </row>
    <row r="1482" spans="2:6">
      <c r="B1482" s="1"/>
      <c r="C1482" s="1"/>
      <c r="D1482" s="1"/>
      <c r="E1482" s="6"/>
      <c r="F1482" s="4"/>
    </row>
    <row r="1483" spans="2:6">
      <c r="B1483" s="1"/>
      <c r="C1483" s="1"/>
      <c r="D1483" s="1"/>
      <c r="E1483" s="6"/>
      <c r="F1483" s="4"/>
    </row>
    <row r="1484" spans="2:6">
      <c r="B1484" s="1"/>
      <c r="C1484" s="1"/>
      <c r="D1484" s="1"/>
      <c r="E1484" s="6"/>
      <c r="F1484" s="4"/>
    </row>
    <row r="1485" spans="2:6">
      <c r="B1485" s="1"/>
      <c r="C1485" s="1"/>
      <c r="D1485" s="1"/>
      <c r="E1485" s="6"/>
      <c r="F1485" s="4"/>
    </row>
    <row r="1486" spans="2:6">
      <c r="B1486" s="1"/>
      <c r="C1486" s="1"/>
      <c r="D1486" s="1"/>
      <c r="E1486" s="6"/>
      <c r="F1486" s="4"/>
    </row>
    <row r="1487" spans="2:6">
      <c r="B1487" s="1"/>
      <c r="C1487" s="1"/>
      <c r="D1487" s="1"/>
      <c r="E1487" s="6"/>
      <c r="F1487" s="4"/>
    </row>
    <row r="1488" spans="2:6">
      <c r="B1488" s="1"/>
      <c r="C1488" s="1"/>
      <c r="D1488" s="1"/>
      <c r="E1488" s="6"/>
      <c r="F1488" s="4"/>
    </row>
    <row r="1489" spans="2:6">
      <c r="B1489" s="1"/>
      <c r="C1489" s="1"/>
      <c r="D1489" s="1"/>
      <c r="E1489" s="6"/>
      <c r="F1489" s="4"/>
    </row>
    <row r="1490" spans="2:6">
      <c r="B1490" s="1"/>
      <c r="C1490" s="1"/>
      <c r="D1490" s="1"/>
      <c r="E1490" s="6"/>
      <c r="F1490" s="4"/>
    </row>
    <row r="1491" spans="2:6">
      <c r="B1491" s="1"/>
      <c r="C1491" s="1"/>
      <c r="D1491" s="1"/>
      <c r="E1491" s="6"/>
      <c r="F1491" s="4"/>
    </row>
    <row r="1492" spans="2:6">
      <c r="B1492" s="1"/>
      <c r="C1492" s="1"/>
      <c r="D1492" s="1"/>
      <c r="E1492" s="6"/>
      <c r="F1492" s="4"/>
    </row>
    <row r="1493" spans="2:6">
      <c r="B1493" s="1"/>
      <c r="C1493" s="1"/>
      <c r="D1493" s="1"/>
      <c r="E1493" s="6"/>
      <c r="F1493" s="4"/>
    </row>
    <row r="1494" spans="2:6">
      <c r="B1494" s="1"/>
      <c r="C1494" s="1"/>
      <c r="D1494" s="1"/>
      <c r="E1494" s="6"/>
      <c r="F1494" s="4"/>
    </row>
    <row r="1495" spans="2:6">
      <c r="B1495" s="1"/>
      <c r="C1495" s="1"/>
      <c r="D1495" s="1"/>
      <c r="E1495" s="6"/>
      <c r="F1495" s="4"/>
    </row>
    <row r="1496" spans="2:6">
      <c r="B1496" s="1"/>
      <c r="C1496" s="1"/>
      <c r="D1496" s="1"/>
      <c r="E1496" s="6"/>
      <c r="F1496" s="4"/>
    </row>
    <row r="1497" spans="2:6">
      <c r="B1497" s="1"/>
      <c r="C1497" s="1"/>
      <c r="D1497" s="1"/>
      <c r="E1497" s="6"/>
      <c r="F1497" s="4"/>
    </row>
    <row r="1498" spans="2:6">
      <c r="B1498" s="1"/>
      <c r="C1498" s="1"/>
      <c r="D1498" s="1"/>
      <c r="E1498" s="6"/>
      <c r="F1498" s="4"/>
    </row>
    <row r="1499" spans="2:6">
      <c r="B1499" s="1"/>
      <c r="C1499" s="1"/>
      <c r="D1499" s="1"/>
      <c r="E1499" s="6"/>
      <c r="F1499" s="4"/>
    </row>
    <row r="1500" spans="2:6">
      <c r="B1500" s="1"/>
      <c r="C1500" s="1"/>
      <c r="D1500" s="1"/>
      <c r="E1500" s="6"/>
      <c r="F1500" s="4"/>
    </row>
    <row r="1501" spans="2:6">
      <c r="B1501" s="1"/>
      <c r="C1501" s="1"/>
      <c r="D1501" s="1"/>
      <c r="E1501" s="6"/>
      <c r="F1501" s="4"/>
    </row>
    <row r="1502" spans="2:6">
      <c r="B1502" s="1"/>
      <c r="C1502" s="1"/>
      <c r="D1502" s="1"/>
      <c r="E1502" s="6"/>
      <c r="F1502" s="4"/>
    </row>
    <row r="1503" spans="2:6">
      <c r="B1503" s="1"/>
      <c r="C1503" s="1"/>
      <c r="D1503" s="1"/>
      <c r="E1503" s="6"/>
      <c r="F1503" s="4"/>
    </row>
    <row r="1504" spans="2:6">
      <c r="B1504" s="1"/>
      <c r="C1504" s="1"/>
      <c r="D1504" s="1"/>
      <c r="E1504" s="6"/>
      <c r="F1504" s="4"/>
    </row>
    <row r="1505" spans="2:6">
      <c r="B1505" s="1"/>
      <c r="C1505" s="1"/>
      <c r="D1505" s="1"/>
      <c r="E1505" s="6"/>
      <c r="F1505" s="4"/>
    </row>
    <row r="1506" spans="2:6">
      <c r="B1506" s="1"/>
      <c r="C1506" s="1"/>
      <c r="D1506" s="1"/>
      <c r="E1506" s="6"/>
      <c r="F1506" s="4"/>
    </row>
    <row r="1507" spans="2:6">
      <c r="B1507" s="1"/>
      <c r="C1507" s="1"/>
      <c r="D1507" s="1"/>
      <c r="E1507" s="6"/>
      <c r="F1507" s="4"/>
    </row>
    <row r="1508" spans="2:6">
      <c r="B1508" s="1"/>
      <c r="C1508" s="1"/>
      <c r="D1508" s="1"/>
      <c r="E1508" s="6"/>
      <c r="F1508" s="4"/>
    </row>
    <row r="1509" spans="2:6">
      <c r="B1509" s="1"/>
      <c r="C1509" s="1"/>
      <c r="D1509" s="1"/>
      <c r="E1509" s="6"/>
      <c r="F1509" s="4"/>
    </row>
    <row r="1510" spans="2:6">
      <c r="B1510" s="1"/>
      <c r="C1510" s="1"/>
      <c r="D1510" s="1"/>
      <c r="E1510" s="6"/>
      <c r="F1510" s="4"/>
    </row>
    <row r="1511" spans="2:6">
      <c r="B1511" s="1"/>
      <c r="C1511" s="1"/>
      <c r="D1511" s="1"/>
      <c r="E1511" s="6"/>
      <c r="F1511" s="4"/>
    </row>
    <row r="1512" spans="2:6">
      <c r="B1512" s="1"/>
      <c r="C1512" s="1"/>
      <c r="D1512" s="1"/>
      <c r="E1512" s="6"/>
      <c r="F1512" s="4"/>
    </row>
    <row r="1513" spans="2:6">
      <c r="B1513" s="1"/>
      <c r="C1513" s="1"/>
      <c r="D1513" s="1"/>
      <c r="E1513" s="6"/>
      <c r="F1513" s="4"/>
    </row>
    <row r="1514" spans="2:6">
      <c r="B1514" s="1"/>
      <c r="C1514" s="1"/>
      <c r="D1514" s="1"/>
      <c r="E1514" s="6"/>
      <c r="F1514" s="4"/>
    </row>
    <row r="1515" spans="2:6">
      <c r="B1515" s="1"/>
      <c r="C1515" s="1"/>
      <c r="D1515" s="1"/>
      <c r="E1515" s="6"/>
      <c r="F1515" s="4"/>
    </row>
    <row r="1516" spans="2:6">
      <c r="B1516" s="1"/>
      <c r="C1516" s="1"/>
      <c r="D1516" s="1"/>
      <c r="E1516" s="6"/>
      <c r="F1516" s="4"/>
    </row>
    <row r="1517" spans="2:6">
      <c r="B1517" s="1"/>
      <c r="C1517" s="1"/>
      <c r="D1517" s="1"/>
      <c r="E1517" s="6"/>
      <c r="F1517" s="4"/>
    </row>
    <row r="1518" spans="2:6">
      <c r="B1518" s="1"/>
      <c r="C1518" s="1"/>
      <c r="D1518" s="1"/>
      <c r="E1518" s="6"/>
      <c r="F1518" s="4"/>
    </row>
    <row r="1519" spans="2:6">
      <c r="B1519" s="1"/>
      <c r="C1519" s="1"/>
      <c r="D1519" s="1"/>
      <c r="E1519" s="6"/>
      <c r="F1519" s="4"/>
    </row>
    <row r="1520" spans="2:6">
      <c r="B1520" s="1"/>
      <c r="C1520" s="1"/>
      <c r="D1520" s="1"/>
      <c r="E1520" s="6"/>
      <c r="F1520" s="4"/>
    </row>
    <row r="1521" spans="2:6">
      <c r="B1521" s="1"/>
      <c r="C1521" s="1"/>
      <c r="D1521" s="1"/>
      <c r="E1521" s="6"/>
      <c r="F1521" s="4"/>
    </row>
    <row r="1522" spans="2:6">
      <c r="B1522" s="1"/>
      <c r="C1522" s="1"/>
      <c r="D1522" s="1"/>
      <c r="E1522" s="6"/>
      <c r="F1522" s="4"/>
    </row>
    <row r="1523" spans="2:6">
      <c r="B1523" s="1"/>
      <c r="C1523" s="1"/>
      <c r="D1523" s="1"/>
      <c r="E1523" s="6"/>
      <c r="F1523" s="4"/>
    </row>
    <row r="1524" spans="2:6">
      <c r="B1524" s="1"/>
      <c r="C1524" s="1"/>
      <c r="D1524" s="1"/>
      <c r="E1524" s="6"/>
      <c r="F1524" s="4"/>
    </row>
    <row r="1525" spans="2:6">
      <c r="B1525" s="1"/>
      <c r="C1525" s="1"/>
      <c r="D1525" s="1"/>
      <c r="E1525" s="6"/>
      <c r="F1525" s="4"/>
    </row>
    <row r="1526" spans="2:6">
      <c r="B1526" s="1"/>
      <c r="C1526" s="1"/>
      <c r="D1526" s="1"/>
      <c r="E1526" s="6"/>
      <c r="F1526" s="4"/>
    </row>
    <row r="1527" spans="2:6">
      <c r="B1527" s="1"/>
      <c r="C1527" s="1"/>
      <c r="D1527" s="1"/>
      <c r="E1527" s="6"/>
      <c r="F1527" s="4"/>
    </row>
    <row r="1528" spans="2:6">
      <c r="B1528" s="1"/>
      <c r="C1528" s="1"/>
      <c r="D1528" s="1"/>
      <c r="E1528" s="6"/>
      <c r="F1528" s="4"/>
    </row>
    <row r="1529" spans="2:6">
      <c r="B1529" s="1"/>
      <c r="C1529" s="1"/>
      <c r="D1529" s="1"/>
      <c r="E1529" s="6"/>
      <c r="F1529" s="4"/>
    </row>
    <row r="1530" spans="2:6">
      <c r="B1530" s="1"/>
      <c r="C1530" s="1"/>
      <c r="D1530" s="1"/>
      <c r="E1530" s="6"/>
      <c r="F1530" s="4"/>
    </row>
    <row r="1531" spans="2:6">
      <c r="B1531" s="1"/>
      <c r="C1531" s="1"/>
      <c r="D1531" s="1"/>
      <c r="E1531" s="6"/>
      <c r="F1531" s="4"/>
    </row>
    <row r="1532" spans="2:6">
      <c r="B1532" s="1"/>
      <c r="C1532" s="1"/>
      <c r="D1532" s="1"/>
      <c r="E1532" s="6"/>
      <c r="F1532" s="4"/>
    </row>
    <row r="1533" spans="2:6">
      <c r="B1533" s="1"/>
      <c r="C1533" s="1"/>
      <c r="D1533" s="1"/>
      <c r="E1533" s="6"/>
      <c r="F1533" s="4"/>
    </row>
    <row r="1534" spans="2:6">
      <c r="B1534" s="1"/>
      <c r="C1534" s="1"/>
      <c r="D1534" s="1"/>
      <c r="E1534" s="6"/>
      <c r="F1534" s="4"/>
    </row>
    <row r="1535" spans="2:6">
      <c r="B1535" s="1"/>
      <c r="C1535" s="1"/>
      <c r="D1535" s="1"/>
      <c r="E1535" s="6"/>
      <c r="F1535" s="4"/>
    </row>
    <row r="1536" spans="2:6">
      <c r="B1536" s="1"/>
      <c r="C1536" s="1"/>
      <c r="D1536" s="1"/>
      <c r="E1536" s="6"/>
      <c r="F1536" s="4"/>
    </row>
    <row r="1537" spans="2:6">
      <c r="B1537" s="1"/>
      <c r="C1537" s="1"/>
      <c r="D1537" s="1"/>
      <c r="E1537" s="6"/>
      <c r="F1537" s="4"/>
    </row>
    <row r="1538" spans="2:6">
      <c r="B1538" s="1"/>
      <c r="C1538" s="1"/>
      <c r="D1538" s="1"/>
      <c r="E1538" s="6"/>
      <c r="F1538" s="4"/>
    </row>
    <row r="1539" spans="2:6">
      <c r="B1539" s="1"/>
      <c r="C1539" s="1"/>
      <c r="D1539" s="1"/>
      <c r="E1539" s="6"/>
      <c r="F1539" s="4"/>
    </row>
    <row r="1540" spans="2:6">
      <c r="B1540" s="1"/>
      <c r="C1540" s="1"/>
      <c r="D1540" s="1"/>
      <c r="E1540" s="6"/>
      <c r="F1540" s="4"/>
    </row>
    <row r="1541" spans="2:6">
      <c r="B1541" s="1"/>
      <c r="C1541" s="1"/>
      <c r="D1541" s="1"/>
      <c r="E1541" s="6"/>
      <c r="F1541" s="4"/>
    </row>
    <row r="1542" spans="2:6">
      <c r="B1542" s="1"/>
      <c r="C1542" s="1"/>
      <c r="D1542" s="1"/>
      <c r="E1542" s="6"/>
      <c r="F1542" s="4"/>
    </row>
    <row r="1543" spans="2:6">
      <c r="B1543" s="1"/>
      <c r="C1543" s="1"/>
      <c r="D1543" s="1"/>
      <c r="E1543" s="6"/>
      <c r="F1543" s="4"/>
    </row>
    <row r="1544" spans="2:6">
      <c r="B1544" s="1"/>
      <c r="C1544" s="1"/>
      <c r="D1544" s="1"/>
      <c r="E1544" s="6"/>
      <c r="F1544" s="4"/>
    </row>
    <row r="1545" spans="2:6">
      <c r="B1545" s="1"/>
      <c r="C1545" s="1"/>
      <c r="D1545" s="1"/>
      <c r="E1545" s="6"/>
      <c r="F1545" s="4"/>
    </row>
    <row r="1546" spans="2:6">
      <c r="B1546" s="1"/>
      <c r="C1546" s="1"/>
      <c r="D1546" s="1"/>
      <c r="E1546" s="6"/>
      <c r="F1546" s="4"/>
    </row>
    <row r="1547" spans="2:6">
      <c r="B1547" s="1"/>
      <c r="C1547" s="1"/>
      <c r="D1547" s="1"/>
      <c r="E1547" s="6"/>
      <c r="F1547" s="4"/>
    </row>
    <row r="1548" spans="2:6">
      <c r="B1548" s="1"/>
      <c r="C1548" s="1"/>
      <c r="D1548" s="1"/>
      <c r="E1548" s="6"/>
      <c r="F1548" s="4"/>
    </row>
    <row r="1549" spans="2:6">
      <c r="B1549" s="1"/>
      <c r="C1549" s="1"/>
      <c r="D1549" s="1"/>
      <c r="E1549" s="6"/>
      <c r="F1549" s="4"/>
    </row>
    <row r="1550" spans="2:6">
      <c r="B1550" s="1"/>
      <c r="C1550" s="1"/>
      <c r="D1550" s="1"/>
      <c r="E1550" s="6"/>
      <c r="F1550" s="4"/>
    </row>
    <row r="1551" spans="2:6">
      <c r="B1551" s="1"/>
      <c r="C1551" s="1"/>
      <c r="D1551" s="1"/>
      <c r="E1551" s="6"/>
      <c r="F1551" s="4"/>
    </row>
    <row r="1552" spans="2:6">
      <c r="B1552" s="1"/>
      <c r="C1552" s="1"/>
      <c r="D1552" s="1"/>
      <c r="E1552" s="6"/>
      <c r="F1552" s="4"/>
    </row>
    <row r="1553" spans="2:6">
      <c r="B1553" s="1"/>
      <c r="C1553" s="1"/>
      <c r="D1553" s="1"/>
      <c r="E1553" s="6"/>
      <c r="F1553" s="4"/>
    </row>
    <row r="1554" spans="2:6">
      <c r="B1554" s="1"/>
      <c r="C1554" s="1"/>
      <c r="D1554" s="1"/>
      <c r="E1554" s="6"/>
      <c r="F1554" s="4"/>
    </row>
    <row r="1555" spans="2:6">
      <c r="B1555" s="1"/>
      <c r="C1555" s="1"/>
      <c r="D1555" s="1"/>
      <c r="E1555" s="6"/>
      <c r="F1555" s="4"/>
    </row>
    <row r="1556" spans="2:6">
      <c r="B1556" s="1"/>
      <c r="C1556" s="1"/>
      <c r="D1556" s="1"/>
      <c r="E1556" s="6"/>
      <c r="F1556" s="4"/>
    </row>
    <row r="1557" spans="2:6">
      <c r="B1557" s="1"/>
      <c r="C1557" s="1"/>
      <c r="D1557" s="1"/>
      <c r="E1557" s="6"/>
      <c r="F1557" s="4"/>
    </row>
    <row r="1558" spans="2:6">
      <c r="B1558" s="1"/>
      <c r="C1558" s="1"/>
      <c r="D1558" s="1"/>
      <c r="E1558" s="6"/>
      <c r="F1558" s="4"/>
    </row>
    <row r="1559" spans="2:6">
      <c r="B1559" s="1"/>
      <c r="C1559" s="1"/>
      <c r="D1559" s="1"/>
      <c r="E1559" s="6"/>
      <c r="F1559" s="4"/>
    </row>
    <row r="1560" spans="2:6">
      <c r="B1560" s="1"/>
      <c r="C1560" s="1"/>
      <c r="D1560" s="1"/>
      <c r="E1560" s="6"/>
      <c r="F1560" s="4"/>
    </row>
    <row r="1561" spans="2:6">
      <c r="B1561" s="1"/>
      <c r="C1561" s="1"/>
      <c r="D1561" s="1"/>
      <c r="E1561" s="6"/>
      <c r="F1561" s="4"/>
    </row>
    <row r="1562" spans="2:6">
      <c r="B1562" s="1"/>
      <c r="C1562" s="1"/>
      <c r="D1562" s="1"/>
      <c r="E1562" s="6"/>
      <c r="F1562" s="4"/>
    </row>
    <row r="1563" spans="2:6">
      <c r="B1563" s="1"/>
      <c r="C1563" s="1"/>
      <c r="D1563" s="1"/>
      <c r="E1563" s="6"/>
      <c r="F1563" s="4"/>
    </row>
    <row r="1564" spans="2:6">
      <c r="B1564" s="1"/>
      <c r="C1564" s="1"/>
      <c r="D1564" s="1"/>
      <c r="E1564" s="6"/>
      <c r="F1564" s="4"/>
    </row>
    <row r="1565" spans="2:6">
      <c r="B1565" s="1"/>
      <c r="C1565" s="1"/>
      <c r="D1565" s="1"/>
      <c r="E1565" s="6"/>
      <c r="F1565" s="4"/>
    </row>
    <row r="1566" spans="2:6">
      <c r="B1566" s="1"/>
      <c r="C1566" s="1"/>
      <c r="D1566" s="1"/>
      <c r="E1566" s="6"/>
      <c r="F1566" s="4"/>
    </row>
    <row r="1567" spans="2:6">
      <c r="B1567" s="1"/>
      <c r="C1567" s="1"/>
      <c r="D1567" s="1"/>
      <c r="E1567" s="6"/>
      <c r="F1567" s="4"/>
    </row>
    <row r="1568" spans="2:6">
      <c r="B1568" s="1"/>
      <c r="C1568" s="1"/>
      <c r="D1568" s="1"/>
      <c r="E1568" s="6"/>
      <c r="F1568" s="4"/>
    </row>
    <row r="1569" spans="2:6">
      <c r="B1569" s="1"/>
      <c r="C1569" s="1"/>
      <c r="D1569" s="1"/>
      <c r="E1569" s="6"/>
      <c r="F1569" s="4"/>
    </row>
    <row r="1570" spans="2:6">
      <c r="B1570" s="1"/>
      <c r="C1570" s="1"/>
      <c r="D1570" s="1"/>
      <c r="E1570" s="6"/>
      <c r="F1570" s="4"/>
    </row>
    <row r="1571" spans="2:6">
      <c r="B1571" s="1"/>
      <c r="C1571" s="1"/>
      <c r="D1571" s="1"/>
      <c r="E1571" s="6"/>
      <c r="F1571" s="4"/>
    </row>
    <row r="1572" spans="2:6">
      <c r="B1572" s="1"/>
      <c r="C1572" s="1"/>
      <c r="D1572" s="1"/>
      <c r="E1572" s="6"/>
      <c r="F1572" s="4"/>
    </row>
    <row r="1573" spans="2:6">
      <c r="B1573" s="1"/>
      <c r="C1573" s="1"/>
      <c r="D1573" s="1"/>
      <c r="E1573" s="6"/>
      <c r="F1573" s="4"/>
    </row>
    <row r="1574" spans="2:6">
      <c r="B1574" s="1"/>
      <c r="C1574" s="1"/>
      <c r="D1574" s="1"/>
      <c r="E1574" s="6"/>
      <c r="F1574" s="4"/>
    </row>
    <row r="1575" spans="2:6">
      <c r="B1575" s="1"/>
      <c r="C1575" s="1"/>
      <c r="D1575" s="1"/>
      <c r="E1575" s="6"/>
      <c r="F1575" s="4"/>
    </row>
    <row r="1576" spans="2:6">
      <c r="B1576" s="1"/>
      <c r="C1576" s="1"/>
      <c r="D1576" s="1"/>
      <c r="E1576" s="6"/>
      <c r="F1576" s="4"/>
    </row>
    <row r="1577" spans="2:6">
      <c r="B1577" s="1"/>
      <c r="C1577" s="1"/>
      <c r="D1577" s="1"/>
      <c r="E1577" s="6"/>
      <c r="F1577" s="4"/>
    </row>
    <row r="1578" spans="2:6">
      <c r="B1578" s="1"/>
      <c r="C1578" s="1"/>
      <c r="D1578" s="1"/>
      <c r="E1578" s="6"/>
      <c r="F1578" s="4"/>
    </row>
    <row r="1579" spans="2:6">
      <c r="B1579" s="1"/>
      <c r="C1579" s="1"/>
      <c r="D1579" s="1"/>
      <c r="E1579" s="6"/>
      <c r="F1579" s="4"/>
    </row>
    <row r="1580" spans="2:6">
      <c r="B1580" s="1"/>
      <c r="C1580" s="1"/>
      <c r="D1580" s="1"/>
      <c r="E1580" s="6"/>
      <c r="F1580" s="4"/>
    </row>
    <row r="1581" spans="2:6">
      <c r="B1581" s="1"/>
      <c r="C1581" s="1"/>
      <c r="D1581" s="1"/>
      <c r="E1581" s="6"/>
      <c r="F1581" s="4"/>
    </row>
    <row r="1582" spans="2:6">
      <c r="B1582" s="1"/>
      <c r="C1582" s="1"/>
      <c r="D1582" s="1"/>
      <c r="E1582" s="6"/>
      <c r="F1582" s="4"/>
    </row>
    <row r="1583" spans="2:6">
      <c r="B1583" s="1"/>
      <c r="C1583" s="1"/>
      <c r="D1583" s="1"/>
      <c r="E1583" s="6"/>
      <c r="F1583" s="4"/>
    </row>
    <row r="1584" spans="2:6">
      <c r="B1584" s="1"/>
      <c r="C1584" s="1"/>
      <c r="D1584" s="1"/>
      <c r="E1584" s="6"/>
      <c r="F1584" s="4"/>
    </row>
    <row r="1585" spans="2:6">
      <c r="B1585" s="1"/>
      <c r="C1585" s="1"/>
      <c r="D1585" s="1"/>
      <c r="E1585" s="6"/>
      <c r="F1585" s="4"/>
    </row>
    <row r="1586" spans="2:6">
      <c r="B1586" s="1"/>
      <c r="C1586" s="1"/>
      <c r="D1586" s="1"/>
      <c r="E1586" s="6"/>
      <c r="F1586" s="4"/>
    </row>
    <row r="1587" spans="2:6">
      <c r="B1587" s="1"/>
      <c r="C1587" s="1"/>
      <c r="D1587" s="1"/>
      <c r="E1587" s="6"/>
      <c r="F1587" s="4"/>
    </row>
    <row r="1588" spans="2:6">
      <c r="B1588" s="1"/>
      <c r="C1588" s="1"/>
      <c r="D1588" s="1"/>
      <c r="E1588" s="6"/>
      <c r="F1588" s="4"/>
    </row>
    <row r="1589" spans="2:6">
      <c r="B1589" s="1"/>
      <c r="C1589" s="1"/>
      <c r="D1589" s="1"/>
      <c r="E1589" s="6"/>
      <c r="F1589" s="4"/>
    </row>
    <row r="1590" spans="2:6">
      <c r="B1590" s="1"/>
      <c r="C1590" s="1"/>
      <c r="D1590" s="1"/>
      <c r="E1590" s="6"/>
      <c r="F1590" s="4"/>
    </row>
    <row r="1591" spans="2:6">
      <c r="B1591" s="1"/>
      <c r="C1591" s="1"/>
      <c r="D1591" s="1"/>
      <c r="E1591" s="6"/>
      <c r="F1591" s="4"/>
    </row>
    <row r="1592" spans="2:6">
      <c r="B1592" s="1"/>
      <c r="C1592" s="1"/>
      <c r="D1592" s="1"/>
      <c r="E1592" s="6"/>
      <c r="F1592" s="4"/>
    </row>
    <row r="1593" spans="2:6">
      <c r="B1593" s="1"/>
      <c r="C1593" s="1"/>
      <c r="D1593" s="1"/>
      <c r="E1593" s="6"/>
      <c r="F1593" s="4"/>
    </row>
    <row r="1594" spans="2:6">
      <c r="B1594" s="1"/>
      <c r="C1594" s="1"/>
      <c r="D1594" s="1"/>
      <c r="E1594" s="6"/>
      <c r="F1594" s="4"/>
    </row>
    <row r="1595" spans="2:6">
      <c r="B1595" s="1"/>
      <c r="C1595" s="1"/>
      <c r="D1595" s="1"/>
      <c r="E1595" s="6"/>
      <c r="F1595" s="4"/>
    </row>
    <row r="1596" spans="2:6">
      <c r="B1596" s="1"/>
      <c r="C1596" s="1"/>
      <c r="D1596" s="1"/>
      <c r="E1596" s="6"/>
      <c r="F1596" s="4"/>
    </row>
    <row r="1597" spans="2:6">
      <c r="B1597" s="1"/>
      <c r="C1597" s="1"/>
      <c r="D1597" s="1"/>
      <c r="E1597" s="6"/>
      <c r="F1597" s="4"/>
    </row>
    <row r="1598" spans="2:6">
      <c r="B1598" s="1"/>
      <c r="C1598" s="1"/>
      <c r="D1598" s="1"/>
      <c r="E1598" s="6"/>
      <c r="F1598" s="4"/>
    </row>
    <row r="1599" spans="2:6">
      <c r="B1599" s="1"/>
      <c r="C1599" s="1"/>
      <c r="D1599" s="1"/>
      <c r="E1599" s="6"/>
      <c r="F1599" s="4"/>
    </row>
    <row r="1600" spans="2:6">
      <c r="B1600" s="1"/>
      <c r="C1600" s="1"/>
      <c r="D1600" s="1"/>
      <c r="E1600" s="6"/>
      <c r="F1600" s="4"/>
    </row>
    <row r="1601" spans="2:6">
      <c r="B1601" s="1"/>
      <c r="C1601" s="1"/>
      <c r="D1601" s="1"/>
      <c r="E1601" s="6"/>
      <c r="F1601" s="4"/>
    </row>
    <row r="1602" spans="2:6">
      <c r="B1602" s="1"/>
      <c r="C1602" s="1"/>
      <c r="D1602" s="1"/>
      <c r="E1602" s="6"/>
      <c r="F1602" s="4"/>
    </row>
    <row r="1603" spans="2:6">
      <c r="B1603" s="1"/>
      <c r="C1603" s="1"/>
      <c r="D1603" s="1"/>
      <c r="E1603" s="6"/>
      <c r="F1603" s="4"/>
    </row>
    <row r="1604" spans="2:6">
      <c r="B1604" s="1"/>
      <c r="C1604" s="1"/>
      <c r="D1604" s="1"/>
      <c r="E1604" s="6"/>
      <c r="F1604" s="4"/>
    </row>
    <row r="1605" spans="2:6">
      <c r="B1605" s="1"/>
      <c r="C1605" s="1"/>
      <c r="D1605" s="1"/>
      <c r="E1605" s="6"/>
      <c r="F1605" s="4"/>
    </row>
    <row r="1606" spans="2:6">
      <c r="B1606" s="1"/>
      <c r="C1606" s="1"/>
      <c r="D1606" s="1"/>
      <c r="E1606" s="6"/>
      <c r="F1606" s="4"/>
    </row>
    <row r="1607" spans="2:6">
      <c r="B1607" s="1"/>
      <c r="C1607" s="1"/>
      <c r="D1607" s="1"/>
      <c r="E1607" s="6"/>
      <c r="F1607" s="4"/>
    </row>
    <row r="1608" spans="2:6">
      <c r="B1608" s="1"/>
      <c r="C1608" s="1"/>
      <c r="D1608" s="1"/>
      <c r="E1608" s="6"/>
      <c r="F1608" s="4"/>
    </row>
    <row r="1609" spans="2:6">
      <c r="B1609" s="1"/>
      <c r="C1609" s="1"/>
      <c r="D1609" s="1"/>
      <c r="E1609" s="6"/>
      <c r="F1609" s="4"/>
    </row>
    <row r="1610" spans="2:6">
      <c r="B1610" s="1"/>
      <c r="C1610" s="1"/>
      <c r="D1610" s="1"/>
      <c r="E1610" s="6"/>
      <c r="F1610" s="4"/>
    </row>
    <row r="1611" spans="2:6">
      <c r="B1611" s="1"/>
      <c r="C1611" s="1"/>
      <c r="D1611" s="1"/>
      <c r="E1611" s="6"/>
      <c r="F1611" s="4"/>
    </row>
    <row r="1612" spans="2:6">
      <c r="B1612" s="1"/>
      <c r="C1612" s="1"/>
      <c r="D1612" s="1"/>
      <c r="E1612" s="6"/>
      <c r="F1612" s="4"/>
    </row>
    <row r="1613" spans="2:6">
      <c r="B1613" s="1"/>
      <c r="C1613" s="1"/>
      <c r="D1613" s="1"/>
      <c r="E1613" s="6"/>
      <c r="F1613" s="4"/>
    </row>
    <row r="1614" spans="2:6">
      <c r="B1614" s="1"/>
      <c r="C1614" s="1"/>
      <c r="D1614" s="1"/>
      <c r="E1614" s="6"/>
      <c r="F1614" s="4"/>
    </row>
    <row r="1615" spans="2:6">
      <c r="B1615" s="1"/>
      <c r="C1615" s="1"/>
      <c r="D1615" s="1"/>
      <c r="E1615" s="6"/>
      <c r="F1615" s="4"/>
    </row>
    <row r="1616" spans="2:6">
      <c r="B1616" s="1"/>
      <c r="C1616" s="1"/>
      <c r="D1616" s="1"/>
      <c r="E1616" s="6"/>
      <c r="F1616" s="4"/>
    </row>
    <row r="1617" spans="2:6">
      <c r="B1617" s="1"/>
      <c r="C1617" s="1"/>
      <c r="D1617" s="1"/>
      <c r="E1617" s="6"/>
      <c r="F1617" s="4"/>
    </row>
    <row r="1618" spans="2:6">
      <c r="B1618" s="1"/>
      <c r="C1618" s="1"/>
      <c r="D1618" s="1"/>
      <c r="E1618" s="6"/>
      <c r="F1618" s="4"/>
    </row>
    <row r="1619" spans="2:6">
      <c r="B1619" s="1"/>
      <c r="C1619" s="1"/>
      <c r="D1619" s="1"/>
      <c r="E1619" s="6"/>
      <c r="F1619" s="4"/>
    </row>
    <row r="1620" spans="2:6">
      <c r="B1620" s="1"/>
      <c r="C1620" s="1"/>
      <c r="D1620" s="1"/>
      <c r="E1620" s="6"/>
      <c r="F1620" s="4"/>
    </row>
    <row r="1621" spans="2:6">
      <c r="B1621" s="1"/>
      <c r="C1621" s="1"/>
      <c r="D1621" s="1"/>
      <c r="E1621" s="6"/>
      <c r="F1621" s="4"/>
    </row>
    <row r="1622" spans="2:6">
      <c r="B1622" s="1"/>
      <c r="C1622" s="1"/>
      <c r="D1622" s="1"/>
      <c r="E1622" s="6"/>
      <c r="F1622" s="4"/>
    </row>
    <row r="1623" spans="2:6">
      <c r="B1623" s="1"/>
      <c r="C1623" s="1"/>
      <c r="D1623" s="1"/>
      <c r="E1623" s="6"/>
      <c r="F1623" s="4"/>
    </row>
    <row r="1624" spans="2:6">
      <c r="B1624" s="1"/>
      <c r="C1624" s="1"/>
      <c r="D1624" s="1"/>
      <c r="E1624" s="6"/>
      <c r="F1624" s="4"/>
    </row>
    <row r="1625" spans="2:6">
      <c r="B1625" s="1"/>
      <c r="C1625" s="1"/>
      <c r="D1625" s="1"/>
      <c r="E1625" s="6"/>
      <c r="F1625" s="4"/>
    </row>
    <row r="1626" spans="2:6">
      <c r="B1626" s="1"/>
      <c r="C1626" s="1"/>
      <c r="D1626" s="1"/>
      <c r="E1626" s="6"/>
      <c r="F1626" s="4"/>
    </row>
    <row r="1627" spans="2:6">
      <c r="B1627" s="1"/>
      <c r="C1627" s="1"/>
      <c r="D1627" s="1"/>
      <c r="E1627" s="6"/>
      <c r="F1627" s="4"/>
    </row>
    <row r="1628" spans="2:6">
      <c r="B1628" s="1"/>
      <c r="C1628" s="1"/>
      <c r="D1628" s="1"/>
      <c r="E1628" s="6"/>
      <c r="F1628" s="4"/>
    </row>
    <row r="1629" spans="2:6">
      <c r="B1629" s="1"/>
      <c r="C1629" s="1"/>
      <c r="D1629" s="1"/>
      <c r="E1629" s="6"/>
      <c r="F1629" s="4"/>
    </row>
    <row r="1630" spans="2:6">
      <c r="B1630" s="1"/>
      <c r="C1630" s="1"/>
      <c r="D1630" s="1"/>
      <c r="E1630" s="6"/>
      <c r="F1630" s="4"/>
    </row>
    <row r="1631" spans="2:6">
      <c r="B1631" s="1"/>
      <c r="C1631" s="1"/>
      <c r="D1631" s="1"/>
      <c r="E1631" s="6"/>
      <c r="F1631" s="4"/>
    </row>
    <row r="1632" spans="2:6">
      <c r="B1632" s="1"/>
      <c r="C1632" s="1"/>
      <c r="D1632" s="1"/>
      <c r="E1632" s="6"/>
      <c r="F1632" s="4"/>
    </row>
    <row r="1633" spans="2:6">
      <c r="B1633" s="1"/>
      <c r="C1633" s="1"/>
      <c r="D1633" s="1"/>
      <c r="E1633" s="6"/>
      <c r="F1633" s="4"/>
    </row>
    <row r="1634" spans="2:6">
      <c r="B1634" s="1"/>
      <c r="C1634" s="1"/>
      <c r="D1634" s="1"/>
      <c r="E1634" s="6"/>
      <c r="F1634" s="4"/>
    </row>
    <row r="1635" spans="2:6">
      <c r="B1635" s="1"/>
      <c r="C1635" s="1"/>
      <c r="D1635" s="1"/>
      <c r="E1635" s="6"/>
      <c r="F1635" s="4"/>
    </row>
    <row r="1636" spans="2:6">
      <c r="B1636" s="1"/>
      <c r="C1636" s="1"/>
      <c r="D1636" s="1"/>
      <c r="E1636" s="6"/>
      <c r="F1636" s="4"/>
    </row>
    <row r="1637" spans="2:6">
      <c r="B1637" s="1"/>
      <c r="C1637" s="1"/>
      <c r="D1637" s="1"/>
      <c r="E1637" s="6"/>
      <c r="F1637" s="4"/>
    </row>
    <row r="1638" spans="2:6">
      <c r="B1638" s="1"/>
      <c r="C1638" s="1"/>
      <c r="D1638" s="1"/>
      <c r="E1638" s="6"/>
      <c r="F1638" s="4"/>
    </row>
    <row r="1639" spans="2:6">
      <c r="B1639" s="1"/>
      <c r="C1639" s="1"/>
      <c r="D1639" s="1"/>
      <c r="E1639" s="6"/>
      <c r="F1639" s="4"/>
    </row>
    <row r="1640" spans="2:6">
      <c r="B1640" s="1"/>
      <c r="C1640" s="1"/>
      <c r="D1640" s="1"/>
      <c r="E1640" s="6"/>
      <c r="F1640" s="4"/>
    </row>
    <row r="1641" spans="2:6">
      <c r="B1641" s="1"/>
      <c r="C1641" s="1"/>
      <c r="D1641" s="1"/>
      <c r="E1641" s="6"/>
      <c r="F1641" s="4"/>
    </row>
    <row r="1642" spans="2:6">
      <c r="B1642" s="1"/>
      <c r="C1642" s="1"/>
      <c r="D1642" s="1"/>
      <c r="E1642" s="6"/>
      <c r="F1642" s="4"/>
    </row>
    <row r="1643" spans="2:6">
      <c r="B1643" s="1"/>
      <c r="C1643" s="1"/>
      <c r="D1643" s="1"/>
      <c r="E1643" s="6"/>
      <c r="F1643" s="4"/>
    </row>
    <row r="1644" spans="2:6">
      <c r="B1644" s="1"/>
      <c r="C1644" s="1"/>
      <c r="D1644" s="1"/>
      <c r="E1644" s="6"/>
      <c r="F1644" s="4"/>
    </row>
    <row r="1645" spans="2:6">
      <c r="B1645" s="1"/>
      <c r="C1645" s="1"/>
      <c r="D1645" s="1"/>
      <c r="E1645" s="6"/>
      <c r="F1645" s="4"/>
    </row>
    <row r="1646" spans="2:6">
      <c r="B1646" s="1"/>
      <c r="C1646" s="1"/>
      <c r="D1646" s="1"/>
      <c r="E1646" s="6"/>
      <c r="F1646" s="4"/>
    </row>
    <row r="1647" spans="2:6">
      <c r="B1647" s="1"/>
      <c r="C1647" s="1"/>
      <c r="D1647" s="1"/>
      <c r="E1647" s="6"/>
      <c r="F1647" s="4"/>
    </row>
    <row r="1648" spans="2:6">
      <c r="B1648" s="1"/>
      <c r="C1648" s="1"/>
      <c r="D1648" s="1"/>
      <c r="E1648" s="6"/>
      <c r="F1648" s="4"/>
    </row>
    <row r="1649" spans="2:6">
      <c r="B1649" s="1"/>
      <c r="C1649" s="1"/>
      <c r="D1649" s="1"/>
      <c r="E1649" s="6"/>
      <c r="F1649" s="4"/>
    </row>
    <row r="1650" spans="2:6">
      <c r="B1650" s="1"/>
      <c r="C1650" s="1"/>
      <c r="D1650" s="1"/>
      <c r="E1650" s="6"/>
      <c r="F1650" s="4"/>
    </row>
    <row r="1651" spans="2:6">
      <c r="B1651" s="1"/>
      <c r="C1651" s="1"/>
      <c r="D1651" s="1"/>
      <c r="E1651" s="6"/>
      <c r="F1651" s="4"/>
    </row>
    <row r="1652" spans="2:6">
      <c r="B1652" s="1"/>
      <c r="C1652" s="1"/>
      <c r="D1652" s="1"/>
      <c r="E1652" s="6"/>
      <c r="F1652" s="4"/>
    </row>
    <row r="1653" spans="2:6">
      <c r="B1653" s="1"/>
      <c r="C1653" s="1"/>
      <c r="D1653" s="1"/>
      <c r="E1653" s="6"/>
      <c r="F1653" s="4"/>
    </row>
    <row r="1654" spans="2:6">
      <c r="B1654" s="1"/>
      <c r="C1654" s="1"/>
      <c r="D1654" s="1"/>
      <c r="E1654" s="6"/>
      <c r="F1654" s="4"/>
    </row>
    <row r="1655" spans="2:6">
      <c r="B1655" s="1"/>
      <c r="C1655" s="1"/>
      <c r="D1655" s="1"/>
      <c r="E1655" s="6"/>
      <c r="F1655" s="4"/>
    </row>
    <row r="1656" spans="2:6">
      <c r="B1656" s="1"/>
      <c r="C1656" s="1"/>
      <c r="D1656" s="1"/>
      <c r="E1656" s="6"/>
      <c r="F1656" s="4"/>
    </row>
    <row r="1657" spans="2:6">
      <c r="B1657" s="1"/>
      <c r="C1657" s="1"/>
      <c r="D1657" s="1"/>
      <c r="E1657" s="6"/>
      <c r="F1657" s="4"/>
    </row>
    <row r="1658" spans="2:6">
      <c r="B1658" s="1"/>
      <c r="C1658" s="1"/>
      <c r="D1658" s="1"/>
      <c r="E1658" s="6"/>
      <c r="F1658" s="4"/>
    </row>
    <row r="1659" spans="2:6">
      <c r="B1659" s="1"/>
      <c r="C1659" s="1"/>
      <c r="D1659" s="1"/>
      <c r="E1659" s="6"/>
      <c r="F1659" s="4"/>
    </row>
    <row r="1660" spans="2:6">
      <c r="B1660" s="1"/>
      <c r="C1660" s="1"/>
      <c r="D1660" s="1"/>
      <c r="E1660" s="6"/>
      <c r="F1660" s="4"/>
    </row>
    <row r="1661" spans="2:6">
      <c r="B1661" s="1"/>
      <c r="C1661" s="1"/>
      <c r="D1661" s="1"/>
      <c r="E1661" s="6"/>
      <c r="F1661" s="4"/>
    </row>
    <row r="1662" spans="2:6">
      <c r="B1662" s="1"/>
      <c r="C1662" s="1"/>
      <c r="D1662" s="1"/>
      <c r="E1662" s="6"/>
      <c r="F1662" s="4"/>
    </row>
    <row r="1663" spans="2:6">
      <c r="B1663" s="1"/>
      <c r="C1663" s="1"/>
      <c r="D1663" s="1"/>
      <c r="E1663" s="6"/>
      <c r="F1663" s="4"/>
    </row>
    <row r="1664" spans="2:6">
      <c r="B1664" s="1"/>
      <c r="C1664" s="1"/>
      <c r="D1664" s="1"/>
      <c r="E1664" s="6"/>
      <c r="F1664" s="4"/>
    </row>
    <row r="1665" spans="2:6">
      <c r="B1665" s="1"/>
      <c r="C1665" s="1"/>
      <c r="D1665" s="1"/>
      <c r="E1665" s="6"/>
      <c r="F1665" s="4"/>
    </row>
    <row r="1666" spans="2:6">
      <c r="B1666" s="1"/>
      <c r="C1666" s="1"/>
      <c r="D1666" s="1"/>
      <c r="E1666" s="6"/>
      <c r="F1666" s="4"/>
    </row>
    <row r="1667" spans="2:6">
      <c r="B1667" s="1"/>
      <c r="C1667" s="1"/>
      <c r="D1667" s="1"/>
      <c r="E1667" s="6"/>
      <c r="F1667" s="4"/>
    </row>
    <row r="1668" spans="2:6">
      <c r="B1668" s="1"/>
      <c r="C1668" s="1"/>
      <c r="D1668" s="1"/>
      <c r="E1668" s="6"/>
      <c r="F1668" s="4"/>
    </row>
    <row r="1669" spans="2:6">
      <c r="B1669" s="1"/>
      <c r="C1669" s="1"/>
      <c r="D1669" s="1"/>
      <c r="E1669" s="6"/>
      <c r="F1669" s="4"/>
    </row>
    <row r="1670" spans="2:6">
      <c r="B1670" s="1"/>
      <c r="C1670" s="1"/>
      <c r="D1670" s="1"/>
      <c r="E1670" s="6"/>
      <c r="F1670" s="4"/>
    </row>
    <row r="1671" spans="2:6">
      <c r="B1671" s="1"/>
      <c r="C1671" s="1"/>
      <c r="D1671" s="1"/>
      <c r="E1671" s="6"/>
      <c r="F1671" s="4"/>
    </row>
    <row r="1672" spans="2:6">
      <c r="B1672" s="1"/>
      <c r="C1672" s="1"/>
      <c r="D1672" s="1"/>
      <c r="E1672" s="6"/>
      <c r="F1672" s="4"/>
    </row>
    <row r="1673" spans="2:6">
      <c r="B1673" s="1"/>
      <c r="C1673" s="1"/>
      <c r="D1673" s="1"/>
      <c r="E1673" s="6"/>
      <c r="F1673" s="4"/>
    </row>
    <row r="1674" spans="2:6">
      <c r="B1674" s="1"/>
      <c r="C1674" s="1"/>
      <c r="D1674" s="1"/>
      <c r="E1674" s="6"/>
      <c r="F1674" s="4"/>
    </row>
    <row r="1675" spans="2:6">
      <c r="B1675" s="1"/>
      <c r="C1675" s="1"/>
      <c r="D1675" s="1"/>
      <c r="E1675" s="6"/>
      <c r="F1675" s="4"/>
    </row>
    <row r="1676" spans="2:6">
      <c r="B1676" s="1"/>
      <c r="C1676" s="1"/>
      <c r="D1676" s="1"/>
      <c r="E1676" s="6"/>
      <c r="F1676" s="4"/>
    </row>
    <row r="1677" spans="2:6">
      <c r="B1677" s="1"/>
      <c r="C1677" s="1"/>
      <c r="D1677" s="1"/>
      <c r="E1677" s="6"/>
      <c r="F1677" s="4"/>
    </row>
    <row r="1678" spans="2:6">
      <c r="B1678" s="1"/>
      <c r="C1678" s="1"/>
      <c r="D1678" s="1"/>
      <c r="E1678" s="6"/>
      <c r="F1678" s="4"/>
    </row>
    <row r="1679" spans="2:6">
      <c r="B1679" s="1"/>
      <c r="C1679" s="1"/>
      <c r="D1679" s="1"/>
      <c r="E1679" s="6"/>
      <c r="F1679" s="4"/>
    </row>
    <row r="1680" spans="2:6">
      <c r="B1680" s="1"/>
      <c r="C1680" s="1"/>
      <c r="D1680" s="1"/>
      <c r="E1680" s="6"/>
      <c r="F1680" s="4"/>
    </row>
    <row r="1681" spans="2:6">
      <c r="B1681" s="1"/>
      <c r="C1681" s="1"/>
      <c r="D1681" s="1"/>
      <c r="E1681" s="6"/>
      <c r="F1681" s="4"/>
    </row>
    <row r="1682" spans="2:6">
      <c r="B1682" s="1"/>
      <c r="C1682" s="1"/>
      <c r="D1682" s="1"/>
      <c r="E1682" s="6"/>
      <c r="F1682" s="4"/>
    </row>
    <row r="1683" spans="2:6">
      <c r="B1683" s="1"/>
      <c r="C1683" s="1"/>
      <c r="D1683" s="1"/>
      <c r="E1683" s="6"/>
      <c r="F1683" s="4"/>
    </row>
    <row r="1684" spans="2:6">
      <c r="B1684" s="1"/>
      <c r="C1684" s="1"/>
      <c r="D1684" s="1"/>
      <c r="E1684" s="6"/>
      <c r="F1684" s="4"/>
    </row>
    <row r="1685" spans="2:6">
      <c r="B1685" s="1"/>
      <c r="C1685" s="1"/>
      <c r="D1685" s="1"/>
      <c r="E1685" s="6"/>
      <c r="F1685" s="4"/>
    </row>
    <row r="1686" spans="2:6">
      <c r="B1686" s="1"/>
      <c r="C1686" s="1"/>
      <c r="D1686" s="1"/>
      <c r="E1686" s="6"/>
      <c r="F1686" s="4"/>
    </row>
    <row r="1687" spans="2:6">
      <c r="B1687" s="1"/>
      <c r="C1687" s="1"/>
      <c r="D1687" s="1"/>
      <c r="E1687" s="6"/>
      <c r="F1687" s="4"/>
    </row>
    <row r="1688" spans="2:6">
      <c r="B1688" s="1"/>
      <c r="C1688" s="1"/>
      <c r="D1688" s="1"/>
      <c r="E1688" s="6"/>
      <c r="F1688" s="4"/>
    </row>
    <row r="1689" spans="2:6">
      <c r="B1689" s="1"/>
      <c r="C1689" s="1"/>
      <c r="D1689" s="1"/>
      <c r="E1689" s="6"/>
      <c r="F1689" s="4"/>
    </row>
    <row r="1690" spans="2:6">
      <c r="B1690" s="1"/>
      <c r="C1690" s="1"/>
      <c r="D1690" s="1"/>
      <c r="E1690" s="6"/>
      <c r="F1690" s="4"/>
    </row>
    <row r="1691" spans="2:6">
      <c r="B1691" s="1"/>
      <c r="C1691" s="1"/>
      <c r="D1691" s="1"/>
      <c r="E1691" s="6"/>
      <c r="F1691" s="4"/>
    </row>
    <row r="1692" spans="2:6">
      <c r="B1692" s="1"/>
      <c r="C1692" s="1"/>
      <c r="D1692" s="1"/>
      <c r="E1692" s="6"/>
      <c r="F1692" s="4"/>
    </row>
    <row r="1693" spans="2:6">
      <c r="B1693" s="1"/>
      <c r="C1693" s="1"/>
      <c r="D1693" s="1"/>
      <c r="E1693" s="6"/>
      <c r="F1693" s="4"/>
    </row>
    <row r="1694" spans="2:6">
      <c r="B1694" s="1"/>
      <c r="C1694" s="1"/>
      <c r="D1694" s="1"/>
      <c r="E1694" s="6"/>
      <c r="F1694" s="4"/>
    </row>
    <row r="1695" spans="2:6">
      <c r="B1695" s="1"/>
      <c r="C1695" s="1"/>
      <c r="D1695" s="1"/>
      <c r="E1695" s="6"/>
      <c r="F1695" s="4"/>
    </row>
    <row r="1696" spans="2:6">
      <c r="B1696" s="1"/>
      <c r="C1696" s="1"/>
      <c r="D1696" s="1"/>
      <c r="E1696" s="6"/>
      <c r="F1696" s="4"/>
    </row>
    <row r="1697" spans="2:6">
      <c r="B1697" s="1"/>
      <c r="C1697" s="1"/>
      <c r="D1697" s="1"/>
      <c r="E1697" s="6"/>
      <c r="F1697" s="4"/>
    </row>
    <row r="1698" spans="2:6">
      <c r="B1698" s="1"/>
      <c r="C1698" s="1"/>
      <c r="D1698" s="1"/>
      <c r="E1698" s="6"/>
      <c r="F1698" s="4"/>
    </row>
    <row r="1699" spans="2:6">
      <c r="B1699" s="1"/>
      <c r="C1699" s="1"/>
      <c r="D1699" s="1"/>
      <c r="E1699" s="6"/>
      <c r="F1699" s="4"/>
    </row>
    <row r="1700" spans="2:6">
      <c r="B1700" s="1"/>
      <c r="C1700" s="1"/>
      <c r="D1700" s="1"/>
      <c r="E1700" s="6"/>
      <c r="F1700" s="4"/>
    </row>
    <row r="1701" spans="2:6">
      <c r="B1701" s="1"/>
      <c r="C1701" s="1"/>
      <c r="D1701" s="1"/>
      <c r="E1701" s="6"/>
      <c r="F1701" s="4"/>
    </row>
    <row r="1702" spans="2:6">
      <c r="B1702" s="1"/>
      <c r="C1702" s="1"/>
      <c r="D1702" s="1"/>
      <c r="E1702" s="6"/>
      <c r="F1702" s="4"/>
    </row>
    <row r="1703" spans="2:6">
      <c r="B1703" s="1"/>
      <c r="C1703" s="1"/>
      <c r="D1703" s="1"/>
      <c r="E1703" s="6"/>
      <c r="F1703" s="4"/>
    </row>
    <row r="1704" spans="2:6">
      <c r="B1704" s="1"/>
      <c r="C1704" s="1"/>
      <c r="D1704" s="1"/>
      <c r="E1704" s="6"/>
      <c r="F1704" s="4"/>
    </row>
    <row r="1705" spans="2:6">
      <c r="B1705" s="1"/>
      <c r="C1705" s="1"/>
      <c r="D1705" s="1"/>
      <c r="E1705" s="6"/>
      <c r="F1705" s="4"/>
    </row>
    <row r="1706" spans="2:6">
      <c r="B1706" s="1"/>
      <c r="C1706" s="1"/>
      <c r="D1706" s="1"/>
      <c r="E1706" s="6"/>
      <c r="F1706" s="4"/>
    </row>
    <row r="1707" spans="2:6">
      <c r="B1707" s="1"/>
      <c r="C1707" s="1"/>
      <c r="D1707" s="1"/>
      <c r="E1707" s="6"/>
      <c r="F1707" s="4"/>
    </row>
    <row r="1708" spans="2:6">
      <c r="B1708" s="1"/>
      <c r="C1708" s="1"/>
      <c r="D1708" s="1"/>
      <c r="E1708" s="6"/>
      <c r="F1708" s="4"/>
    </row>
    <row r="1709" spans="2:6">
      <c r="B1709" s="1"/>
      <c r="C1709" s="1"/>
      <c r="D1709" s="1"/>
      <c r="E1709" s="6"/>
      <c r="F1709" s="4"/>
    </row>
    <row r="1710" spans="2:6">
      <c r="B1710" s="1"/>
      <c r="C1710" s="1"/>
      <c r="D1710" s="1"/>
      <c r="E1710" s="6"/>
      <c r="F1710" s="4"/>
    </row>
    <row r="1711" spans="2:6">
      <c r="B1711" s="1"/>
      <c r="C1711" s="1"/>
      <c r="D1711" s="1"/>
      <c r="E1711" s="6"/>
      <c r="F1711" s="4"/>
    </row>
    <row r="1712" spans="2:6">
      <c r="B1712" s="1"/>
      <c r="C1712" s="1"/>
      <c r="D1712" s="1"/>
      <c r="E1712" s="6"/>
      <c r="F1712" s="4"/>
    </row>
    <row r="1713" spans="2:6">
      <c r="B1713" s="1"/>
      <c r="C1713" s="1"/>
      <c r="D1713" s="1"/>
      <c r="E1713" s="6"/>
      <c r="F1713" s="4"/>
    </row>
    <row r="1714" spans="2:6">
      <c r="B1714" s="1"/>
      <c r="C1714" s="1"/>
      <c r="D1714" s="1"/>
      <c r="E1714" s="6"/>
      <c r="F1714" s="4"/>
    </row>
    <row r="1715" spans="2:6">
      <c r="B1715" s="1"/>
      <c r="C1715" s="1"/>
      <c r="D1715" s="1"/>
      <c r="E1715" s="6"/>
      <c r="F1715" s="4"/>
    </row>
    <row r="1716" spans="2:6">
      <c r="B1716" s="1"/>
      <c r="C1716" s="1"/>
      <c r="D1716" s="1"/>
      <c r="E1716" s="6"/>
      <c r="F1716" s="4"/>
    </row>
    <row r="1717" spans="2:6">
      <c r="B1717" s="1"/>
      <c r="C1717" s="1"/>
      <c r="D1717" s="1"/>
      <c r="E1717" s="6"/>
      <c r="F1717" s="4"/>
    </row>
    <row r="1718" spans="2:6">
      <c r="B1718" s="1"/>
      <c r="C1718" s="1"/>
      <c r="D1718" s="1"/>
      <c r="E1718" s="6"/>
      <c r="F1718" s="4"/>
    </row>
    <row r="1719" spans="2:6">
      <c r="B1719" s="1"/>
      <c r="C1719" s="1"/>
      <c r="D1719" s="1"/>
      <c r="E1719" s="6"/>
      <c r="F1719" s="4"/>
    </row>
    <row r="1720" spans="2:6">
      <c r="B1720" s="1"/>
      <c r="C1720" s="1"/>
      <c r="D1720" s="1"/>
      <c r="E1720" s="6"/>
      <c r="F1720" s="4"/>
    </row>
    <row r="1721" spans="2:6">
      <c r="B1721" s="1"/>
      <c r="C1721" s="1"/>
      <c r="D1721" s="1"/>
      <c r="E1721" s="6"/>
      <c r="F1721" s="4"/>
    </row>
    <row r="1722" spans="2:6">
      <c r="B1722" s="1"/>
      <c r="C1722" s="1"/>
      <c r="D1722" s="1"/>
      <c r="E1722" s="6"/>
      <c r="F1722" s="4"/>
    </row>
    <row r="1723" spans="2:6">
      <c r="B1723" s="1"/>
      <c r="C1723" s="1"/>
      <c r="D1723" s="1"/>
      <c r="E1723" s="6"/>
      <c r="F1723" s="4"/>
    </row>
    <row r="1724" spans="2:6">
      <c r="B1724" s="1"/>
      <c r="C1724" s="1"/>
      <c r="D1724" s="1"/>
      <c r="E1724" s="6"/>
      <c r="F1724" s="4"/>
    </row>
    <row r="1725" spans="2:6">
      <c r="B1725" s="1"/>
      <c r="C1725" s="1"/>
      <c r="D1725" s="1"/>
      <c r="E1725" s="6"/>
      <c r="F1725" s="4"/>
    </row>
    <row r="1726" spans="2:6">
      <c r="B1726" s="1"/>
      <c r="C1726" s="1"/>
      <c r="D1726" s="1"/>
      <c r="E1726" s="6"/>
      <c r="F1726" s="4"/>
    </row>
    <row r="1727" spans="2:6">
      <c r="B1727" s="1"/>
      <c r="C1727" s="1"/>
      <c r="D1727" s="1"/>
      <c r="E1727" s="6"/>
      <c r="F1727" s="4"/>
    </row>
    <row r="1728" spans="2:6">
      <c r="B1728" s="1"/>
      <c r="C1728" s="1"/>
      <c r="D1728" s="1"/>
      <c r="E1728" s="6"/>
      <c r="F1728" s="4"/>
    </row>
    <row r="1729" spans="2:6">
      <c r="B1729" s="1"/>
      <c r="C1729" s="1"/>
      <c r="D1729" s="1"/>
      <c r="E1729" s="6"/>
      <c r="F1729" s="4"/>
    </row>
    <row r="1730" spans="2:6">
      <c r="B1730" s="1"/>
      <c r="C1730" s="1"/>
      <c r="D1730" s="1"/>
      <c r="E1730" s="6"/>
      <c r="F1730" s="4"/>
    </row>
    <row r="1731" spans="2:6">
      <c r="B1731" s="1"/>
      <c r="C1731" s="1"/>
      <c r="D1731" s="1"/>
      <c r="E1731" s="6"/>
      <c r="F1731" s="4"/>
    </row>
    <row r="1732" spans="2:6">
      <c r="B1732" s="1"/>
      <c r="C1732" s="1"/>
      <c r="D1732" s="1"/>
      <c r="E1732" s="6"/>
      <c r="F1732" s="4"/>
    </row>
    <row r="1733" spans="2:6">
      <c r="B1733" s="1"/>
      <c r="C1733" s="1"/>
      <c r="D1733" s="1"/>
      <c r="E1733" s="6"/>
      <c r="F1733" s="4"/>
    </row>
    <row r="1734" spans="2:6">
      <c r="B1734" s="1"/>
      <c r="C1734" s="1"/>
      <c r="D1734" s="1"/>
      <c r="E1734" s="6"/>
      <c r="F1734" s="4"/>
    </row>
    <row r="1735" spans="2:6">
      <c r="B1735" s="1"/>
      <c r="C1735" s="1"/>
      <c r="D1735" s="1"/>
      <c r="E1735" s="6"/>
      <c r="F1735" s="4"/>
    </row>
    <row r="1736" spans="2:6">
      <c r="B1736" s="1"/>
      <c r="C1736" s="1"/>
      <c r="D1736" s="1"/>
      <c r="E1736" s="6"/>
      <c r="F1736" s="4"/>
    </row>
    <row r="1737" spans="2:6">
      <c r="B1737" s="1"/>
      <c r="C1737" s="1"/>
      <c r="D1737" s="1"/>
      <c r="E1737" s="6"/>
      <c r="F1737" s="4"/>
    </row>
    <row r="1738" spans="2:6">
      <c r="B1738" s="1"/>
      <c r="C1738" s="1"/>
      <c r="D1738" s="1"/>
      <c r="E1738" s="6"/>
      <c r="F1738" s="4"/>
    </row>
    <row r="1739" spans="2:6">
      <c r="B1739" s="1"/>
      <c r="C1739" s="1"/>
      <c r="D1739" s="1"/>
      <c r="E1739" s="6"/>
      <c r="F1739" s="4"/>
    </row>
    <row r="1740" spans="2:6">
      <c r="B1740" s="1"/>
      <c r="C1740" s="1"/>
      <c r="D1740" s="1"/>
      <c r="E1740" s="6"/>
      <c r="F1740" s="4"/>
    </row>
    <row r="1741" spans="2:6">
      <c r="B1741" s="1"/>
      <c r="C1741" s="1"/>
      <c r="D1741" s="1"/>
      <c r="E1741" s="6"/>
      <c r="F1741" s="4"/>
    </row>
    <row r="1742" spans="2:6">
      <c r="B1742" s="1"/>
      <c r="C1742" s="1"/>
      <c r="D1742" s="1"/>
      <c r="E1742" s="6"/>
      <c r="F1742" s="4"/>
    </row>
    <row r="1743" spans="2:6">
      <c r="B1743" s="1"/>
      <c r="C1743" s="1"/>
      <c r="D1743" s="1"/>
      <c r="E1743" s="6"/>
      <c r="F1743" s="4"/>
    </row>
    <row r="1744" spans="2:6">
      <c r="B1744" s="1"/>
      <c r="C1744" s="1"/>
      <c r="D1744" s="1"/>
      <c r="E1744" s="6"/>
      <c r="F1744" s="4"/>
    </row>
    <row r="1745" spans="2:6">
      <c r="B1745" s="1"/>
      <c r="C1745" s="1"/>
      <c r="D1745" s="1"/>
      <c r="E1745" s="6"/>
      <c r="F1745" s="4"/>
    </row>
    <row r="1746" spans="2:6">
      <c r="B1746" s="1"/>
      <c r="C1746" s="1"/>
      <c r="D1746" s="1"/>
      <c r="E1746" s="6"/>
      <c r="F1746" s="4"/>
    </row>
    <row r="1747" spans="2:6">
      <c r="B1747" s="1"/>
      <c r="C1747" s="1"/>
      <c r="D1747" s="1"/>
      <c r="E1747" s="6"/>
      <c r="F1747" s="4"/>
    </row>
    <row r="1748" spans="2:6">
      <c r="B1748" s="1"/>
      <c r="C1748" s="1"/>
      <c r="D1748" s="1"/>
      <c r="E1748" s="6"/>
      <c r="F1748" s="4"/>
    </row>
    <row r="1749" spans="2:6">
      <c r="B1749" s="1"/>
      <c r="C1749" s="1"/>
      <c r="D1749" s="1"/>
      <c r="E1749" s="6"/>
      <c r="F1749" s="4"/>
    </row>
    <row r="1750" spans="2:6">
      <c r="B1750" s="1"/>
      <c r="C1750" s="1"/>
      <c r="D1750" s="1"/>
      <c r="E1750" s="6"/>
      <c r="F1750" s="4"/>
    </row>
    <row r="1751" spans="2:6">
      <c r="B1751" s="1"/>
      <c r="C1751" s="1"/>
      <c r="D1751" s="1"/>
      <c r="E1751" s="6"/>
      <c r="F1751" s="4"/>
    </row>
    <row r="1752" spans="2:6">
      <c r="B1752" s="1"/>
      <c r="C1752" s="1"/>
      <c r="D1752" s="1"/>
      <c r="E1752" s="6"/>
      <c r="F1752" s="4"/>
    </row>
    <row r="1753" spans="2:6">
      <c r="B1753" s="1"/>
      <c r="C1753" s="1"/>
      <c r="D1753" s="1"/>
      <c r="E1753" s="6"/>
      <c r="F1753" s="4"/>
    </row>
    <row r="1754" spans="2:6">
      <c r="B1754" s="1"/>
      <c r="C1754" s="1"/>
      <c r="D1754" s="1"/>
      <c r="E1754" s="6"/>
      <c r="F1754" s="4"/>
    </row>
    <row r="1755" spans="2:6">
      <c r="B1755" s="1"/>
      <c r="C1755" s="1"/>
      <c r="D1755" s="1"/>
      <c r="E1755" s="6"/>
      <c r="F1755" s="4"/>
    </row>
    <row r="1756" spans="2:6">
      <c r="B1756" s="1"/>
      <c r="C1756" s="1"/>
      <c r="D1756" s="1"/>
      <c r="E1756" s="6"/>
      <c r="F1756" s="4"/>
    </row>
    <row r="1757" spans="2:6">
      <c r="B1757" s="1"/>
      <c r="C1757" s="1"/>
      <c r="D1757" s="1"/>
      <c r="E1757" s="6"/>
      <c r="F1757" s="4"/>
    </row>
    <row r="1758" spans="2:6">
      <c r="B1758" s="1"/>
      <c r="C1758" s="1"/>
      <c r="D1758" s="1"/>
      <c r="E1758" s="6"/>
      <c r="F1758" s="4"/>
    </row>
    <row r="1759" spans="2:6">
      <c r="B1759" s="1"/>
      <c r="C1759" s="1"/>
      <c r="D1759" s="1"/>
      <c r="E1759" s="6"/>
      <c r="F1759" s="4"/>
    </row>
    <row r="1760" spans="2:6">
      <c r="B1760" s="1"/>
      <c r="C1760" s="1"/>
      <c r="D1760" s="1"/>
      <c r="E1760" s="6"/>
      <c r="F1760" s="4"/>
    </row>
    <row r="1761" spans="2:6">
      <c r="B1761" s="1"/>
      <c r="C1761" s="1"/>
      <c r="D1761" s="1"/>
      <c r="E1761" s="6"/>
      <c r="F1761" s="4"/>
    </row>
    <row r="1762" spans="2:6">
      <c r="B1762" s="1"/>
      <c r="C1762" s="1"/>
      <c r="D1762" s="1"/>
      <c r="E1762" s="6"/>
      <c r="F1762" s="4"/>
    </row>
    <row r="1763" spans="2:6">
      <c r="B1763" s="1"/>
      <c r="C1763" s="1"/>
      <c r="D1763" s="1"/>
      <c r="E1763" s="6"/>
      <c r="F1763" s="4"/>
    </row>
    <row r="1764" spans="2:6">
      <c r="B1764" s="1"/>
      <c r="C1764" s="1"/>
      <c r="D1764" s="1"/>
      <c r="E1764" s="6"/>
      <c r="F1764" s="4"/>
    </row>
    <row r="1765" spans="2:6">
      <c r="B1765" s="1"/>
      <c r="C1765" s="1"/>
      <c r="D1765" s="1"/>
      <c r="E1765" s="6"/>
      <c r="F1765" s="4"/>
    </row>
    <row r="1766" spans="2:6">
      <c r="B1766" s="1"/>
      <c r="C1766" s="1"/>
      <c r="D1766" s="1"/>
      <c r="E1766" s="6"/>
      <c r="F1766" s="4"/>
    </row>
    <row r="1767" spans="2:6">
      <c r="B1767" s="1"/>
      <c r="C1767" s="1"/>
      <c r="D1767" s="1"/>
      <c r="E1767" s="6"/>
      <c r="F1767" s="4"/>
    </row>
    <row r="1768" spans="2:6">
      <c r="B1768" s="1"/>
      <c r="C1768" s="1"/>
      <c r="D1768" s="1"/>
      <c r="E1768" s="6"/>
      <c r="F1768" s="4"/>
    </row>
    <row r="1769" spans="2:6">
      <c r="B1769" s="1"/>
      <c r="C1769" s="1"/>
      <c r="D1769" s="1"/>
      <c r="E1769" s="6"/>
      <c r="F1769" s="4"/>
    </row>
    <row r="1770" spans="2:6">
      <c r="B1770" s="1"/>
      <c r="C1770" s="1"/>
      <c r="D1770" s="1"/>
      <c r="E1770" s="6"/>
      <c r="F1770" s="4"/>
    </row>
    <row r="1771" spans="2:6">
      <c r="B1771" s="1"/>
      <c r="C1771" s="1"/>
      <c r="D1771" s="1"/>
      <c r="E1771" s="6"/>
      <c r="F1771" s="4"/>
    </row>
    <row r="1772" spans="2:6">
      <c r="B1772" s="1"/>
      <c r="C1772" s="1"/>
      <c r="D1772" s="1"/>
      <c r="E1772" s="6"/>
      <c r="F1772" s="4"/>
    </row>
    <row r="1773" spans="2:6">
      <c r="B1773" s="1"/>
      <c r="C1773" s="1"/>
      <c r="D1773" s="1"/>
      <c r="E1773" s="6"/>
      <c r="F1773" s="4"/>
    </row>
    <row r="1774" spans="2:6">
      <c r="B1774" s="1"/>
      <c r="C1774" s="1"/>
      <c r="D1774" s="1"/>
      <c r="E1774" s="6"/>
      <c r="F1774" s="4"/>
    </row>
    <row r="1775" spans="2:6">
      <c r="B1775" s="1"/>
      <c r="C1775" s="1"/>
      <c r="D1775" s="1"/>
      <c r="E1775" s="6"/>
      <c r="F1775" s="4"/>
    </row>
    <row r="1776" spans="2:6">
      <c r="B1776" s="1"/>
      <c r="C1776" s="1"/>
      <c r="D1776" s="1"/>
      <c r="E1776" s="6"/>
      <c r="F1776" s="4"/>
    </row>
    <row r="1777" spans="2:6">
      <c r="B1777" s="1"/>
      <c r="C1777" s="1"/>
      <c r="D1777" s="1"/>
      <c r="E1777" s="6"/>
      <c r="F1777" s="4"/>
    </row>
    <row r="1778" spans="2:6">
      <c r="B1778" s="1"/>
      <c r="C1778" s="1"/>
      <c r="D1778" s="1"/>
      <c r="E1778" s="6"/>
      <c r="F1778" s="4"/>
    </row>
    <row r="1779" spans="2:6">
      <c r="B1779" s="1"/>
      <c r="C1779" s="1"/>
      <c r="D1779" s="1"/>
      <c r="E1779" s="6"/>
      <c r="F1779" s="4"/>
    </row>
    <row r="1780" spans="2:6">
      <c r="B1780" s="1"/>
      <c r="C1780" s="1"/>
      <c r="D1780" s="1"/>
      <c r="E1780" s="6"/>
      <c r="F1780" s="4"/>
    </row>
    <row r="1781" spans="2:6">
      <c r="B1781" s="1"/>
      <c r="C1781" s="1"/>
      <c r="D1781" s="1"/>
      <c r="E1781" s="6"/>
      <c r="F1781" s="4"/>
    </row>
    <row r="1782" spans="2:6">
      <c r="B1782" s="1"/>
      <c r="C1782" s="1"/>
      <c r="D1782" s="1"/>
      <c r="E1782" s="6"/>
      <c r="F1782" s="4"/>
    </row>
    <row r="1783" spans="2:6">
      <c r="B1783" s="1"/>
      <c r="C1783" s="1"/>
      <c r="D1783" s="1"/>
      <c r="E1783" s="6"/>
      <c r="F1783" s="4"/>
    </row>
    <row r="1784" spans="2:6">
      <c r="B1784" s="1"/>
      <c r="C1784" s="1"/>
      <c r="D1784" s="1"/>
      <c r="E1784" s="6"/>
      <c r="F1784" s="4"/>
    </row>
    <row r="1785" spans="2:6">
      <c r="B1785" s="1"/>
      <c r="C1785" s="1"/>
      <c r="D1785" s="1"/>
      <c r="E1785" s="6"/>
      <c r="F1785" s="4"/>
    </row>
    <row r="1786" spans="2:6">
      <c r="B1786" s="1"/>
      <c r="C1786" s="1"/>
      <c r="D1786" s="1"/>
      <c r="E1786" s="6"/>
      <c r="F1786" s="4"/>
    </row>
    <row r="1787" spans="2:6">
      <c r="B1787" s="1"/>
      <c r="C1787" s="1"/>
      <c r="D1787" s="1"/>
      <c r="E1787" s="6"/>
      <c r="F1787" s="4"/>
    </row>
    <row r="1788" spans="2:6">
      <c r="B1788" s="1"/>
      <c r="C1788" s="1"/>
      <c r="D1788" s="1"/>
      <c r="E1788" s="6"/>
      <c r="F1788" s="4"/>
    </row>
    <row r="1789" spans="2:6">
      <c r="B1789" s="1"/>
      <c r="C1789" s="1"/>
      <c r="D1789" s="1"/>
      <c r="E1789" s="6"/>
      <c r="F1789" s="4"/>
    </row>
    <row r="1790" spans="2:6">
      <c r="B1790" s="1"/>
      <c r="C1790" s="1"/>
      <c r="D1790" s="1"/>
      <c r="E1790" s="6"/>
      <c r="F1790" s="4"/>
    </row>
    <row r="1791" spans="2:6">
      <c r="B1791" s="1"/>
      <c r="C1791" s="1"/>
      <c r="D1791" s="1"/>
      <c r="E1791" s="6"/>
      <c r="F1791" s="4"/>
    </row>
    <row r="1792" spans="2:6">
      <c r="B1792" s="1"/>
      <c r="C1792" s="1"/>
      <c r="D1792" s="1"/>
      <c r="E1792" s="6"/>
      <c r="F1792" s="4"/>
    </row>
    <row r="1793" spans="2:6">
      <c r="B1793" s="1"/>
      <c r="C1793" s="1"/>
      <c r="D1793" s="1"/>
      <c r="E1793" s="6"/>
      <c r="F1793" s="4"/>
    </row>
    <row r="1794" spans="2:6">
      <c r="B1794" s="1"/>
      <c r="C1794" s="1"/>
      <c r="D1794" s="1"/>
      <c r="E1794" s="6"/>
      <c r="F1794" s="4"/>
    </row>
    <row r="1795" spans="2:6">
      <c r="B1795" s="1"/>
      <c r="C1795" s="1"/>
      <c r="D1795" s="1"/>
      <c r="E1795" s="6"/>
      <c r="F1795" s="4"/>
    </row>
    <row r="1796" spans="2:6">
      <c r="B1796" s="1"/>
      <c r="C1796" s="1"/>
      <c r="D1796" s="1"/>
      <c r="E1796" s="6"/>
      <c r="F1796" s="4"/>
    </row>
    <row r="1797" spans="2:6">
      <c r="B1797" s="1"/>
      <c r="C1797" s="1"/>
      <c r="D1797" s="1"/>
      <c r="E1797" s="6"/>
      <c r="F1797" s="4"/>
    </row>
    <row r="1798" spans="2:6">
      <c r="B1798" s="1"/>
      <c r="C1798" s="1"/>
      <c r="D1798" s="1"/>
      <c r="E1798" s="6"/>
      <c r="F1798" s="4"/>
    </row>
    <row r="1799" spans="2:6">
      <c r="B1799" s="1"/>
      <c r="C1799" s="1"/>
      <c r="D1799" s="1"/>
      <c r="E1799" s="6"/>
      <c r="F1799" s="4"/>
    </row>
    <row r="1800" spans="2:6">
      <c r="B1800" s="1"/>
      <c r="C1800" s="1"/>
      <c r="D1800" s="1"/>
      <c r="E1800" s="6"/>
      <c r="F1800" s="4"/>
    </row>
    <row r="1801" spans="2:6">
      <c r="B1801" s="1"/>
      <c r="C1801" s="1"/>
      <c r="D1801" s="1"/>
      <c r="E1801" s="6"/>
      <c r="F1801" s="4"/>
    </row>
    <row r="1802" spans="2:6">
      <c r="B1802" s="1"/>
      <c r="C1802" s="1"/>
      <c r="D1802" s="1"/>
      <c r="E1802" s="6"/>
      <c r="F1802" s="4"/>
    </row>
    <row r="1803" spans="2:6">
      <c r="B1803" s="1"/>
      <c r="C1803" s="1"/>
      <c r="D1803" s="1"/>
      <c r="E1803" s="6"/>
      <c r="F1803" s="4"/>
    </row>
    <row r="1804" spans="2:6">
      <c r="B1804" s="1"/>
      <c r="C1804" s="1"/>
      <c r="D1804" s="1"/>
      <c r="E1804" s="6"/>
      <c r="F1804" s="4"/>
    </row>
    <row r="1805" spans="2:6">
      <c r="B1805" s="1"/>
      <c r="C1805" s="1"/>
      <c r="D1805" s="1"/>
      <c r="E1805" s="6"/>
      <c r="F1805" s="4"/>
    </row>
    <row r="1806" spans="2:6">
      <c r="B1806" s="1"/>
      <c r="C1806" s="1"/>
      <c r="D1806" s="1"/>
      <c r="E1806" s="6"/>
      <c r="F1806" s="4"/>
    </row>
    <row r="1807" spans="2:6">
      <c r="B1807" s="1"/>
      <c r="C1807" s="1"/>
      <c r="D1807" s="1"/>
      <c r="E1807" s="6"/>
      <c r="F1807" s="4"/>
    </row>
    <row r="1808" spans="2:6">
      <c r="B1808" s="1"/>
      <c r="C1808" s="1"/>
      <c r="D1808" s="1"/>
      <c r="E1808" s="6"/>
      <c r="F1808" s="4"/>
    </row>
    <row r="1809" spans="2:6">
      <c r="B1809" s="1"/>
      <c r="C1809" s="1"/>
      <c r="D1809" s="1"/>
      <c r="E1809" s="6"/>
      <c r="F1809" s="4"/>
    </row>
    <row r="1810" spans="2:6">
      <c r="B1810" s="1"/>
      <c r="C1810" s="1"/>
      <c r="D1810" s="1"/>
      <c r="E1810" s="6"/>
      <c r="F1810" s="4"/>
    </row>
    <row r="1811" spans="2:6">
      <c r="B1811" s="1"/>
      <c r="C1811" s="1"/>
      <c r="D1811" s="1"/>
      <c r="E1811" s="6"/>
      <c r="F1811" s="4"/>
    </row>
    <row r="1812" spans="2:6">
      <c r="B1812" s="1"/>
      <c r="C1812" s="1"/>
      <c r="D1812" s="1"/>
      <c r="E1812" s="6"/>
      <c r="F1812" s="4"/>
    </row>
    <row r="1813" spans="2:6">
      <c r="B1813" s="1"/>
      <c r="C1813" s="1"/>
      <c r="D1813" s="1"/>
      <c r="E1813" s="6"/>
      <c r="F1813" s="4"/>
    </row>
    <row r="1814" spans="2:6">
      <c r="B1814" s="1"/>
      <c r="C1814" s="1"/>
      <c r="D1814" s="1"/>
      <c r="E1814" s="6"/>
      <c r="F1814" s="4"/>
    </row>
    <row r="1815" spans="2:6">
      <c r="B1815" s="1"/>
      <c r="C1815" s="1"/>
      <c r="D1815" s="1"/>
      <c r="E1815" s="6"/>
      <c r="F1815" s="4"/>
    </row>
    <row r="1816" spans="2:6">
      <c r="B1816" s="1"/>
      <c r="C1816" s="1"/>
      <c r="D1816" s="1"/>
      <c r="E1816" s="6"/>
      <c r="F1816" s="4"/>
    </row>
    <row r="1817" spans="2:6">
      <c r="B1817" s="1"/>
      <c r="C1817" s="1"/>
      <c r="D1817" s="1"/>
      <c r="E1817" s="6"/>
      <c r="F1817" s="4"/>
    </row>
    <row r="1818" spans="2:6">
      <c r="B1818" s="1"/>
      <c r="C1818" s="1"/>
      <c r="D1818" s="1"/>
      <c r="E1818" s="6"/>
      <c r="F1818" s="4"/>
    </row>
    <row r="1819" spans="2:6">
      <c r="B1819" s="1"/>
      <c r="C1819" s="1"/>
      <c r="D1819" s="1"/>
      <c r="E1819" s="6"/>
      <c r="F1819" s="4"/>
    </row>
    <row r="1820" spans="2:6">
      <c r="B1820" s="1"/>
      <c r="C1820" s="1"/>
      <c r="D1820" s="1"/>
      <c r="E1820" s="6"/>
      <c r="F1820" s="4"/>
    </row>
    <row r="1821" spans="2:6">
      <c r="B1821" s="1"/>
      <c r="C1821" s="1"/>
      <c r="D1821" s="1"/>
      <c r="E1821" s="6"/>
      <c r="F1821" s="4"/>
    </row>
    <row r="1822" spans="2:6">
      <c r="B1822" s="1"/>
      <c r="C1822" s="1"/>
      <c r="D1822" s="1"/>
      <c r="E1822" s="6"/>
      <c r="F1822" s="4"/>
    </row>
    <row r="1823" spans="2:6">
      <c r="B1823" s="1"/>
      <c r="C1823" s="1"/>
      <c r="D1823" s="1"/>
      <c r="E1823" s="6"/>
      <c r="F1823" s="4"/>
    </row>
    <row r="1824" spans="2:6">
      <c r="B1824" s="1"/>
      <c r="C1824" s="1"/>
      <c r="D1824" s="1"/>
      <c r="E1824" s="6"/>
      <c r="F1824" s="4"/>
    </row>
    <row r="1825" spans="2:6">
      <c r="B1825" s="1"/>
      <c r="C1825" s="1"/>
      <c r="D1825" s="1"/>
      <c r="E1825" s="6"/>
      <c r="F1825" s="4"/>
    </row>
    <row r="1826" spans="2:6">
      <c r="B1826" s="1"/>
      <c r="C1826" s="1"/>
      <c r="D1826" s="1"/>
      <c r="E1826" s="6"/>
      <c r="F1826" s="4"/>
    </row>
    <row r="1827" spans="2:6">
      <c r="B1827" s="1"/>
      <c r="C1827" s="1"/>
      <c r="D1827" s="1"/>
      <c r="E1827" s="6"/>
      <c r="F1827" s="4"/>
    </row>
    <row r="1828" spans="2:6">
      <c r="B1828" s="1"/>
      <c r="C1828" s="1"/>
      <c r="D1828" s="1"/>
      <c r="E1828" s="6"/>
      <c r="F1828" s="4"/>
    </row>
    <row r="1829" spans="2:6">
      <c r="B1829" s="1"/>
      <c r="C1829" s="1"/>
      <c r="D1829" s="1"/>
      <c r="E1829" s="6"/>
      <c r="F1829" s="4"/>
    </row>
    <row r="1830" spans="2:6">
      <c r="B1830" s="1"/>
      <c r="C1830" s="1"/>
      <c r="D1830" s="1"/>
      <c r="E1830" s="6"/>
      <c r="F1830" s="4"/>
    </row>
    <row r="1831" spans="2:6">
      <c r="B1831" s="1"/>
      <c r="C1831" s="1"/>
      <c r="D1831" s="1"/>
      <c r="E1831" s="6"/>
      <c r="F1831" s="4"/>
    </row>
    <row r="1832" spans="2:6">
      <c r="B1832" s="1"/>
      <c r="C1832" s="1"/>
      <c r="D1832" s="1"/>
      <c r="E1832" s="6"/>
      <c r="F1832" s="4"/>
    </row>
    <row r="1833" spans="2:6">
      <c r="B1833" s="1"/>
      <c r="C1833" s="1"/>
      <c r="D1833" s="1"/>
      <c r="E1833" s="6"/>
      <c r="F1833" s="4"/>
    </row>
    <row r="1834" spans="2:6">
      <c r="B1834" s="1"/>
      <c r="C1834" s="1"/>
      <c r="D1834" s="1"/>
      <c r="E1834" s="6"/>
      <c r="F1834" s="4"/>
    </row>
    <row r="1835" spans="2:6">
      <c r="B1835" s="1"/>
      <c r="C1835" s="1"/>
      <c r="D1835" s="1"/>
      <c r="E1835" s="6"/>
      <c r="F1835" s="4"/>
    </row>
    <row r="1836" spans="2:6">
      <c r="B1836" s="1"/>
      <c r="C1836" s="1"/>
      <c r="D1836" s="1"/>
      <c r="E1836" s="6"/>
      <c r="F1836" s="4"/>
    </row>
    <row r="1837" spans="2:6">
      <c r="B1837" s="1"/>
      <c r="C1837" s="1"/>
      <c r="D1837" s="1"/>
      <c r="E1837" s="6"/>
      <c r="F1837" s="4"/>
    </row>
    <row r="1838" spans="2:6">
      <c r="B1838" s="1"/>
      <c r="C1838" s="1"/>
      <c r="D1838" s="1"/>
      <c r="E1838" s="6"/>
      <c r="F1838" s="4"/>
    </row>
    <row r="1839" spans="2:6">
      <c r="B1839" s="1"/>
      <c r="C1839" s="1"/>
      <c r="D1839" s="1"/>
      <c r="E1839" s="6"/>
      <c r="F1839" s="4"/>
    </row>
    <row r="1840" spans="2:6">
      <c r="B1840" s="1"/>
      <c r="C1840" s="1"/>
      <c r="D1840" s="1"/>
      <c r="E1840" s="6"/>
      <c r="F1840" s="4"/>
    </row>
    <row r="1841" spans="2:6">
      <c r="B1841" s="1"/>
      <c r="C1841" s="1"/>
      <c r="D1841" s="1"/>
      <c r="E1841" s="6"/>
      <c r="F1841" s="4"/>
    </row>
    <row r="1842" spans="2:6">
      <c r="B1842" s="1"/>
      <c r="C1842" s="1"/>
      <c r="D1842" s="1"/>
      <c r="E1842" s="6"/>
      <c r="F1842" s="4"/>
    </row>
    <row r="1843" spans="2:6">
      <c r="B1843" s="1"/>
      <c r="C1843" s="1"/>
      <c r="D1843" s="1"/>
      <c r="E1843" s="6"/>
      <c r="F1843" s="4"/>
    </row>
    <row r="1844" spans="2:6">
      <c r="B1844" s="1"/>
      <c r="C1844" s="1"/>
      <c r="D1844" s="1"/>
      <c r="E1844" s="6"/>
      <c r="F1844" s="4"/>
    </row>
    <row r="1845" spans="2:6">
      <c r="B1845" s="1"/>
      <c r="C1845" s="1"/>
      <c r="D1845" s="1"/>
      <c r="E1845" s="6"/>
      <c r="F1845" s="4"/>
    </row>
    <row r="1846" spans="2:6">
      <c r="B1846" s="1"/>
      <c r="C1846" s="1"/>
      <c r="D1846" s="1"/>
      <c r="E1846" s="6"/>
      <c r="F1846" s="4"/>
    </row>
    <row r="1847" spans="2:6">
      <c r="B1847" s="1"/>
      <c r="C1847" s="1"/>
      <c r="D1847" s="1"/>
      <c r="E1847" s="6"/>
      <c r="F1847" s="4"/>
    </row>
    <row r="1848" spans="2:6">
      <c r="B1848" s="1"/>
      <c r="C1848" s="1"/>
      <c r="D1848" s="1"/>
      <c r="E1848" s="6"/>
      <c r="F1848" s="4"/>
    </row>
    <row r="1849" spans="2:6">
      <c r="B1849" s="1"/>
      <c r="C1849" s="1"/>
      <c r="D1849" s="1"/>
      <c r="E1849" s="6"/>
      <c r="F1849" s="4"/>
    </row>
    <row r="1850" spans="2:6">
      <c r="B1850" s="1"/>
      <c r="C1850" s="1"/>
      <c r="D1850" s="1"/>
      <c r="E1850" s="6"/>
      <c r="F1850" s="4"/>
    </row>
    <row r="1851" spans="2:6">
      <c r="B1851" s="1"/>
      <c r="C1851" s="1"/>
      <c r="D1851" s="1"/>
      <c r="E1851" s="6"/>
      <c r="F1851" s="4"/>
    </row>
    <row r="1852" spans="2:6">
      <c r="B1852" s="1"/>
      <c r="C1852" s="1"/>
      <c r="D1852" s="1"/>
      <c r="E1852" s="6"/>
      <c r="F1852" s="4"/>
    </row>
    <row r="1853" spans="2:6">
      <c r="B1853" s="1"/>
      <c r="C1853" s="1"/>
      <c r="D1853" s="1"/>
      <c r="E1853" s="6"/>
      <c r="F1853" s="4"/>
    </row>
    <row r="1854" spans="2:6">
      <c r="B1854" s="1"/>
      <c r="C1854" s="1"/>
      <c r="D1854" s="1"/>
      <c r="E1854" s="6"/>
      <c r="F1854" s="4"/>
    </row>
    <row r="1855" spans="2:6">
      <c r="B1855" s="1"/>
      <c r="C1855" s="1"/>
      <c r="D1855" s="1"/>
      <c r="E1855" s="6"/>
      <c r="F1855" s="4"/>
    </row>
    <row r="1856" spans="2:6">
      <c r="B1856" s="1"/>
      <c r="C1856" s="1"/>
      <c r="D1856" s="1"/>
      <c r="E1856" s="6"/>
      <c r="F1856" s="4"/>
    </row>
    <row r="1857" spans="2:6">
      <c r="B1857" s="1"/>
      <c r="C1857" s="1"/>
      <c r="D1857" s="1"/>
      <c r="E1857" s="6"/>
      <c r="F1857" s="4"/>
    </row>
    <row r="1858" spans="2:6">
      <c r="B1858" s="1"/>
      <c r="C1858" s="1"/>
      <c r="D1858" s="1"/>
      <c r="E1858" s="6"/>
      <c r="F1858" s="4"/>
    </row>
    <row r="1859" spans="2:6">
      <c r="B1859" s="1"/>
      <c r="C1859" s="1"/>
      <c r="D1859" s="1"/>
      <c r="E1859" s="6"/>
      <c r="F1859" s="4"/>
    </row>
    <row r="1860" spans="2:6">
      <c r="B1860" s="1"/>
      <c r="C1860" s="1"/>
      <c r="D1860" s="1"/>
      <c r="E1860" s="6"/>
      <c r="F1860" s="4"/>
    </row>
    <row r="1861" spans="2:6">
      <c r="B1861" s="1"/>
      <c r="C1861" s="1"/>
      <c r="D1861" s="1"/>
      <c r="E1861" s="6"/>
      <c r="F1861" s="4"/>
    </row>
    <row r="1862" spans="2:6">
      <c r="B1862" s="1"/>
      <c r="C1862" s="1"/>
      <c r="D1862" s="1"/>
      <c r="E1862" s="6"/>
      <c r="F1862" s="4"/>
    </row>
    <row r="1863" spans="2:6">
      <c r="B1863" s="1"/>
      <c r="C1863" s="1"/>
      <c r="D1863" s="1"/>
      <c r="E1863" s="6"/>
      <c r="F1863" s="4"/>
    </row>
    <row r="1864" spans="2:6">
      <c r="B1864" s="1"/>
      <c r="C1864" s="1"/>
      <c r="D1864" s="1"/>
      <c r="E1864" s="6"/>
      <c r="F1864" s="4"/>
    </row>
    <row r="1865" spans="2:6">
      <c r="B1865" s="1"/>
      <c r="C1865" s="1"/>
      <c r="D1865" s="1"/>
      <c r="E1865" s="6"/>
      <c r="F1865" s="4"/>
    </row>
    <row r="1866" spans="2:6">
      <c r="B1866" s="1"/>
      <c r="C1866" s="1"/>
      <c r="D1866" s="1"/>
      <c r="E1866" s="6"/>
      <c r="F1866" s="4"/>
    </row>
    <row r="1867" spans="2:6">
      <c r="B1867" s="1"/>
      <c r="C1867" s="1"/>
      <c r="D1867" s="1"/>
      <c r="E1867" s="6"/>
      <c r="F1867" s="4"/>
    </row>
    <row r="1868" spans="2:6">
      <c r="B1868" s="1"/>
      <c r="C1868" s="1"/>
      <c r="D1868" s="1"/>
      <c r="E1868" s="6"/>
      <c r="F1868" s="4"/>
    </row>
    <row r="1869" spans="2:6">
      <c r="B1869" s="1"/>
      <c r="C1869" s="1"/>
      <c r="D1869" s="1"/>
      <c r="E1869" s="6"/>
      <c r="F1869" s="4"/>
    </row>
    <row r="1870" spans="2:6">
      <c r="B1870" s="1"/>
      <c r="C1870" s="1"/>
      <c r="D1870" s="1"/>
      <c r="E1870" s="6"/>
      <c r="F1870" s="4"/>
    </row>
    <row r="1871" spans="2:6">
      <c r="B1871" s="1"/>
      <c r="C1871" s="1"/>
      <c r="D1871" s="1"/>
      <c r="E1871" s="6"/>
      <c r="F1871" s="4"/>
    </row>
    <row r="1872" spans="2:6">
      <c r="B1872" s="1"/>
      <c r="C1872" s="1"/>
      <c r="D1872" s="1"/>
      <c r="E1872" s="6"/>
      <c r="F1872" s="4"/>
    </row>
    <row r="1873" spans="2:6">
      <c r="B1873" s="1"/>
      <c r="C1873" s="1"/>
      <c r="D1873" s="1"/>
      <c r="E1873" s="6"/>
      <c r="F1873" s="4"/>
    </row>
    <row r="1874" spans="2:6">
      <c r="B1874" s="1"/>
      <c r="C1874" s="1"/>
      <c r="D1874" s="1"/>
      <c r="E1874" s="6"/>
      <c r="F1874" s="4"/>
    </row>
    <row r="1875" spans="2:6">
      <c r="B1875" s="1"/>
      <c r="C1875" s="1"/>
      <c r="D1875" s="1"/>
      <c r="E1875" s="6"/>
      <c r="F1875" s="4"/>
    </row>
    <row r="1876" spans="2:6">
      <c r="B1876" s="1"/>
      <c r="C1876" s="1"/>
      <c r="D1876" s="1"/>
      <c r="E1876" s="6"/>
      <c r="F1876" s="4"/>
    </row>
    <row r="1877" spans="2:6">
      <c r="B1877" s="1"/>
      <c r="C1877" s="1"/>
      <c r="D1877" s="1"/>
      <c r="E1877" s="6"/>
      <c r="F1877" s="4"/>
    </row>
    <row r="1878" spans="2:6">
      <c r="B1878" s="1"/>
      <c r="C1878" s="1"/>
      <c r="D1878" s="1"/>
      <c r="E1878" s="6"/>
      <c r="F1878" s="4"/>
    </row>
    <row r="1879" spans="2:6">
      <c r="B1879" s="1"/>
      <c r="C1879" s="1"/>
      <c r="D1879" s="1"/>
      <c r="E1879" s="6"/>
      <c r="F1879" s="4"/>
    </row>
    <row r="1880" spans="2:6">
      <c r="B1880" s="1"/>
      <c r="C1880" s="1"/>
      <c r="D1880" s="1"/>
      <c r="E1880" s="6"/>
      <c r="F1880" s="4"/>
    </row>
    <row r="1881" spans="2:6">
      <c r="B1881" s="1"/>
      <c r="C1881" s="1"/>
      <c r="D1881" s="1"/>
      <c r="E1881" s="6"/>
      <c r="F1881" s="4"/>
    </row>
    <row r="1882" spans="2:6">
      <c r="B1882" s="1"/>
      <c r="C1882" s="1"/>
      <c r="D1882" s="1"/>
      <c r="E1882" s="6"/>
      <c r="F1882" s="4"/>
    </row>
    <row r="1883" spans="2:6">
      <c r="B1883" s="1"/>
      <c r="C1883" s="1"/>
      <c r="D1883" s="1"/>
      <c r="E1883" s="6"/>
      <c r="F1883" s="4"/>
    </row>
    <row r="1884" spans="2:6">
      <c r="B1884" s="1"/>
      <c r="C1884" s="1"/>
      <c r="D1884" s="1"/>
      <c r="E1884" s="6"/>
      <c r="F1884" s="4"/>
    </row>
    <row r="1885" spans="2:6">
      <c r="B1885" s="1"/>
      <c r="C1885" s="1"/>
      <c r="D1885" s="1"/>
      <c r="E1885" s="6"/>
      <c r="F1885" s="4"/>
    </row>
    <row r="1886" spans="2:6">
      <c r="B1886" s="1"/>
      <c r="C1886" s="1"/>
      <c r="D1886" s="1"/>
      <c r="E1886" s="6"/>
      <c r="F1886" s="4"/>
    </row>
    <row r="1887" spans="2:6">
      <c r="B1887" s="1"/>
      <c r="C1887" s="1"/>
      <c r="D1887" s="1"/>
      <c r="E1887" s="6"/>
      <c r="F1887" s="4"/>
    </row>
    <row r="1888" spans="2:6">
      <c r="B1888" s="1"/>
      <c r="C1888" s="1"/>
      <c r="D1888" s="1"/>
      <c r="E1888" s="6"/>
      <c r="F1888" s="4"/>
    </row>
    <row r="1889" spans="2:6">
      <c r="B1889" s="1"/>
      <c r="C1889" s="1"/>
      <c r="D1889" s="1"/>
      <c r="E1889" s="6"/>
      <c r="F1889" s="4"/>
    </row>
    <row r="1890" spans="2:6">
      <c r="B1890" s="1"/>
      <c r="C1890" s="1"/>
      <c r="D1890" s="1"/>
      <c r="E1890" s="6"/>
      <c r="F1890" s="4"/>
    </row>
    <row r="1891" spans="2:6">
      <c r="B1891" s="1"/>
      <c r="C1891" s="1"/>
      <c r="D1891" s="1"/>
      <c r="E1891" s="6"/>
      <c r="F1891" s="4"/>
    </row>
    <row r="1892" spans="2:6">
      <c r="B1892" s="1"/>
      <c r="C1892" s="1"/>
      <c r="D1892" s="1"/>
      <c r="E1892" s="6"/>
      <c r="F1892" s="4"/>
    </row>
    <row r="1893" spans="2:6">
      <c r="B1893" s="1"/>
      <c r="C1893" s="1"/>
      <c r="D1893" s="1"/>
      <c r="E1893" s="6"/>
      <c r="F1893" s="4"/>
    </row>
    <row r="1894" spans="2:6">
      <c r="B1894" s="1"/>
      <c r="C1894" s="1"/>
      <c r="D1894" s="1"/>
      <c r="E1894" s="6"/>
      <c r="F1894" s="4"/>
    </row>
    <row r="1895" spans="2:6">
      <c r="B1895" s="1"/>
      <c r="C1895" s="1"/>
      <c r="D1895" s="1"/>
      <c r="E1895" s="6"/>
      <c r="F1895" s="4"/>
    </row>
    <row r="1896" spans="2:6">
      <c r="B1896" s="1"/>
      <c r="C1896" s="1"/>
      <c r="D1896" s="1"/>
      <c r="E1896" s="6"/>
      <c r="F1896" s="4"/>
    </row>
    <row r="1897" spans="2:6">
      <c r="B1897" s="1"/>
      <c r="C1897" s="1"/>
      <c r="D1897" s="1"/>
      <c r="E1897" s="6"/>
      <c r="F1897" s="4"/>
    </row>
    <row r="1898" spans="2:6">
      <c r="B1898" s="1"/>
      <c r="C1898" s="1"/>
      <c r="D1898" s="1"/>
      <c r="E1898" s="6"/>
      <c r="F1898" s="4"/>
    </row>
    <row r="1899" spans="2:6">
      <c r="B1899" s="1"/>
      <c r="C1899" s="1"/>
      <c r="D1899" s="1"/>
      <c r="E1899" s="6"/>
      <c r="F1899" s="4"/>
    </row>
    <row r="1900" spans="2:6">
      <c r="B1900" s="1"/>
      <c r="C1900" s="1"/>
      <c r="D1900" s="1"/>
      <c r="E1900" s="6"/>
      <c r="F1900" s="4"/>
    </row>
    <row r="1901" spans="2:6">
      <c r="B1901" s="1"/>
      <c r="C1901" s="1"/>
      <c r="D1901" s="1"/>
      <c r="E1901" s="6"/>
      <c r="F1901" s="4"/>
    </row>
    <row r="1902" spans="2:6">
      <c r="B1902" s="1"/>
      <c r="C1902" s="1"/>
      <c r="D1902" s="1"/>
      <c r="E1902" s="6"/>
      <c r="F1902" s="4"/>
    </row>
    <row r="1903" spans="2:6">
      <c r="B1903" s="1"/>
      <c r="C1903" s="1"/>
      <c r="D1903" s="1"/>
      <c r="E1903" s="6"/>
      <c r="F1903" s="4"/>
    </row>
    <row r="1904" spans="2:6">
      <c r="B1904" s="1"/>
      <c r="C1904" s="1"/>
      <c r="D1904" s="1"/>
      <c r="E1904" s="6"/>
      <c r="F1904" s="4"/>
    </row>
    <row r="1905" spans="2:6">
      <c r="B1905" s="1"/>
      <c r="C1905" s="1"/>
      <c r="D1905" s="1"/>
      <c r="E1905" s="6"/>
      <c r="F1905" s="4"/>
    </row>
    <row r="1906" spans="2:6">
      <c r="B1906" s="1"/>
      <c r="C1906" s="1"/>
      <c r="D1906" s="1"/>
      <c r="E1906" s="6"/>
      <c r="F1906" s="4"/>
    </row>
    <row r="1907" spans="2:6">
      <c r="B1907" s="1"/>
      <c r="C1907" s="1"/>
      <c r="D1907" s="1"/>
      <c r="E1907" s="6"/>
      <c r="F1907" s="4"/>
    </row>
    <row r="1908" spans="2:6">
      <c r="B1908" s="1"/>
      <c r="C1908" s="1"/>
      <c r="D1908" s="1"/>
      <c r="E1908" s="6"/>
      <c r="F1908" s="4"/>
    </row>
    <row r="1909" spans="2:6">
      <c r="B1909" s="1"/>
      <c r="C1909" s="1"/>
      <c r="D1909" s="1"/>
      <c r="E1909" s="6"/>
      <c r="F1909" s="4"/>
    </row>
    <row r="1910" spans="2:6">
      <c r="B1910" s="1"/>
      <c r="C1910" s="1"/>
      <c r="D1910" s="1"/>
      <c r="E1910" s="6"/>
      <c r="F1910" s="4"/>
    </row>
    <row r="1911" spans="2:6">
      <c r="B1911" s="1"/>
      <c r="C1911" s="1"/>
      <c r="D1911" s="1"/>
      <c r="E1911" s="6"/>
      <c r="F1911" s="4"/>
    </row>
    <row r="1912" spans="2:6">
      <c r="B1912" s="1"/>
      <c r="C1912" s="1"/>
      <c r="D1912" s="1"/>
      <c r="E1912" s="6"/>
      <c r="F1912" s="4"/>
    </row>
    <row r="1913" spans="2:6">
      <c r="B1913" s="1"/>
      <c r="C1913" s="1"/>
      <c r="D1913" s="1"/>
      <c r="E1913" s="6"/>
      <c r="F1913" s="4"/>
    </row>
    <row r="1914" spans="2:6">
      <c r="B1914" s="1"/>
      <c r="C1914" s="1"/>
      <c r="D1914" s="1"/>
      <c r="E1914" s="6"/>
      <c r="F1914" s="4"/>
    </row>
    <row r="1915" spans="2:6">
      <c r="B1915" s="1"/>
      <c r="C1915" s="1"/>
      <c r="D1915" s="1"/>
      <c r="E1915" s="6"/>
      <c r="F1915" s="4"/>
    </row>
    <row r="1916" spans="2:6">
      <c r="B1916" s="1"/>
      <c r="C1916" s="1"/>
      <c r="D1916" s="1"/>
      <c r="E1916" s="6"/>
      <c r="F1916" s="4"/>
    </row>
    <row r="1917" spans="2:6">
      <c r="B1917" s="1"/>
      <c r="C1917" s="1"/>
      <c r="D1917" s="1"/>
      <c r="E1917" s="6"/>
      <c r="F1917" s="4"/>
    </row>
    <row r="1918" spans="2:6">
      <c r="B1918" s="1"/>
      <c r="C1918" s="1"/>
      <c r="D1918" s="1"/>
      <c r="E1918" s="6"/>
      <c r="F1918" s="4"/>
    </row>
    <row r="1919" spans="2:6">
      <c r="B1919" s="1"/>
      <c r="C1919" s="1"/>
      <c r="D1919" s="1"/>
      <c r="E1919" s="6"/>
      <c r="F1919" s="4"/>
    </row>
    <row r="1920" spans="2:6">
      <c r="B1920" s="1"/>
      <c r="C1920" s="1"/>
      <c r="D1920" s="1"/>
      <c r="E1920" s="6"/>
      <c r="F1920" s="4"/>
    </row>
    <row r="1921" spans="2:6">
      <c r="B1921" s="1"/>
      <c r="C1921" s="1"/>
      <c r="D1921" s="1"/>
      <c r="E1921" s="6"/>
      <c r="F1921" s="4"/>
    </row>
    <row r="1922" spans="2:6">
      <c r="B1922" s="1"/>
      <c r="C1922" s="1"/>
      <c r="D1922" s="1"/>
      <c r="E1922" s="6"/>
      <c r="F1922" s="4"/>
    </row>
    <row r="1923" spans="2:6">
      <c r="B1923" s="1"/>
      <c r="C1923" s="1"/>
      <c r="D1923" s="1"/>
      <c r="E1923" s="6"/>
      <c r="F1923" s="4"/>
    </row>
    <row r="1924" spans="2:6">
      <c r="B1924" s="1"/>
      <c r="C1924" s="1"/>
      <c r="D1924" s="1"/>
      <c r="E1924" s="6"/>
      <c r="F1924" s="4"/>
    </row>
    <row r="1925" spans="2:6">
      <c r="B1925" s="1"/>
      <c r="C1925" s="1"/>
      <c r="D1925" s="1"/>
      <c r="E1925" s="6"/>
      <c r="F1925" s="4"/>
    </row>
    <row r="1926" spans="2:6">
      <c r="B1926" s="1"/>
      <c r="C1926" s="1"/>
      <c r="D1926" s="1"/>
      <c r="E1926" s="6"/>
      <c r="F1926" s="4"/>
    </row>
    <row r="1927" spans="2:6">
      <c r="B1927" s="1"/>
      <c r="C1927" s="1"/>
      <c r="D1927" s="1"/>
      <c r="E1927" s="6"/>
      <c r="F1927" s="4"/>
    </row>
    <row r="1928" spans="2:6">
      <c r="B1928" s="1"/>
      <c r="C1928" s="1"/>
      <c r="D1928" s="1"/>
      <c r="E1928" s="6"/>
      <c r="F1928" s="4"/>
    </row>
    <row r="1929" spans="2:6">
      <c r="B1929" s="1"/>
      <c r="C1929" s="1"/>
      <c r="D1929" s="1"/>
      <c r="E1929" s="6"/>
      <c r="F1929" s="4"/>
    </row>
    <row r="1930" spans="2:6">
      <c r="B1930" s="1"/>
      <c r="C1930" s="1"/>
      <c r="D1930" s="1"/>
      <c r="E1930" s="6"/>
      <c r="F1930" s="4"/>
    </row>
    <row r="1931" spans="2:6">
      <c r="B1931" s="1"/>
      <c r="C1931" s="1"/>
      <c r="D1931" s="1"/>
      <c r="E1931" s="6"/>
      <c r="F1931" s="4"/>
    </row>
    <row r="1932" spans="2:6">
      <c r="B1932" s="1"/>
      <c r="C1932" s="1"/>
      <c r="D1932" s="1"/>
      <c r="E1932" s="6"/>
      <c r="F1932" s="4"/>
    </row>
    <row r="1933" spans="2:6">
      <c r="B1933" s="1"/>
      <c r="C1933" s="1"/>
      <c r="D1933" s="1"/>
      <c r="E1933" s="6"/>
      <c r="F1933" s="4"/>
    </row>
    <row r="1934" spans="2:6">
      <c r="B1934" s="1"/>
      <c r="C1934" s="1"/>
      <c r="D1934" s="1"/>
      <c r="E1934" s="6"/>
      <c r="F1934" s="4"/>
    </row>
    <row r="1935" spans="2:6">
      <c r="B1935" s="1"/>
      <c r="C1935" s="1"/>
      <c r="D1935" s="1"/>
      <c r="E1935" s="6"/>
      <c r="F1935" s="4"/>
    </row>
    <row r="1936" spans="2:6">
      <c r="B1936" s="1"/>
      <c r="C1936" s="1"/>
      <c r="D1936" s="1"/>
      <c r="E1936" s="6"/>
      <c r="F1936" s="4"/>
    </row>
    <row r="1937" spans="2:6">
      <c r="B1937" s="1"/>
      <c r="C1937" s="1"/>
      <c r="D1937" s="1"/>
      <c r="E1937" s="6"/>
      <c r="F1937" s="4"/>
    </row>
    <row r="1938" spans="2:6">
      <c r="B1938" s="1"/>
      <c r="C1938" s="1"/>
      <c r="D1938" s="1"/>
      <c r="E1938" s="6"/>
      <c r="F1938" s="4"/>
    </row>
    <row r="1939" spans="2:6">
      <c r="B1939" s="1"/>
      <c r="C1939" s="1"/>
      <c r="D1939" s="1"/>
      <c r="E1939" s="6"/>
      <c r="F1939" s="4"/>
    </row>
    <row r="1940" spans="2:6">
      <c r="B1940" s="1"/>
      <c r="C1940" s="1"/>
      <c r="D1940" s="1"/>
      <c r="E1940" s="6"/>
      <c r="F1940" s="4"/>
    </row>
    <row r="1941" spans="2:6">
      <c r="B1941" s="1"/>
      <c r="C1941" s="1"/>
      <c r="D1941" s="1"/>
      <c r="E1941" s="6"/>
      <c r="F1941" s="4"/>
    </row>
    <row r="1942" spans="2:6">
      <c r="B1942" s="1"/>
      <c r="C1942" s="1"/>
      <c r="D1942" s="1"/>
      <c r="E1942" s="6"/>
      <c r="F1942" s="4"/>
    </row>
    <row r="1943" spans="2:6">
      <c r="B1943" s="1"/>
      <c r="C1943" s="1"/>
      <c r="D1943" s="1"/>
      <c r="E1943" s="6"/>
      <c r="F1943" s="4"/>
    </row>
    <row r="1944" spans="2:6">
      <c r="B1944" s="1"/>
      <c r="C1944" s="1"/>
      <c r="D1944" s="1"/>
      <c r="E1944" s="6"/>
      <c r="F1944" s="4"/>
    </row>
    <row r="1945" spans="2:6">
      <c r="B1945" s="1"/>
      <c r="C1945" s="1"/>
      <c r="D1945" s="1"/>
      <c r="E1945" s="6"/>
      <c r="F1945" s="4"/>
    </row>
    <row r="1946" spans="2:6">
      <c r="B1946" s="1"/>
      <c r="C1946" s="1"/>
      <c r="D1946" s="1"/>
      <c r="E1946" s="6"/>
      <c r="F1946" s="4"/>
    </row>
    <row r="1947" spans="2:6">
      <c r="B1947" s="1"/>
      <c r="C1947" s="1"/>
      <c r="D1947" s="1"/>
      <c r="E1947" s="6"/>
      <c r="F1947" s="4"/>
    </row>
    <row r="1948" spans="2:6">
      <c r="B1948" s="1"/>
      <c r="C1948" s="1"/>
      <c r="D1948" s="1"/>
      <c r="E1948" s="6"/>
      <c r="F1948" s="4"/>
    </row>
    <row r="1949" spans="2:6">
      <c r="B1949" s="1"/>
      <c r="C1949" s="1"/>
      <c r="D1949" s="1"/>
      <c r="E1949" s="6"/>
      <c r="F1949" s="4"/>
    </row>
    <row r="1950" spans="2:6">
      <c r="B1950" s="1"/>
      <c r="C1950" s="1"/>
      <c r="D1950" s="1"/>
      <c r="E1950" s="6"/>
      <c r="F1950" s="4"/>
    </row>
    <row r="1951" spans="2:6">
      <c r="B1951" s="1"/>
      <c r="C1951" s="1"/>
      <c r="D1951" s="1"/>
      <c r="E1951" s="6"/>
      <c r="F1951" s="4"/>
    </row>
    <row r="1952" spans="2:6">
      <c r="B1952" s="1"/>
      <c r="C1952" s="1"/>
      <c r="D1952" s="1"/>
      <c r="E1952" s="6"/>
      <c r="F1952" s="4"/>
    </row>
    <row r="1953" spans="2:6">
      <c r="B1953" s="1"/>
      <c r="C1953" s="1"/>
      <c r="D1953" s="1"/>
      <c r="E1953" s="6"/>
      <c r="F1953" s="4"/>
    </row>
    <row r="1954" spans="2:6">
      <c r="B1954" s="1"/>
      <c r="C1954" s="1"/>
      <c r="D1954" s="1"/>
      <c r="E1954" s="6"/>
      <c r="F1954" s="4"/>
    </row>
    <row r="1955" spans="2:6">
      <c r="B1955" s="1"/>
      <c r="C1955" s="1"/>
      <c r="D1955" s="1"/>
      <c r="E1955" s="6"/>
      <c r="F1955" s="4"/>
    </row>
    <row r="1956" spans="2:6">
      <c r="B1956" s="1"/>
      <c r="C1956" s="1"/>
      <c r="D1956" s="1"/>
      <c r="E1956" s="6"/>
      <c r="F1956" s="4"/>
    </row>
    <row r="1957" spans="2:6">
      <c r="B1957" s="1"/>
      <c r="C1957" s="1"/>
      <c r="D1957" s="1"/>
      <c r="E1957" s="6"/>
      <c r="F1957" s="4"/>
    </row>
    <row r="1958" spans="2:6">
      <c r="B1958" s="1"/>
      <c r="C1958" s="1"/>
      <c r="D1958" s="1"/>
      <c r="E1958" s="6"/>
      <c r="F1958" s="4"/>
    </row>
    <row r="1959" spans="2:6">
      <c r="B1959" s="1"/>
      <c r="C1959" s="1"/>
      <c r="D1959" s="1"/>
      <c r="E1959" s="6"/>
      <c r="F1959" s="4"/>
    </row>
    <row r="1960" spans="2:6">
      <c r="B1960" s="1"/>
      <c r="C1960" s="1"/>
      <c r="D1960" s="1"/>
      <c r="E1960" s="6"/>
      <c r="F1960" s="4"/>
    </row>
    <row r="1961" spans="2:6">
      <c r="B1961" s="1"/>
      <c r="C1961" s="1"/>
      <c r="D1961" s="1"/>
      <c r="E1961" s="6"/>
      <c r="F1961" s="4"/>
    </row>
    <row r="1962" spans="2:6">
      <c r="B1962" s="1"/>
      <c r="C1962" s="1"/>
      <c r="D1962" s="1"/>
      <c r="E1962" s="6"/>
      <c r="F1962" s="4"/>
    </row>
    <row r="1963" spans="2:6">
      <c r="B1963" s="1"/>
      <c r="C1963" s="1"/>
      <c r="D1963" s="1"/>
      <c r="E1963" s="6"/>
      <c r="F1963" s="4"/>
    </row>
    <row r="1964" spans="2:6">
      <c r="B1964" s="1"/>
      <c r="C1964" s="1"/>
      <c r="D1964" s="1"/>
      <c r="E1964" s="6"/>
      <c r="F1964" s="4"/>
    </row>
    <row r="1965" spans="2:6">
      <c r="B1965" s="1"/>
      <c r="C1965" s="1"/>
      <c r="D1965" s="1"/>
      <c r="E1965" s="6"/>
      <c r="F1965" s="4"/>
    </row>
    <row r="1966" spans="2:6">
      <c r="B1966" s="1"/>
      <c r="C1966" s="1"/>
      <c r="D1966" s="1"/>
      <c r="E1966" s="6"/>
      <c r="F1966" s="4"/>
    </row>
    <row r="1967" spans="2:6">
      <c r="B1967" s="1"/>
      <c r="C1967" s="1"/>
      <c r="D1967" s="1"/>
      <c r="E1967" s="6"/>
      <c r="F1967" s="4"/>
    </row>
    <row r="1968" spans="2:6">
      <c r="B1968" s="1"/>
      <c r="C1968" s="1"/>
      <c r="D1968" s="1"/>
      <c r="E1968" s="6"/>
      <c r="F1968" s="4"/>
    </row>
    <row r="1969" spans="2:6">
      <c r="B1969" s="1"/>
      <c r="C1969" s="1"/>
      <c r="D1969" s="1"/>
      <c r="E1969" s="6"/>
      <c r="F1969" s="4"/>
    </row>
    <row r="1970" spans="2:6">
      <c r="B1970" s="1"/>
      <c r="C1970" s="1"/>
      <c r="D1970" s="1"/>
      <c r="E1970" s="6"/>
      <c r="F1970" s="4"/>
    </row>
    <row r="1971" spans="2:6">
      <c r="B1971" s="1"/>
      <c r="C1971" s="1"/>
      <c r="D1971" s="1"/>
      <c r="E1971" s="6"/>
      <c r="F1971" s="4"/>
    </row>
    <row r="1972" spans="2:6">
      <c r="B1972" s="1"/>
      <c r="C1972" s="1"/>
      <c r="D1972" s="1"/>
      <c r="E1972" s="6"/>
      <c r="F1972" s="4"/>
    </row>
    <row r="1973" spans="2:6">
      <c r="B1973" s="1"/>
      <c r="C1973" s="1"/>
      <c r="D1973" s="1"/>
      <c r="E1973" s="6"/>
      <c r="F1973" s="4"/>
    </row>
    <row r="1974" spans="2:6">
      <c r="B1974" s="1"/>
      <c r="C1974" s="1"/>
      <c r="D1974" s="1"/>
      <c r="E1974" s="6"/>
      <c r="F1974" s="4"/>
    </row>
    <row r="1975" spans="2:6">
      <c r="B1975" s="1"/>
      <c r="C1975" s="1"/>
      <c r="D1975" s="1"/>
      <c r="E1975" s="6"/>
      <c r="F1975" s="4"/>
    </row>
    <row r="1976" spans="2:6">
      <c r="B1976" s="1"/>
      <c r="C1976" s="1"/>
      <c r="D1976" s="1"/>
      <c r="E1976" s="6"/>
      <c r="F1976" s="4"/>
    </row>
    <row r="1977" spans="2:6">
      <c r="B1977" s="1"/>
      <c r="C1977" s="1"/>
      <c r="D1977" s="1"/>
      <c r="E1977" s="6"/>
      <c r="F1977" s="4"/>
    </row>
    <row r="1978" spans="2:6">
      <c r="B1978" s="1"/>
      <c r="C1978" s="1"/>
      <c r="D1978" s="1"/>
      <c r="E1978" s="6"/>
      <c r="F1978" s="4"/>
    </row>
    <row r="1979" spans="2:6">
      <c r="B1979" s="1"/>
      <c r="C1979" s="1"/>
      <c r="D1979" s="1"/>
      <c r="E1979" s="6"/>
      <c r="F1979" s="4"/>
    </row>
    <row r="1980" spans="2:6">
      <c r="B1980" s="1"/>
      <c r="C1980" s="1"/>
      <c r="D1980" s="1"/>
      <c r="E1980" s="6"/>
      <c r="F1980" s="4"/>
    </row>
    <row r="1981" spans="2:6">
      <c r="B1981" s="1"/>
      <c r="C1981" s="1"/>
      <c r="D1981" s="1"/>
      <c r="E1981" s="6"/>
      <c r="F1981" s="4"/>
    </row>
    <row r="1982" spans="2:6">
      <c r="B1982" s="1"/>
      <c r="C1982" s="1"/>
      <c r="D1982" s="1"/>
      <c r="E1982" s="6"/>
      <c r="F1982" s="4"/>
    </row>
    <row r="1983" spans="2:6">
      <c r="B1983" s="1"/>
      <c r="C1983" s="1"/>
      <c r="D1983" s="1"/>
      <c r="E1983" s="6"/>
      <c r="F1983" s="4"/>
    </row>
    <row r="1984" spans="2:6">
      <c r="B1984" s="1"/>
      <c r="C1984" s="1"/>
      <c r="D1984" s="1"/>
      <c r="E1984" s="6"/>
      <c r="F1984" s="4"/>
    </row>
    <row r="1985" spans="2:6">
      <c r="B1985" s="1"/>
      <c r="C1985" s="1"/>
      <c r="D1985" s="1"/>
      <c r="E1985" s="6"/>
      <c r="F1985" s="4"/>
    </row>
    <row r="1986" spans="2:6">
      <c r="B1986" s="1"/>
      <c r="C1986" s="1"/>
      <c r="D1986" s="1"/>
      <c r="E1986" s="6"/>
      <c r="F1986" s="4"/>
    </row>
    <row r="1987" spans="2:6">
      <c r="B1987" s="1"/>
      <c r="C1987" s="1"/>
      <c r="D1987" s="1"/>
      <c r="E1987" s="6"/>
      <c r="F1987" s="4"/>
    </row>
    <row r="1988" spans="2:6">
      <c r="B1988" s="1"/>
      <c r="C1988" s="1"/>
      <c r="D1988" s="1"/>
      <c r="E1988" s="6"/>
      <c r="F1988" s="4"/>
    </row>
    <row r="1989" spans="2:6">
      <c r="B1989" s="1"/>
      <c r="C1989" s="1"/>
      <c r="D1989" s="1"/>
      <c r="E1989" s="6"/>
      <c r="F1989" s="4"/>
    </row>
    <row r="1990" spans="2:6">
      <c r="B1990" s="1"/>
      <c r="C1990" s="1"/>
      <c r="D1990" s="1"/>
      <c r="E1990" s="6"/>
      <c r="F1990" s="4"/>
    </row>
    <row r="1991" spans="2:6">
      <c r="B1991" s="1"/>
      <c r="C1991" s="1"/>
      <c r="D1991" s="1"/>
      <c r="E1991" s="6"/>
      <c r="F1991" s="4"/>
    </row>
    <row r="1992" spans="2:6">
      <c r="B1992" s="1"/>
      <c r="C1992" s="1"/>
      <c r="D1992" s="1"/>
      <c r="E1992" s="6"/>
      <c r="F1992" s="4"/>
    </row>
    <row r="1993" spans="2:6">
      <c r="B1993" s="1"/>
      <c r="C1993" s="1"/>
      <c r="D1993" s="1"/>
      <c r="E1993" s="6"/>
      <c r="F1993" s="4"/>
    </row>
    <row r="1994" spans="2:6">
      <c r="B1994" s="1"/>
      <c r="C1994" s="1"/>
      <c r="D1994" s="1"/>
      <c r="E1994" s="6"/>
      <c r="F1994" s="4"/>
    </row>
    <row r="1995" spans="2:6">
      <c r="B1995" s="1"/>
      <c r="C1995" s="1"/>
      <c r="D1995" s="1"/>
      <c r="E1995" s="6"/>
      <c r="F1995" s="4"/>
    </row>
    <row r="1996" spans="2:6">
      <c r="B1996" s="1"/>
      <c r="C1996" s="1"/>
      <c r="D1996" s="1"/>
      <c r="E1996" s="6"/>
      <c r="F1996" s="4"/>
    </row>
    <row r="1997" spans="2:6">
      <c r="B1997" s="1"/>
      <c r="C1997" s="1"/>
      <c r="D1997" s="1"/>
      <c r="E1997" s="6"/>
      <c r="F1997" s="4"/>
    </row>
    <row r="1998" spans="2:6">
      <c r="B1998" s="1"/>
      <c r="C1998" s="1"/>
      <c r="D1998" s="1"/>
      <c r="E1998" s="6"/>
      <c r="F1998" s="4"/>
    </row>
    <row r="1999" spans="2:6">
      <c r="B1999" s="1"/>
      <c r="C1999" s="1"/>
      <c r="D1999" s="1"/>
      <c r="E1999" s="6"/>
      <c r="F1999" s="4"/>
    </row>
    <row r="2000" spans="2:6">
      <c r="B2000" s="1"/>
      <c r="C2000" s="1"/>
      <c r="D2000" s="1"/>
      <c r="E2000" s="6"/>
      <c r="F2000" s="4"/>
    </row>
    <row r="2001" spans="2:6">
      <c r="B2001" s="1"/>
      <c r="C2001" s="1"/>
      <c r="D2001" s="1"/>
      <c r="E2001" s="6"/>
      <c r="F2001" s="4"/>
    </row>
    <row r="2002" spans="2:6">
      <c r="B2002" s="1"/>
      <c r="C2002" s="1"/>
      <c r="D2002" s="1"/>
      <c r="E2002" s="6"/>
      <c r="F2002" s="4"/>
    </row>
    <row r="2003" spans="2:6">
      <c r="B2003" s="1"/>
      <c r="C2003" s="1"/>
      <c r="D2003" s="1"/>
      <c r="E2003" s="6"/>
      <c r="F2003" s="4"/>
    </row>
    <row r="2004" spans="2:6">
      <c r="B2004" s="1"/>
      <c r="C2004" s="1"/>
      <c r="D2004" s="1"/>
      <c r="E2004" s="6"/>
      <c r="F2004" s="4"/>
    </row>
    <row r="2005" spans="2:6">
      <c r="B2005" s="1"/>
      <c r="C2005" s="1"/>
      <c r="D2005" s="1"/>
      <c r="E2005" s="6"/>
      <c r="F2005" s="4"/>
    </row>
    <row r="2006" spans="2:6">
      <c r="B2006" s="1"/>
      <c r="C2006" s="1"/>
      <c r="D2006" s="1"/>
      <c r="E2006" s="6"/>
      <c r="F2006" s="4"/>
    </row>
    <row r="2007" spans="2:6">
      <c r="B2007" s="1"/>
      <c r="C2007" s="1"/>
      <c r="D2007" s="1"/>
      <c r="E2007" s="6"/>
      <c r="F2007" s="4"/>
    </row>
    <row r="2008" spans="2:6">
      <c r="B2008" s="1"/>
      <c r="C2008" s="1"/>
      <c r="D2008" s="1"/>
      <c r="E2008" s="6"/>
      <c r="F2008" s="4"/>
    </row>
    <row r="2009" spans="2:6">
      <c r="B2009" s="1"/>
      <c r="C2009" s="1"/>
      <c r="D2009" s="1"/>
      <c r="E2009" s="6"/>
      <c r="F2009" s="4"/>
    </row>
    <row r="2010" spans="2:6">
      <c r="B2010" s="1"/>
      <c r="C2010" s="1"/>
      <c r="D2010" s="1"/>
      <c r="E2010" s="6"/>
      <c r="F2010" s="4"/>
    </row>
    <row r="2011" spans="2:6">
      <c r="B2011" s="1"/>
      <c r="C2011" s="1"/>
      <c r="D2011" s="1"/>
      <c r="E2011" s="6"/>
      <c r="F2011" s="4"/>
    </row>
    <row r="2012" spans="2:6">
      <c r="B2012" s="1"/>
      <c r="C2012" s="1"/>
      <c r="D2012" s="1"/>
      <c r="E2012" s="6"/>
      <c r="F2012" s="4"/>
    </row>
    <row r="2013" spans="2:6">
      <c r="B2013" s="1"/>
      <c r="C2013" s="1"/>
      <c r="D2013" s="1"/>
      <c r="E2013" s="6"/>
      <c r="F2013" s="4"/>
    </row>
    <row r="2014" spans="2:6">
      <c r="B2014" s="1"/>
      <c r="C2014" s="1"/>
      <c r="D2014" s="1"/>
      <c r="E2014" s="6"/>
      <c r="F2014" s="4"/>
    </row>
    <row r="2015" spans="2:6">
      <c r="B2015" s="1"/>
      <c r="C2015" s="1"/>
      <c r="D2015" s="1"/>
      <c r="E2015" s="6"/>
      <c r="F2015" s="4"/>
    </row>
    <row r="2016" spans="2:6">
      <c r="B2016" s="1"/>
      <c r="C2016" s="1"/>
      <c r="D2016" s="1"/>
      <c r="E2016" s="6"/>
      <c r="F2016" s="4"/>
    </row>
    <row r="2017" spans="2:6">
      <c r="B2017" s="1"/>
      <c r="C2017" s="1"/>
      <c r="D2017" s="1"/>
      <c r="E2017" s="6"/>
      <c r="F2017" s="4"/>
    </row>
    <row r="2018" spans="2:6">
      <c r="B2018" s="1"/>
      <c r="C2018" s="1"/>
      <c r="D2018" s="1"/>
      <c r="E2018" s="6"/>
      <c r="F2018" s="4"/>
    </row>
    <row r="2019" spans="2:6">
      <c r="B2019" s="1"/>
      <c r="C2019" s="1"/>
      <c r="D2019" s="1"/>
      <c r="E2019" s="6"/>
      <c r="F2019" s="4"/>
    </row>
    <row r="2020" spans="2:6">
      <c r="B2020" s="1"/>
      <c r="C2020" s="1"/>
      <c r="D2020" s="1"/>
      <c r="E2020" s="6"/>
      <c r="F2020" s="4"/>
    </row>
    <row r="2021" spans="2:6">
      <c r="B2021" s="1"/>
      <c r="C2021" s="1"/>
      <c r="D2021" s="1"/>
      <c r="E2021" s="6"/>
      <c r="F2021" s="4"/>
    </row>
    <row r="2022" spans="2:6">
      <c r="B2022" s="1"/>
      <c r="C2022" s="1"/>
      <c r="D2022" s="1"/>
      <c r="E2022" s="6"/>
      <c r="F2022" s="4"/>
    </row>
    <row r="2023" spans="2:6">
      <c r="B2023" s="1"/>
      <c r="C2023" s="1"/>
      <c r="D2023" s="1"/>
      <c r="E2023" s="6"/>
      <c r="F2023" s="4"/>
    </row>
    <row r="2024" spans="2:6">
      <c r="B2024" s="1"/>
      <c r="C2024" s="1"/>
      <c r="D2024" s="1"/>
      <c r="E2024" s="6"/>
      <c r="F2024" s="4"/>
    </row>
    <row r="2025" spans="2:6">
      <c r="B2025" s="1"/>
      <c r="C2025" s="1"/>
      <c r="D2025" s="1"/>
      <c r="E2025" s="6"/>
      <c r="F2025" s="4"/>
    </row>
    <row r="2026" spans="2:6">
      <c r="B2026" s="1"/>
      <c r="C2026" s="1"/>
      <c r="D2026" s="1"/>
      <c r="E2026" s="6"/>
      <c r="F2026" s="4"/>
    </row>
    <row r="2027" spans="2:6">
      <c r="B2027" s="1"/>
      <c r="C2027" s="1"/>
      <c r="D2027" s="1"/>
      <c r="E2027" s="6"/>
      <c r="F2027" s="4"/>
    </row>
    <row r="2028" spans="2:6">
      <c r="B2028" s="1"/>
      <c r="C2028" s="1"/>
      <c r="D2028" s="1"/>
      <c r="E2028" s="6"/>
      <c r="F2028" s="4"/>
    </row>
    <row r="2029" spans="2:6">
      <c r="B2029" s="1"/>
      <c r="C2029" s="1"/>
      <c r="D2029" s="1"/>
      <c r="E2029" s="6"/>
      <c r="F2029" s="4"/>
    </row>
    <row r="2030" spans="2:6">
      <c r="B2030" s="1"/>
      <c r="C2030" s="1"/>
      <c r="D2030" s="1"/>
      <c r="E2030" s="6"/>
      <c r="F2030" s="4"/>
    </row>
    <row r="2031" spans="2:6">
      <c r="B2031" s="1"/>
      <c r="C2031" s="1"/>
      <c r="D2031" s="1"/>
      <c r="E2031" s="6"/>
      <c r="F2031" s="4"/>
    </row>
    <row r="2032" spans="2:6">
      <c r="B2032" s="1"/>
      <c r="C2032" s="1"/>
      <c r="D2032" s="1"/>
      <c r="E2032" s="6"/>
      <c r="F2032" s="4"/>
    </row>
    <row r="2033" spans="2:6">
      <c r="B2033" s="1"/>
      <c r="C2033" s="1"/>
      <c r="D2033" s="1"/>
      <c r="E2033" s="6"/>
      <c r="F2033" s="4"/>
    </row>
    <row r="2034" spans="2:6">
      <c r="B2034" s="1"/>
      <c r="C2034" s="1"/>
      <c r="D2034" s="1"/>
      <c r="E2034" s="6"/>
      <c r="F2034" s="4"/>
    </row>
    <row r="2035" spans="2:6">
      <c r="B2035" s="1"/>
      <c r="C2035" s="1"/>
      <c r="D2035" s="1"/>
      <c r="E2035" s="6"/>
      <c r="F2035" s="4"/>
    </row>
    <row r="2036" spans="2:6">
      <c r="B2036" s="1"/>
      <c r="C2036" s="1"/>
      <c r="D2036" s="1"/>
      <c r="E2036" s="6"/>
      <c r="F2036" s="4"/>
    </row>
    <row r="2037" spans="2:6">
      <c r="B2037" s="1"/>
      <c r="C2037" s="1"/>
      <c r="D2037" s="1"/>
      <c r="E2037" s="6"/>
      <c r="F2037" s="4"/>
    </row>
    <row r="2038" spans="2:6">
      <c r="B2038" s="1"/>
      <c r="C2038" s="1"/>
      <c r="D2038" s="1"/>
      <c r="E2038" s="6"/>
      <c r="F2038" s="4"/>
    </row>
    <row r="2039" spans="2:6">
      <c r="B2039" s="1"/>
      <c r="C2039" s="1"/>
      <c r="D2039" s="1"/>
      <c r="E2039" s="6"/>
      <c r="F2039" s="4"/>
    </row>
    <row r="2040" spans="2:6">
      <c r="B2040" s="1"/>
      <c r="C2040" s="1"/>
      <c r="D2040" s="1"/>
      <c r="E2040" s="6"/>
      <c r="F2040" s="4"/>
    </row>
    <row r="2041" spans="2:6">
      <c r="B2041" s="1"/>
      <c r="C2041" s="1"/>
      <c r="D2041" s="1"/>
      <c r="E2041" s="6"/>
      <c r="F2041" s="4"/>
    </row>
    <row r="2042" spans="2:6">
      <c r="B2042" s="1"/>
      <c r="C2042" s="1"/>
      <c r="D2042" s="1"/>
      <c r="E2042" s="6"/>
      <c r="F2042" s="4"/>
    </row>
    <row r="2043" spans="2:6">
      <c r="B2043" s="1"/>
      <c r="C2043" s="1"/>
      <c r="D2043" s="1"/>
      <c r="E2043" s="6"/>
      <c r="F2043" s="4"/>
    </row>
    <row r="2044" spans="2:6">
      <c r="B2044" s="1"/>
      <c r="C2044" s="1"/>
      <c r="D2044" s="1"/>
      <c r="E2044" s="6"/>
      <c r="F2044" s="4"/>
    </row>
    <row r="2045" spans="2:6">
      <c r="B2045" s="1"/>
      <c r="C2045" s="1"/>
      <c r="D2045" s="1"/>
      <c r="E2045" s="6"/>
      <c r="F2045" s="4"/>
    </row>
    <row r="2046" spans="2:6">
      <c r="B2046" s="1"/>
      <c r="C2046" s="1"/>
      <c r="D2046" s="1"/>
      <c r="E2046" s="6"/>
      <c r="F2046" s="4"/>
    </row>
    <row r="2047" spans="2:6">
      <c r="B2047" s="1"/>
      <c r="C2047" s="1"/>
      <c r="D2047" s="1"/>
      <c r="E2047" s="6"/>
      <c r="F2047" s="4"/>
    </row>
    <row r="2048" spans="2:6">
      <c r="B2048" s="1"/>
      <c r="C2048" s="1"/>
      <c r="D2048" s="1"/>
      <c r="E2048" s="6"/>
      <c r="F2048" s="4"/>
    </row>
    <row r="2049" spans="2:6">
      <c r="B2049" s="1"/>
      <c r="C2049" s="1"/>
      <c r="D2049" s="1"/>
      <c r="E2049" s="6"/>
      <c r="F2049" s="4"/>
    </row>
    <row r="2050" spans="2:6">
      <c r="B2050" s="1"/>
      <c r="C2050" s="1"/>
      <c r="D2050" s="1"/>
      <c r="E2050" s="6"/>
      <c r="F2050" s="4"/>
    </row>
    <row r="2051" spans="2:6">
      <c r="B2051" s="1"/>
      <c r="C2051" s="1"/>
      <c r="D2051" s="1"/>
      <c r="E2051" s="6"/>
      <c r="F2051" s="4"/>
    </row>
    <row r="2052" spans="2:6">
      <c r="B2052" s="1"/>
      <c r="C2052" s="1"/>
      <c r="D2052" s="1"/>
      <c r="E2052" s="6"/>
      <c r="F2052" s="4"/>
    </row>
    <row r="2053" spans="2:6">
      <c r="B2053" s="1"/>
      <c r="C2053" s="1"/>
      <c r="D2053" s="1"/>
      <c r="E2053" s="6"/>
      <c r="F2053" s="4"/>
    </row>
    <row r="2054" spans="2:6">
      <c r="B2054" s="1"/>
      <c r="C2054" s="1"/>
      <c r="D2054" s="1"/>
      <c r="E2054" s="6"/>
      <c r="F2054" s="4"/>
    </row>
    <row r="2055" spans="2:6">
      <c r="B2055" s="1"/>
      <c r="C2055" s="1"/>
      <c r="D2055" s="1"/>
      <c r="E2055" s="6"/>
      <c r="F2055" s="4"/>
    </row>
    <row r="2056" spans="2:6">
      <c r="B2056" s="1"/>
      <c r="C2056" s="1"/>
      <c r="D2056" s="1"/>
      <c r="E2056" s="6"/>
      <c r="F2056" s="4"/>
    </row>
    <row r="2057" spans="2:6">
      <c r="B2057" s="1"/>
      <c r="C2057" s="1"/>
      <c r="D2057" s="1"/>
      <c r="E2057" s="6"/>
      <c r="F2057" s="4"/>
    </row>
    <row r="2058" spans="2:6">
      <c r="B2058" s="1"/>
      <c r="C2058" s="1"/>
      <c r="D2058" s="1"/>
      <c r="E2058" s="6"/>
      <c r="F2058" s="4"/>
    </row>
    <row r="2059" spans="2:6">
      <c r="B2059" s="1"/>
      <c r="C2059" s="1"/>
      <c r="D2059" s="1"/>
      <c r="E2059" s="6"/>
      <c r="F2059" s="4"/>
    </row>
    <row r="2060" spans="2:6">
      <c r="B2060" s="1"/>
      <c r="C2060" s="1"/>
      <c r="D2060" s="1"/>
      <c r="E2060" s="6"/>
      <c r="F2060" s="4"/>
    </row>
    <row r="2061" spans="2:6">
      <c r="B2061" s="1"/>
      <c r="C2061" s="1"/>
      <c r="D2061" s="1"/>
      <c r="E2061" s="6"/>
      <c r="F2061" s="4"/>
    </row>
    <row r="2062" spans="2:6">
      <c r="B2062" s="1"/>
      <c r="C2062" s="1"/>
      <c r="D2062" s="1"/>
      <c r="E2062" s="6"/>
      <c r="F2062" s="4"/>
    </row>
    <row r="2063" spans="2:6">
      <c r="B2063" s="1"/>
      <c r="C2063" s="1"/>
      <c r="D2063" s="1"/>
      <c r="E2063" s="6"/>
      <c r="F2063" s="4"/>
    </row>
    <row r="2064" spans="2:6">
      <c r="B2064" s="1"/>
      <c r="C2064" s="1"/>
      <c r="D2064" s="1"/>
      <c r="E2064" s="6"/>
      <c r="F2064" s="4"/>
    </row>
    <row r="2065" spans="2:6">
      <c r="B2065" s="1"/>
      <c r="C2065" s="1"/>
      <c r="D2065" s="1"/>
      <c r="E2065" s="6"/>
      <c r="F2065" s="4"/>
    </row>
    <row r="2066" spans="2:6">
      <c r="B2066" s="1"/>
      <c r="C2066" s="1"/>
      <c r="D2066" s="1"/>
      <c r="E2066" s="6"/>
      <c r="F2066" s="4"/>
    </row>
    <row r="2067" spans="2:6">
      <c r="B2067" s="1"/>
      <c r="C2067" s="1"/>
      <c r="D2067" s="1"/>
      <c r="E2067" s="6"/>
      <c r="F2067" s="4"/>
    </row>
    <row r="2068" spans="2:6">
      <c r="B2068" s="1"/>
      <c r="C2068" s="1"/>
      <c r="D2068" s="1"/>
      <c r="E2068" s="6"/>
      <c r="F2068" s="4"/>
    </row>
    <row r="2069" spans="2:6">
      <c r="B2069" s="1"/>
      <c r="C2069" s="1"/>
      <c r="D2069" s="1"/>
      <c r="E2069" s="6"/>
      <c r="F2069" s="4"/>
    </row>
    <row r="2070" spans="2:6">
      <c r="B2070" s="1"/>
      <c r="C2070" s="1"/>
      <c r="D2070" s="1"/>
      <c r="E2070" s="6"/>
      <c r="F2070" s="4"/>
    </row>
    <row r="2071" spans="2:6">
      <c r="B2071" s="1"/>
      <c r="C2071" s="1"/>
      <c r="D2071" s="1"/>
      <c r="E2071" s="6"/>
      <c r="F2071" s="4"/>
    </row>
  </sheetData>
  <mergeCells count="3">
    <mergeCell ref="C255:C256"/>
    <mergeCell ref="D255:N255"/>
    <mergeCell ref="C117:L118"/>
  </mergeCells>
  <phoneticPr fontId="128" type="noConversion"/>
  <pageMargins left="0.75" right="0.75" top="1" bottom="1" header="0.5" footer="0.5"/>
  <pageSetup paperSize="9"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Ark2">
    <tabColor rgb="FF92D050"/>
  </sheetPr>
  <dimension ref="A3:AS64"/>
  <sheetViews>
    <sheetView workbookViewId="0">
      <selection activeCell="F8" sqref="F8"/>
    </sheetView>
  </sheetViews>
  <sheetFormatPr baseColWidth="10" defaultColWidth="8.5" defaultRowHeight="15"/>
  <cols>
    <col min="1" max="1" width="1.5" style="393" customWidth="1"/>
    <col min="2" max="2" width="8.5" style="393" bestFit="1" customWidth="1"/>
    <col min="3" max="5" width="13.5" style="393" bestFit="1" customWidth="1"/>
    <col min="6" max="6" width="8" style="393" bestFit="1" customWidth="1"/>
    <col min="7" max="7" width="6.5" style="393" bestFit="1" customWidth="1"/>
    <col min="8" max="46" width="8" style="393" bestFit="1" customWidth="1"/>
    <col min="47" max="256" width="9.1640625" style="393"/>
    <col min="257" max="257" width="10.1640625" style="393" bestFit="1" customWidth="1"/>
    <col min="258" max="258" width="8.5" style="393" bestFit="1" customWidth="1"/>
    <col min="259" max="259" width="13.5" style="393" bestFit="1" customWidth="1"/>
    <col min="260" max="260" width="5.1640625" style="393" bestFit="1" customWidth="1"/>
    <col min="261" max="262" width="10.5" style="393" customWidth="1"/>
    <col min="263" max="302" width="9.5" style="393" bestFit="1" customWidth="1"/>
    <col min="303" max="512" width="9.1640625" style="393"/>
    <col min="513" max="513" width="10.1640625" style="393" bestFit="1" customWidth="1"/>
    <col min="514" max="514" width="8.5" style="393" bestFit="1" customWidth="1"/>
    <col min="515" max="515" width="13.5" style="393" bestFit="1" customWidth="1"/>
    <col min="516" max="516" width="5.1640625" style="393" bestFit="1" customWidth="1"/>
    <col min="517" max="518" width="10.5" style="393" customWidth="1"/>
    <col min="519" max="558" width="9.5" style="393" bestFit="1" customWidth="1"/>
    <col min="559" max="768" width="9.1640625" style="393"/>
    <col min="769" max="769" width="10.1640625" style="393" bestFit="1" customWidth="1"/>
    <col min="770" max="770" width="8.5" style="393" bestFit="1" customWidth="1"/>
    <col min="771" max="771" width="13.5" style="393" bestFit="1" customWidth="1"/>
    <col min="772" max="772" width="5.1640625" style="393" bestFit="1" customWidth="1"/>
    <col min="773" max="774" width="10.5" style="393" customWidth="1"/>
    <col min="775" max="814" width="9.5" style="393" bestFit="1" customWidth="1"/>
    <col min="815" max="1024" width="9.1640625" style="393"/>
    <col min="1025" max="1025" width="10.1640625" style="393" bestFit="1" customWidth="1"/>
    <col min="1026" max="1026" width="8.5" style="393" bestFit="1" customWidth="1"/>
    <col min="1027" max="1027" width="13.5" style="393" bestFit="1" customWidth="1"/>
    <col min="1028" max="1028" width="5.1640625" style="393" bestFit="1" customWidth="1"/>
    <col min="1029" max="1030" width="10.5" style="393" customWidth="1"/>
    <col min="1031" max="1070" width="9.5" style="393" bestFit="1" customWidth="1"/>
    <col min="1071" max="1280" width="9.1640625" style="393"/>
    <col min="1281" max="1281" width="10.1640625" style="393" bestFit="1" customWidth="1"/>
    <col min="1282" max="1282" width="8.5" style="393" bestFit="1" customWidth="1"/>
    <col min="1283" max="1283" width="13.5" style="393" bestFit="1" customWidth="1"/>
    <col min="1284" max="1284" width="5.1640625" style="393" bestFit="1" customWidth="1"/>
    <col min="1285" max="1286" width="10.5" style="393" customWidth="1"/>
    <col min="1287" max="1326" width="9.5" style="393" bestFit="1" customWidth="1"/>
    <col min="1327" max="1536" width="9.1640625" style="393"/>
    <col min="1537" max="1537" width="10.1640625" style="393" bestFit="1" customWidth="1"/>
    <col min="1538" max="1538" width="8.5" style="393" bestFit="1" customWidth="1"/>
    <col min="1539" max="1539" width="13.5" style="393" bestFit="1" customWidth="1"/>
    <col min="1540" max="1540" width="5.1640625" style="393" bestFit="1" customWidth="1"/>
    <col min="1541" max="1542" width="10.5" style="393" customWidth="1"/>
    <col min="1543" max="1582" width="9.5" style="393" bestFit="1" customWidth="1"/>
    <col min="1583" max="1792" width="9.1640625" style="393"/>
    <col min="1793" max="1793" width="10.1640625" style="393" bestFit="1" customWidth="1"/>
    <col min="1794" max="1794" width="8.5" style="393" bestFit="1" customWidth="1"/>
    <col min="1795" max="1795" width="13.5" style="393" bestFit="1" customWidth="1"/>
    <col min="1796" max="1796" width="5.1640625" style="393" bestFit="1" customWidth="1"/>
    <col min="1797" max="1798" width="10.5" style="393" customWidth="1"/>
    <col min="1799" max="1838" width="9.5" style="393" bestFit="1" customWidth="1"/>
    <col min="1839" max="2048" width="9.1640625" style="393"/>
    <col min="2049" max="2049" width="10.1640625" style="393" bestFit="1" customWidth="1"/>
    <col min="2050" max="2050" width="8.5" style="393" bestFit="1" customWidth="1"/>
    <col min="2051" max="2051" width="13.5" style="393" bestFit="1" customWidth="1"/>
    <col min="2052" max="2052" width="5.1640625" style="393" bestFit="1" customWidth="1"/>
    <col min="2053" max="2054" width="10.5" style="393" customWidth="1"/>
    <col min="2055" max="2094" width="9.5" style="393" bestFit="1" customWidth="1"/>
    <col min="2095" max="2304" width="9.1640625" style="393"/>
    <col min="2305" max="2305" width="10.1640625" style="393" bestFit="1" customWidth="1"/>
    <col min="2306" max="2306" width="8.5" style="393" bestFit="1" customWidth="1"/>
    <col min="2307" max="2307" width="13.5" style="393" bestFit="1" customWidth="1"/>
    <col min="2308" max="2308" width="5.1640625" style="393" bestFit="1" customWidth="1"/>
    <col min="2309" max="2310" width="10.5" style="393" customWidth="1"/>
    <col min="2311" max="2350" width="9.5" style="393" bestFit="1" customWidth="1"/>
    <col min="2351" max="2560" width="9.1640625" style="393"/>
    <col min="2561" max="2561" width="10.1640625" style="393" bestFit="1" customWidth="1"/>
    <col min="2562" max="2562" width="8.5" style="393" bestFit="1" customWidth="1"/>
    <col min="2563" max="2563" width="13.5" style="393" bestFit="1" customWidth="1"/>
    <col min="2564" max="2564" width="5.1640625" style="393" bestFit="1" customWidth="1"/>
    <col min="2565" max="2566" width="10.5" style="393" customWidth="1"/>
    <col min="2567" max="2606" width="9.5" style="393" bestFit="1" customWidth="1"/>
    <col min="2607" max="2816" width="9.1640625" style="393"/>
    <col min="2817" max="2817" width="10.1640625" style="393" bestFit="1" customWidth="1"/>
    <col min="2818" max="2818" width="8.5" style="393" bestFit="1" customWidth="1"/>
    <col min="2819" max="2819" width="13.5" style="393" bestFit="1" customWidth="1"/>
    <col min="2820" max="2820" width="5.1640625" style="393" bestFit="1" customWidth="1"/>
    <col min="2821" max="2822" width="10.5" style="393" customWidth="1"/>
    <col min="2823" max="2862" width="9.5" style="393" bestFit="1" customWidth="1"/>
    <col min="2863" max="3072" width="9.1640625" style="393"/>
    <col min="3073" max="3073" width="10.1640625" style="393" bestFit="1" customWidth="1"/>
    <col min="3074" max="3074" width="8.5" style="393" bestFit="1" customWidth="1"/>
    <col min="3075" max="3075" width="13.5" style="393" bestFit="1" customWidth="1"/>
    <col min="3076" max="3076" width="5.1640625" style="393" bestFit="1" customWidth="1"/>
    <col min="3077" max="3078" width="10.5" style="393" customWidth="1"/>
    <col min="3079" max="3118" width="9.5" style="393" bestFit="1" customWidth="1"/>
    <col min="3119" max="3328" width="9.1640625" style="393"/>
    <col min="3329" max="3329" width="10.1640625" style="393" bestFit="1" customWidth="1"/>
    <col min="3330" max="3330" width="8.5" style="393" bestFit="1" customWidth="1"/>
    <col min="3331" max="3331" width="13.5" style="393" bestFit="1" customWidth="1"/>
    <col min="3332" max="3332" width="5.1640625" style="393" bestFit="1" customWidth="1"/>
    <col min="3333" max="3334" width="10.5" style="393" customWidth="1"/>
    <col min="3335" max="3374" width="9.5" style="393" bestFit="1" customWidth="1"/>
    <col min="3375" max="3584" width="9.1640625" style="393"/>
    <col min="3585" max="3585" width="10.1640625" style="393" bestFit="1" customWidth="1"/>
    <col min="3586" max="3586" width="8.5" style="393" bestFit="1" customWidth="1"/>
    <col min="3587" max="3587" width="13.5" style="393" bestFit="1" customWidth="1"/>
    <col min="3588" max="3588" width="5.1640625" style="393" bestFit="1" customWidth="1"/>
    <col min="3589" max="3590" width="10.5" style="393" customWidth="1"/>
    <col min="3591" max="3630" width="9.5" style="393" bestFit="1" customWidth="1"/>
    <col min="3631" max="3840" width="9.1640625" style="393"/>
    <col min="3841" max="3841" width="10.1640625" style="393" bestFit="1" customWidth="1"/>
    <col min="3842" max="3842" width="8.5" style="393" bestFit="1" customWidth="1"/>
    <col min="3843" max="3843" width="13.5" style="393" bestFit="1" customWidth="1"/>
    <col min="3844" max="3844" width="5.1640625" style="393" bestFit="1" customWidth="1"/>
    <col min="3845" max="3846" width="10.5" style="393" customWidth="1"/>
    <col min="3847" max="3886" width="9.5" style="393" bestFit="1" customWidth="1"/>
    <col min="3887" max="4096" width="9.1640625" style="393"/>
    <col min="4097" max="4097" width="10.1640625" style="393" bestFit="1" customWidth="1"/>
    <col min="4098" max="4098" width="8.5" style="393" bestFit="1" customWidth="1"/>
    <col min="4099" max="4099" width="13.5" style="393" bestFit="1" customWidth="1"/>
    <col min="4100" max="4100" width="5.1640625" style="393" bestFit="1" customWidth="1"/>
    <col min="4101" max="4102" width="10.5" style="393" customWidth="1"/>
    <col min="4103" max="4142" width="9.5" style="393" bestFit="1" customWidth="1"/>
    <col min="4143" max="4352" width="9.1640625" style="393"/>
    <col min="4353" max="4353" width="10.1640625" style="393" bestFit="1" customWidth="1"/>
    <col min="4354" max="4354" width="8.5" style="393" bestFit="1" customWidth="1"/>
    <col min="4355" max="4355" width="13.5" style="393" bestFit="1" customWidth="1"/>
    <col min="4356" max="4356" width="5.1640625" style="393" bestFit="1" customWidth="1"/>
    <col min="4357" max="4358" width="10.5" style="393" customWidth="1"/>
    <col min="4359" max="4398" width="9.5" style="393" bestFit="1" customWidth="1"/>
    <col min="4399" max="4608" width="9.1640625" style="393"/>
    <col min="4609" max="4609" width="10.1640625" style="393" bestFit="1" customWidth="1"/>
    <col min="4610" max="4610" width="8.5" style="393" bestFit="1" customWidth="1"/>
    <col min="4611" max="4611" width="13.5" style="393" bestFit="1" customWidth="1"/>
    <col min="4612" max="4612" width="5.1640625" style="393" bestFit="1" customWidth="1"/>
    <col min="4613" max="4614" width="10.5" style="393" customWidth="1"/>
    <col min="4615" max="4654" width="9.5" style="393" bestFit="1" customWidth="1"/>
    <col min="4655" max="4864" width="9.1640625" style="393"/>
    <col min="4865" max="4865" width="10.1640625" style="393" bestFit="1" customWidth="1"/>
    <col min="4866" max="4866" width="8.5" style="393" bestFit="1" customWidth="1"/>
    <col min="4867" max="4867" width="13.5" style="393" bestFit="1" customWidth="1"/>
    <col min="4868" max="4868" width="5.1640625" style="393" bestFit="1" customWidth="1"/>
    <col min="4869" max="4870" width="10.5" style="393" customWidth="1"/>
    <col min="4871" max="4910" width="9.5" style="393" bestFit="1" customWidth="1"/>
    <col min="4911" max="5120" width="9.1640625" style="393"/>
    <col min="5121" max="5121" width="10.1640625" style="393" bestFit="1" customWidth="1"/>
    <col min="5122" max="5122" width="8.5" style="393" bestFit="1" customWidth="1"/>
    <col min="5123" max="5123" width="13.5" style="393" bestFit="1" customWidth="1"/>
    <col min="5124" max="5124" width="5.1640625" style="393" bestFit="1" customWidth="1"/>
    <col min="5125" max="5126" width="10.5" style="393" customWidth="1"/>
    <col min="5127" max="5166" width="9.5" style="393" bestFit="1" customWidth="1"/>
    <col min="5167" max="5376" width="9.1640625" style="393"/>
    <col min="5377" max="5377" width="10.1640625" style="393" bestFit="1" customWidth="1"/>
    <col min="5378" max="5378" width="8.5" style="393" bestFit="1" customWidth="1"/>
    <col min="5379" max="5379" width="13.5" style="393" bestFit="1" customWidth="1"/>
    <col min="5380" max="5380" width="5.1640625" style="393" bestFit="1" customWidth="1"/>
    <col min="5381" max="5382" width="10.5" style="393" customWidth="1"/>
    <col min="5383" max="5422" width="9.5" style="393" bestFit="1" customWidth="1"/>
    <col min="5423" max="5632" width="9.1640625" style="393"/>
    <col min="5633" max="5633" width="10.1640625" style="393" bestFit="1" customWidth="1"/>
    <col min="5634" max="5634" width="8.5" style="393" bestFit="1" customWidth="1"/>
    <col min="5635" max="5635" width="13.5" style="393" bestFit="1" customWidth="1"/>
    <col min="5636" max="5636" width="5.1640625" style="393" bestFit="1" customWidth="1"/>
    <col min="5637" max="5638" width="10.5" style="393" customWidth="1"/>
    <col min="5639" max="5678" width="9.5" style="393" bestFit="1" customWidth="1"/>
    <col min="5679" max="5888" width="9.1640625" style="393"/>
    <col min="5889" max="5889" width="10.1640625" style="393" bestFit="1" customWidth="1"/>
    <col min="5890" max="5890" width="8.5" style="393" bestFit="1" customWidth="1"/>
    <col min="5891" max="5891" width="13.5" style="393" bestFit="1" customWidth="1"/>
    <col min="5892" max="5892" width="5.1640625" style="393" bestFit="1" customWidth="1"/>
    <col min="5893" max="5894" width="10.5" style="393" customWidth="1"/>
    <col min="5895" max="5934" width="9.5" style="393" bestFit="1" customWidth="1"/>
    <col min="5935" max="6144" width="9.1640625" style="393"/>
    <col min="6145" max="6145" width="10.1640625" style="393" bestFit="1" customWidth="1"/>
    <col min="6146" max="6146" width="8.5" style="393" bestFit="1" customWidth="1"/>
    <col min="6147" max="6147" width="13.5" style="393" bestFit="1" customWidth="1"/>
    <col min="6148" max="6148" width="5.1640625" style="393" bestFit="1" customWidth="1"/>
    <col min="6149" max="6150" width="10.5" style="393" customWidth="1"/>
    <col min="6151" max="6190" width="9.5" style="393" bestFit="1" customWidth="1"/>
    <col min="6191" max="6400" width="9.1640625" style="393"/>
    <col min="6401" max="6401" width="10.1640625" style="393" bestFit="1" customWidth="1"/>
    <col min="6402" max="6402" width="8.5" style="393" bestFit="1" customWidth="1"/>
    <col min="6403" max="6403" width="13.5" style="393" bestFit="1" customWidth="1"/>
    <col min="6404" max="6404" width="5.1640625" style="393" bestFit="1" customWidth="1"/>
    <col min="6405" max="6406" width="10.5" style="393" customWidth="1"/>
    <col min="6407" max="6446" width="9.5" style="393" bestFit="1" customWidth="1"/>
    <col min="6447" max="6656" width="9.1640625" style="393"/>
    <col min="6657" max="6657" width="10.1640625" style="393" bestFit="1" customWidth="1"/>
    <col min="6658" max="6658" width="8.5" style="393" bestFit="1" customWidth="1"/>
    <col min="6659" max="6659" width="13.5" style="393" bestFit="1" customWidth="1"/>
    <col min="6660" max="6660" width="5.1640625" style="393" bestFit="1" customWidth="1"/>
    <col min="6661" max="6662" width="10.5" style="393" customWidth="1"/>
    <col min="6663" max="6702" width="9.5" style="393" bestFit="1" customWidth="1"/>
    <col min="6703" max="6912" width="9.1640625" style="393"/>
    <col min="6913" max="6913" width="10.1640625" style="393" bestFit="1" customWidth="1"/>
    <col min="6914" max="6914" width="8.5" style="393" bestFit="1" customWidth="1"/>
    <col min="6915" max="6915" width="13.5" style="393" bestFit="1" customWidth="1"/>
    <col min="6916" max="6916" width="5.1640625" style="393" bestFit="1" customWidth="1"/>
    <col min="6917" max="6918" width="10.5" style="393" customWidth="1"/>
    <col min="6919" max="6958" width="9.5" style="393" bestFit="1" customWidth="1"/>
    <col min="6959" max="7168" width="9.1640625" style="393"/>
    <col min="7169" max="7169" width="10.1640625" style="393" bestFit="1" customWidth="1"/>
    <col min="7170" max="7170" width="8.5" style="393" bestFit="1" customWidth="1"/>
    <col min="7171" max="7171" width="13.5" style="393" bestFit="1" customWidth="1"/>
    <col min="7172" max="7172" width="5.1640625" style="393" bestFit="1" customWidth="1"/>
    <col min="7173" max="7174" width="10.5" style="393" customWidth="1"/>
    <col min="7175" max="7214" width="9.5" style="393" bestFit="1" customWidth="1"/>
    <col min="7215" max="7424" width="9.1640625" style="393"/>
    <col min="7425" max="7425" width="10.1640625" style="393" bestFit="1" customWidth="1"/>
    <col min="7426" max="7426" width="8.5" style="393" bestFit="1" customWidth="1"/>
    <col min="7427" max="7427" width="13.5" style="393" bestFit="1" customWidth="1"/>
    <col min="7428" max="7428" width="5.1640625" style="393" bestFit="1" customWidth="1"/>
    <col min="7429" max="7430" width="10.5" style="393" customWidth="1"/>
    <col min="7431" max="7470" width="9.5" style="393" bestFit="1" customWidth="1"/>
    <col min="7471" max="7680" width="9.1640625" style="393"/>
    <col min="7681" max="7681" width="10.1640625" style="393" bestFit="1" customWidth="1"/>
    <col min="7682" max="7682" width="8.5" style="393" bestFit="1" customWidth="1"/>
    <col min="7683" max="7683" width="13.5" style="393" bestFit="1" customWidth="1"/>
    <col min="7684" max="7684" width="5.1640625" style="393" bestFit="1" customWidth="1"/>
    <col min="7685" max="7686" width="10.5" style="393" customWidth="1"/>
    <col min="7687" max="7726" width="9.5" style="393" bestFit="1" customWidth="1"/>
    <col min="7727" max="7936" width="9.1640625" style="393"/>
    <col min="7937" max="7937" width="10.1640625" style="393" bestFit="1" customWidth="1"/>
    <col min="7938" max="7938" width="8.5" style="393" bestFit="1" customWidth="1"/>
    <col min="7939" max="7939" width="13.5" style="393" bestFit="1" customWidth="1"/>
    <col min="7940" max="7940" width="5.1640625" style="393" bestFit="1" customWidth="1"/>
    <col min="7941" max="7942" width="10.5" style="393" customWidth="1"/>
    <col min="7943" max="7982" width="9.5" style="393" bestFit="1" customWidth="1"/>
    <col min="7983" max="8192" width="9.1640625" style="393"/>
    <col min="8193" max="8193" width="10.1640625" style="393" bestFit="1" customWidth="1"/>
    <col min="8194" max="8194" width="8.5" style="393" bestFit="1" customWidth="1"/>
    <col min="8195" max="8195" width="13.5" style="393" bestFit="1" customWidth="1"/>
    <col min="8196" max="8196" width="5.1640625" style="393" bestFit="1" customWidth="1"/>
    <col min="8197" max="8198" width="10.5" style="393" customWidth="1"/>
    <col min="8199" max="8238" width="9.5" style="393" bestFit="1" customWidth="1"/>
    <col min="8239" max="8448" width="9.1640625" style="393"/>
    <col min="8449" max="8449" width="10.1640625" style="393" bestFit="1" customWidth="1"/>
    <col min="8450" max="8450" width="8.5" style="393" bestFit="1" customWidth="1"/>
    <col min="8451" max="8451" width="13.5" style="393" bestFit="1" customWidth="1"/>
    <col min="8452" max="8452" width="5.1640625" style="393" bestFit="1" customWidth="1"/>
    <col min="8453" max="8454" width="10.5" style="393" customWidth="1"/>
    <col min="8455" max="8494" width="9.5" style="393" bestFit="1" customWidth="1"/>
    <col min="8495" max="8704" width="9.1640625" style="393"/>
    <col min="8705" max="8705" width="10.1640625" style="393" bestFit="1" customWidth="1"/>
    <col min="8706" max="8706" width="8.5" style="393" bestFit="1" customWidth="1"/>
    <col min="8707" max="8707" width="13.5" style="393" bestFit="1" customWidth="1"/>
    <col min="8708" max="8708" width="5.1640625" style="393" bestFit="1" customWidth="1"/>
    <col min="8709" max="8710" width="10.5" style="393" customWidth="1"/>
    <col min="8711" max="8750" width="9.5" style="393" bestFit="1" customWidth="1"/>
    <col min="8751" max="8960" width="9.1640625" style="393"/>
    <col min="8961" max="8961" width="10.1640625" style="393" bestFit="1" customWidth="1"/>
    <col min="8962" max="8962" width="8.5" style="393" bestFit="1" customWidth="1"/>
    <col min="8963" max="8963" width="13.5" style="393" bestFit="1" customWidth="1"/>
    <col min="8964" max="8964" width="5.1640625" style="393" bestFit="1" customWidth="1"/>
    <col min="8965" max="8966" width="10.5" style="393" customWidth="1"/>
    <col min="8967" max="9006" width="9.5" style="393" bestFit="1" customWidth="1"/>
    <col min="9007" max="9216" width="9.1640625" style="393"/>
    <col min="9217" max="9217" width="10.1640625" style="393" bestFit="1" customWidth="1"/>
    <col min="9218" max="9218" width="8.5" style="393" bestFit="1" customWidth="1"/>
    <col min="9219" max="9219" width="13.5" style="393" bestFit="1" customWidth="1"/>
    <col min="9220" max="9220" width="5.1640625" style="393" bestFit="1" customWidth="1"/>
    <col min="9221" max="9222" width="10.5" style="393" customWidth="1"/>
    <col min="9223" max="9262" width="9.5" style="393" bestFit="1" customWidth="1"/>
    <col min="9263" max="9472" width="9.1640625" style="393"/>
    <col min="9473" max="9473" width="10.1640625" style="393" bestFit="1" customWidth="1"/>
    <col min="9474" max="9474" width="8.5" style="393" bestFit="1" customWidth="1"/>
    <col min="9475" max="9475" width="13.5" style="393" bestFit="1" customWidth="1"/>
    <col min="9476" max="9476" width="5.1640625" style="393" bestFit="1" customWidth="1"/>
    <col min="9477" max="9478" width="10.5" style="393" customWidth="1"/>
    <col min="9479" max="9518" width="9.5" style="393" bestFit="1" customWidth="1"/>
    <col min="9519" max="9728" width="9.1640625" style="393"/>
    <col min="9729" max="9729" width="10.1640625" style="393" bestFit="1" customWidth="1"/>
    <col min="9730" max="9730" width="8.5" style="393" bestFit="1" customWidth="1"/>
    <col min="9731" max="9731" width="13.5" style="393" bestFit="1" customWidth="1"/>
    <col min="9732" max="9732" width="5.1640625" style="393" bestFit="1" customWidth="1"/>
    <col min="9733" max="9734" width="10.5" style="393" customWidth="1"/>
    <col min="9735" max="9774" width="9.5" style="393" bestFit="1" customWidth="1"/>
    <col min="9775" max="9984" width="9.1640625" style="393"/>
    <col min="9985" max="9985" width="10.1640625" style="393" bestFit="1" customWidth="1"/>
    <col min="9986" max="9986" width="8.5" style="393" bestFit="1" customWidth="1"/>
    <col min="9987" max="9987" width="13.5" style="393" bestFit="1" customWidth="1"/>
    <col min="9988" max="9988" width="5.1640625" style="393" bestFit="1" customWidth="1"/>
    <col min="9989" max="9990" width="10.5" style="393" customWidth="1"/>
    <col min="9991" max="10030" width="9.5" style="393" bestFit="1" customWidth="1"/>
    <col min="10031" max="10240" width="9.1640625" style="393"/>
    <col min="10241" max="10241" width="10.1640625" style="393" bestFit="1" customWidth="1"/>
    <col min="10242" max="10242" width="8.5" style="393" bestFit="1" customWidth="1"/>
    <col min="10243" max="10243" width="13.5" style="393" bestFit="1" customWidth="1"/>
    <col min="10244" max="10244" width="5.1640625" style="393" bestFit="1" customWidth="1"/>
    <col min="10245" max="10246" width="10.5" style="393" customWidth="1"/>
    <col min="10247" max="10286" width="9.5" style="393" bestFit="1" customWidth="1"/>
    <col min="10287" max="10496" width="9.1640625" style="393"/>
    <col min="10497" max="10497" width="10.1640625" style="393" bestFit="1" customWidth="1"/>
    <col min="10498" max="10498" width="8.5" style="393" bestFit="1" customWidth="1"/>
    <col min="10499" max="10499" width="13.5" style="393" bestFit="1" customWidth="1"/>
    <col min="10500" max="10500" width="5.1640625" style="393" bestFit="1" customWidth="1"/>
    <col min="10501" max="10502" width="10.5" style="393" customWidth="1"/>
    <col min="10503" max="10542" width="9.5" style="393" bestFit="1" customWidth="1"/>
    <col min="10543" max="10752" width="9.1640625" style="393"/>
    <col min="10753" max="10753" width="10.1640625" style="393" bestFit="1" customWidth="1"/>
    <col min="10754" max="10754" width="8.5" style="393" bestFit="1" customWidth="1"/>
    <col min="10755" max="10755" width="13.5" style="393" bestFit="1" customWidth="1"/>
    <col min="10756" max="10756" width="5.1640625" style="393" bestFit="1" customWidth="1"/>
    <col min="10757" max="10758" width="10.5" style="393" customWidth="1"/>
    <col min="10759" max="10798" width="9.5" style="393" bestFit="1" customWidth="1"/>
    <col min="10799" max="11008" width="9.1640625" style="393"/>
    <col min="11009" max="11009" width="10.1640625" style="393" bestFit="1" customWidth="1"/>
    <col min="11010" max="11010" width="8.5" style="393" bestFit="1" customWidth="1"/>
    <col min="11011" max="11011" width="13.5" style="393" bestFit="1" customWidth="1"/>
    <col min="11012" max="11012" width="5.1640625" style="393" bestFit="1" customWidth="1"/>
    <col min="11013" max="11014" width="10.5" style="393" customWidth="1"/>
    <col min="11015" max="11054" width="9.5" style="393" bestFit="1" customWidth="1"/>
    <col min="11055" max="11264" width="9.1640625" style="393"/>
    <col min="11265" max="11265" width="10.1640625" style="393" bestFit="1" customWidth="1"/>
    <col min="11266" max="11266" width="8.5" style="393" bestFit="1" customWidth="1"/>
    <col min="11267" max="11267" width="13.5" style="393" bestFit="1" customWidth="1"/>
    <col min="11268" max="11268" width="5.1640625" style="393" bestFit="1" customWidth="1"/>
    <col min="11269" max="11270" width="10.5" style="393" customWidth="1"/>
    <col min="11271" max="11310" width="9.5" style="393" bestFit="1" customWidth="1"/>
    <col min="11311" max="11520" width="9.1640625" style="393"/>
    <col min="11521" max="11521" width="10.1640625" style="393" bestFit="1" customWidth="1"/>
    <col min="11522" max="11522" width="8.5" style="393" bestFit="1" customWidth="1"/>
    <col min="11523" max="11523" width="13.5" style="393" bestFit="1" customWidth="1"/>
    <col min="11524" max="11524" width="5.1640625" style="393" bestFit="1" customWidth="1"/>
    <col min="11525" max="11526" width="10.5" style="393" customWidth="1"/>
    <col min="11527" max="11566" width="9.5" style="393" bestFit="1" customWidth="1"/>
    <col min="11567" max="11776" width="9.1640625" style="393"/>
    <col min="11777" max="11777" width="10.1640625" style="393" bestFit="1" customWidth="1"/>
    <col min="11778" max="11778" width="8.5" style="393" bestFit="1" customWidth="1"/>
    <col min="11779" max="11779" width="13.5" style="393" bestFit="1" customWidth="1"/>
    <col min="11780" max="11780" width="5.1640625" style="393" bestFit="1" customWidth="1"/>
    <col min="11781" max="11782" width="10.5" style="393" customWidth="1"/>
    <col min="11783" max="11822" width="9.5" style="393" bestFit="1" customWidth="1"/>
    <col min="11823" max="12032" width="9.1640625" style="393"/>
    <col min="12033" max="12033" width="10.1640625" style="393" bestFit="1" customWidth="1"/>
    <col min="12034" max="12034" width="8.5" style="393" bestFit="1" customWidth="1"/>
    <col min="12035" max="12035" width="13.5" style="393" bestFit="1" customWidth="1"/>
    <col min="12036" max="12036" width="5.1640625" style="393" bestFit="1" customWidth="1"/>
    <col min="12037" max="12038" width="10.5" style="393" customWidth="1"/>
    <col min="12039" max="12078" width="9.5" style="393" bestFit="1" customWidth="1"/>
    <col min="12079" max="12288" width="9.1640625" style="393"/>
    <col min="12289" max="12289" width="10.1640625" style="393" bestFit="1" customWidth="1"/>
    <col min="12290" max="12290" width="8.5" style="393" bestFit="1" customWidth="1"/>
    <col min="12291" max="12291" width="13.5" style="393" bestFit="1" customWidth="1"/>
    <col min="12292" max="12292" width="5.1640625" style="393" bestFit="1" customWidth="1"/>
    <col min="12293" max="12294" width="10.5" style="393" customWidth="1"/>
    <col min="12295" max="12334" width="9.5" style="393" bestFit="1" customWidth="1"/>
    <col min="12335" max="12544" width="9.1640625" style="393"/>
    <col min="12545" max="12545" width="10.1640625" style="393" bestFit="1" customWidth="1"/>
    <col min="12546" max="12546" width="8.5" style="393" bestFit="1" customWidth="1"/>
    <col min="12547" max="12547" width="13.5" style="393" bestFit="1" customWidth="1"/>
    <col min="12548" max="12548" width="5.1640625" style="393" bestFit="1" customWidth="1"/>
    <col min="12549" max="12550" width="10.5" style="393" customWidth="1"/>
    <col min="12551" max="12590" width="9.5" style="393" bestFit="1" customWidth="1"/>
    <col min="12591" max="12800" width="9.1640625" style="393"/>
    <col min="12801" max="12801" width="10.1640625" style="393" bestFit="1" customWidth="1"/>
    <col min="12802" max="12802" width="8.5" style="393" bestFit="1" customWidth="1"/>
    <col min="12803" max="12803" width="13.5" style="393" bestFit="1" customWidth="1"/>
    <col min="12804" max="12804" width="5.1640625" style="393" bestFit="1" customWidth="1"/>
    <col min="12805" max="12806" width="10.5" style="393" customWidth="1"/>
    <col min="12807" max="12846" width="9.5" style="393" bestFit="1" customWidth="1"/>
    <col min="12847" max="13056" width="9.1640625" style="393"/>
    <col min="13057" max="13057" width="10.1640625" style="393" bestFit="1" customWidth="1"/>
    <col min="13058" max="13058" width="8.5" style="393" bestFit="1" customWidth="1"/>
    <col min="13059" max="13059" width="13.5" style="393" bestFit="1" customWidth="1"/>
    <col min="13060" max="13060" width="5.1640625" style="393" bestFit="1" customWidth="1"/>
    <col min="13061" max="13062" width="10.5" style="393" customWidth="1"/>
    <col min="13063" max="13102" width="9.5" style="393" bestFit="1" customWidth="1"/>
    <col min="13103" max="13312" width="9.1640625" style="393"/>
    <col min="13313" max="13313" width="10.1640625" style="393" bestFit="1" customWidth="1"/>
    <col min="13314" max="13314" width="8.5" style="393" bestFit="1" customWidth="1"/>
    <col min="13315" max="13315" width="13.5" style="393" bestFit="1" customWidth="1"/>
    <col min="13316" max="13316" width="5.1640625" style="393" bestFit="1" customWidth="1"/>
    <col min="13317" max="13318" width="10.5" style="393" customWidth="1"/>
    <col min="13319" max="13358" width="9.5" style="393" bestFit="1" customWidth="1"/>
    <col min="13359" max="13568" width="9.1640625" style="393"/>
    <col min="13569" max="13569" width="10.1640625" style="393" bestFit="1" customWidth="1"/>
    <col min="13570" max="13570" width="8.5" style="393" bestFit="1" customWidth="1"/>
    <col min="13571" max="13571" width="13.5" style="393" bestFit="1" customWidth="1"/>
    <col min="13572" max="13572" width="5.1640625" style="393" bestFit="1" customWidth="1"/>
    <col min="13573" max="13574" width="10.5" style="393" customWidth="1"/>
    <col min="13575" max="13614" width="9.5" style="393" bestFit="1" customWidth="1"/>
    <col min="13615" max="13824" width="9.1640625" style="393"/>
    <col min="13825" max="13825" width="10.1640625" style="393" bestFit="1" customWidth="1"/>
    <col min="13826" max="13826" width="8.5" style="393" bestFit="1" customWidth="1"/>
    <col min="13827" max="13827" width="13.5" style="393" bestFit="1" customWidth="1"/>
    <col min="13828" max="13828" width="5.1640625" style="393" bestFit="1" customWidth="1"/>
    <col min="13829" max="13830" width="10.5" style="393" customWidth="1"/>
    <col min="13831" max="13870" width="9.5" style="393" bestFit="1" customWidth="1"/>
    <col min="13871" max="14080" width="9.1640625" style="393"/>
    <col min="14081" max="14081" width="10.1640625" style="393" bestFit="1" customWidth="1"/>
    <col min="14082" max="14082" width="8.5" style="393" bestFit="1" customWidth="1"/>
    <col min="14083" max="14083" width="13.5" style="393" bestFit="1" customWidth="1"/>
    <col min="14084" max="14084" width="5.1640625" style="393" bestFit="1" customWidth="1"/>
    <col min="14085" max="14086" width="10.5" style="393" customWidth="1"/>
    <col min="14087" max="14126" width="9.5" style="393" bestFit="1" customWidth="1"/>
    <col min="14127" max="14336" width="9.1640625" style="393"/>
    <col min="14337" max="14337" width="10.1640625" style="393" bestFit="1" customWidth="1"/>
    <col min="14338" max="14338" width="8.5" style="393" bestFit="1" customWidth="1"/>
    <col min="14339" max="14339" width="13.5" style="393" bestFit="1" customWidth="1"/>
    <col min="14340" max="14340" width="5.1640625" style="393" bestFit="1" customWidth="1"/>
    <col min="14341" max="14342" width="10.5" style="393" customWidth="1"/>
    <col min="14343" max="14382" width="9.5" style="393" bestFit="1" customWidth="1"/>
    <col min="14383" max="14592" width="9.1640625" style="393"/>
    <col min="14593" max="14593" width="10.1640625" style="393" bestFit="1" customWidth="1"/>
    <col min="14594" max="14594" width="8.5" style="393" bestFit="1" customWidth="1"/>
    <col min="14595" max="14595" width="13.5" style="393" bestFit="1" customWidth="1"/>
    <col min="14596" max="14596" width="5.1640625" style="393" bestFit="1" customWidth="1"/>
    <col min="14597" max="14598" width="10.5" style="393" customWidth="1"/>
    <col min="14599" max="14638" width="9.5" style="393" bestFit="1" customWidth="1"/>
    <col min="14639" max="14848" width="9.1640625" style="393"/>
    <col min="14849" max="14849" width="10.1640625" style="393" bestFit="1" customWidth="1"/>
    <col min="14850" max="14850" width="8.5" style="393" bestFit="1" customWidth="1"/>
    <col min="14851" max="14851" width="13.5" style="393" bestFit="1" customWidth="1"/>
    <col min="14852" max="14852" width="5.1640625" style="393" bestFit="1" customWidth="1"/>
    <col min="14853" max="14854" width="10.5" style="393" customWidth="1"/>
    <col min="14855" max="14894" width="9.5" style="393" bestFit="1" customWidth="1"/>
    <col min="14895" max="15104" width="9.1640625" style="393"/>
    <col min="15105" max="15105" width="10.1640625" style="393" bestFit="1" customWidth="1"/>
    <col min="15106" max="15106" width="8.5" style="393" bestFit="1" customWidth="1"/>
    <col min="15107" max="15107" width="13.5" style="393" bestFit="1" customWidth="1"/>
    <col min="15108" max="15108" width="5.1640625" style="393" bestFit="1" customWidth="1"/>
    <col min="15109" max="15110" width="10.5" style="393" customWidth="1"/>
    <col min="15111" max="15150" width="9.5" style="393" bestFit="1" customWidth="1"/>
    <col min="15151" max="15360" width="9.1640625" style="393"/>
    <col min="15361" max="15361" width="10.1640625" style="393" bestFit="1" customWidth="1"/>
    <col min="15362" max="15362" width="8.5" style="393" bestFit="1" customWidth="1"/>
    <col min="15363" max="15363" width="13.5" style="393" bestFit="1" customWidth="1"/>
    <col min="15364" max="15364" width="5.1640625" style="393" bestFit="1" customWidth="1"/>
    <col min="15365" max="15366" width="10.5" style="393" customWidth="1"/>
    <col min="15367" max="15406" width="9.5" style="393" bestFit="1" customWidth="1"/>
    <col min="15407" max="15616" width="9.1640625" style="393"/>
    <col min="15617" max="15617" width="10.1640625" style="393" bestFit="1" customWidth="1"/>
    <col min="15618" max="15618" width="8.5" style="393" bestFit="1" customWidth="1"/>
    <col min="15619" max="15619" width="13.5" style="393" bestFit="1" customWidth="1"/>
    <col min="15620" max="15620" width="5.1640625" style="393" bestFit="1" customWidth="1"/>
    <col min="15621" max="15622" width="10.5" style="393" customWidth="1"/>
    <col min="15623" max="15662" width="9.5" style="393" bestFit="1" customWidth="1"/>
    <col min="15663" max="15872" width="9.1640625" style="393"/>
    <col min="15873" max="15873" width="10.1640625" style="393" bestFit="1" customWidth="1"/>
    <col min="15874" max="15874" width="8.5" style="393" bestFit="1" customWidth="1"/>
    <col min="15875" max="15875" width="13.5" style="393" bestFit="1" customWidth="1"/>
    <col min="15876" max="15876" width="5.1640625" style="393" bestFit="1" customWidth="1"/>
    <col min="15877" max="15878" width="10.5" style="393" customWidth="1"/>
    <col min="15879" max="15918" width="9.5" style="393" bestFit="1" customWidth="1"/>
    <col min="15919" max="16128" width="9.1640625" style="393"/>
    <col min="16129" max="16129" width="10.1640625" style="393" bestFit="1" customWidth="1"/>
    <col min="16130" max="16130" width="8.5" style="393" bestFit="1" customWidth="1"/>
    <col min="16131" max="16131" width="13.5" style="393" bestFit="1" customWidth="1"/>
    <col min="16132" max="16132" width="5.1640625" style="393" bestFit="1" customWidth="1"/>
    <col min="16133" max="16134" width="10.5" style="393" customWidth="1"/>
    <col min="16135" max="16174" width="9.5" style="393" bestFit="1" customWidth="1"/>
    <col min="16175" max="16384" width="9.1640625" style="393"/>
  </cols>
  <sheetData>
    <row r="3" spans="1:45">
      <c r="A3" s="394"/>
      <c r="B3" s="412"/>
      <c r="C3" s="415"/>
      <c r="D3" s="414" t="s">
        <v>573</v>
      </c>
      <c r="E3" s="413"/>
      <c r="F3" s="413"/>
      <c r="G3" s="412"/>
      <c r="H3" s="412"/>
      <c r="I3" s="412"/>
      <c r="J3" s="412"/>
      <c r="K3" s="412"/>
      <c r="L3" s="412"/>
      <c r="M3" s="412"/>
      <c r="N3" s="412"/>
      <c r="O3" s="412"/>
      <c r="P3" s="412"/>
      <c r="Q3" s="412"/>
      <c r="R3" s="412"/>
      <c r="S3" s="412"/>
      <c r="T3" s="412"/>
      <c r="U3" s="412"/>
      <c r="V3" s="412"/>
      <c r="W3" s="412"/>
      <c r="X3" s="412"/>
      <c r="Y3" s="412"/>
      <c r="Z3" s="412"/>
      <c r="AA3" s="412"/>
      <c r="AB3" s="412"/>
      <c r="AC3" s="412"/>
      <c r="AD3" s="412"/>
      <c r="AE3" s="412"/>
      <c r="AF3" s="412"/>
      <c r="AG3" s="412"/>
      <c r="AH3" s="412"/>
      <c r="AI3" s="412"/>
      <c r="AJ3" s="412"/>
      <c r="AK3" s="412"/>
      <c r="AL3" s="412"/>
      <c r="AM3" s="412"/>
      <c r="AN3" s="412"/>
      <c r="AO3" s="412"/>
      <c r="AP3" s="412"/>
      <c r="AQ3" s="412"/>
      <c r="AR3" s="412"/>
      <c r="AS3" s="412"/>
    </row>
    <row r="4" spans="1:45" ht="30">
      <c r="B4" s="411" t="s">
        <v>3</v>
      </c>
      <c r="C4" s="411" t="s">
        <v>205</v>
      </c>
      <c r="D4" s="411" t="s">
        <v>572</v>
      </c>
      <c r="E4" s="410">
        <v>2010</v>
      </c>
      <c r="F4" s="410">
        <v>2011</v>
      </c>
      <c r="G4" s="410">
        <v>2012</v>
      </c>
      <c r="H4" s="410">
        <v>2013</v>
      </c>
      <c r="I4" s="410">
        <v>2014</v>
      </c>
      <c r="J4" s="410">
        <v>2015</v>
      </c>
      <c r="K4" s="410">
        <v>2016</v>
      </c>
      <c r="L4" s="410">
        <v>2017</v>
      </c>
      <c r="M4" s="410">
        <v>2018</v>
      </c>
      <c r="N4" s="410">
        <v>2019</v>
      </c>
      <c r="O4" s="410">
        <v>2020</v>
      </c>
      <c r="P4" s="410">
        <v>2021</v>
      </c>
      <c r="Q4" s="410">
        <v>2022</v>
      </c>
      <c r="R4" s="410">
        <v>2023</v>
      </c>
      <c r="S4" s="410">
        <v>2024</v>
      </c>
      <c r="T4" s="410">
        <v>2025</v>
      </c>
      <c r="U4" s="410">
        <v>2026</v>
      </c>
      <c r="V4" s="410">
        <v>2027</v>
      </c>
      <c r="W4" s="410">
        <v>2028</v>
      </c>
      <c r="X4" s="410">
        <v>2029</v>
      </c>
      <c r="Y4" s="410">
        <v>2030</v>
      </c>
      <c r="Z4" s="410">
        <v>2031</v>
      </c>
      <c r="AA4" s="410">
        <v>2032</v>
      </c>
      <c r="AB4" s="410">
        <v>2033</v>
      </c>
      <c r="AC4" s="410">
        <v>2034</v>
      </c>
      <c r="AD4" s="410">
        <v>2035</v>
      </c>
      <c r="AE4" s="410">
        <v>2036</v>
      </c>
      <c r="AF4" s="410">
        <v>2037</v>
      </c>
      <c r="AG4" s="410">
        <v>2038</v>
      </c>
      <c r="AH4" s="410">
        <v>2039</v>
      </c>
      <c r="AI4" s="410">
        <v>2040</v>
      </c>
      <c r="AJ4" s="410">
        <v>2041</v>
      </c>
      <c r="AK4" s="410">
        <v>2042</v>
      </c>
      <c r="AL4" s="410">
        <v>2043</v>
      </c>
      <c r="AM4" s="410">
        <v>2044</v>
      </c>
      <c r="AN4" s="410">
        <v>2045</v>
      </c>
      <c r="AO4" s="410">
        <v>2046</v>
      </c>
      <c r="AP4" s="410">
        <v>2047</v>
      </c>
      <c r="AQ4" s="410">
        <v>2048</v>
      </c>
      <c r="AR4" s="410">
        <v>2049</v>
      </c>
      <c r="AS4" s="410">
        <v>2050</v>
      </c>
    </row>
    <row r="5" spans="1:45" ht="25" thickBot="1">
      <c r="B5" s="421" t="s">
        <v>571</v>
      </c>
      <c r="C5" s="420" t="s">
        <v>207</v>
      </c>
      <c r="D5" s="420"/>
      <c r="E5" s="419" t="s">
        <v>594</v>
      </c>
      <c r="F5" s="419" t="s">
        <v>594</v>
      </c>
      <c r="G5" s="419" t="s">
        <v>594</v>
      </c>
      <c r="H5" s="419" t="s">
        <v>594</v>
      </c>
      <c r="I5" s="419" t="s">
        <v>594</v>
      </c>
      <c r="J5" s="419" t="s">
        <v>594</v>
      </c>
      <c r="K5" s="419" t="s">
        <v>594</v>
      </c>
      <c r="L5" s="419" t="s">
        <v>594</v>
      </c>
      <c r="M5" s="419" t="s">
        <v>594</v>
      </c>
      <c r="N5" s="419" t="s">
        <v>594</v>
      </c>
      <c r="O5" s="419" t="s">
        <v>594</v>
      </c>
      <c r="P5" s="419" t="s">
        <v>594</v>
      </c>
      <c r="Q5" s="419" t="s">
        <v>594</v>
      </c>
      <c r="R5" s="419" t="s">
        <v>594</v>
      </c>
      <c r="S5" s="419" t="s">
        <v>594</v>
      </c>
      <c r="T5" s="419" t="s">
        <v>594</v>
      </c>
      <c r="U5" s="419" t="s">
        <v>594</v>
      </c>
      <c r="V5" s="419" t="s">
        <v>594</v>
      </c>
      <c r="W5" s="419" t="s">
        <v>594</v>
      </c>
      <c r="X5" s="419" t="s">
        <v>594</v>
      </c>
      <c r="Y5" s="419" t="s">
        <v>594</v>
      </c>
      <c r="Z5" s="419" t="s">
        <v>594</v>
      </c>
      <c r="AA5" s="419" t="s">
        <v>594</v>
      </c>
      <c r="AB5" s="419" t="s">
        <v>594</v>
      </c>
      <c r="AC5" s="419" t="s">
        <v>594</v>
      </c>
      <c r="AD5" s="419" t="s">
        <v>594</v>
      </c>
      <c r="AE5" s="419" t="s">
        <v>594</v>
      </c>
      <c r="AF5" s="419" t="s">
        <v>594</v>
      </c>
      <c r="AG5" s="419" t="s">
        <v>594</v>
      </c>
      <c r="AH5" s="419" t="s">
        <v>594</v>
      </c>
      <c r="AI5" s="419" t="s">
        <v>594</v>
      </c>
      <c r="AJ5" s="419" t="s">
        <v>594</v>
      </c>
      <c r="AK5" s="419" t="s">
        <v>594</v>
      </c>
      <c r="AL5" s="419" t="s">
        <v>594</v>
      </c>
      <c r="AM5" s="419" t="s">
        <v>594</v>
      </c>
      <c r="AN5" s="419" t="s">
        <v>594</v>
      </c>
      <c r="AO5" s="419" t="s">
        <v>594</v>
      </c>
      <c r="AP5" s="419" t="s">
        <v>594</v>
      </c>
      <c r="AQ5" s="419" t="s">
        <v>594</v>
      </c>
      <c r="AR5" s="419" t="s">
        <v>594</v>
      </c>
      <c r="AS5" s="419" t="s">
        <v>594</v>
      </c>
    </row>
    <row r="6" spans="1:45">
      <c r="B6" s="416" t="s">
        <v>340</v>
      </c>
      <c r="C6" s="418" t="s">
        <v>206</v>
      </c>
      <c r="D6" s="416" t="s">
        <v>570</v>
      </c>
      <c r="E6" s="417">
        <f>E11/1000</f>
        <v>0.12956999999999999</v>
      </c>
      <c r="F6" s="417">
        <f t="shared" ref="F6:AS6" si="0">F11/1000</f>
        <v>0.11647</v>
      </c>
      <c r="G6" s="417">
        <f t="shared" si="0"/>
        <v>6.2899999999999998E-2</v>
      </c>
      <c r="H6" s="417">
        <f t="shared" si="0"/>
        <v>3.49E-2</v>
      </c>
      <c r="I6" s="417">
        <f t="shared" si="0"/>
        <v>4.4400000000000002E-2</v>
      </c>
      <c r="J6" s="417">
        <f t="shared" si="0"/>
        <v>5.5600000000000004E-2</v>
      </c>
      <c r="K6" s="417">
        <f t="shared" si="0"/>
        <v>3.9340524000000002E-2</v>
      </c>
      <c r="L6" s="417">
        <f t="shared" si="0"/>
        <v>4.0423484119345515E-2</v>
      </c>
      <c r="M6" s="417">
        <f t="shared" si="0"/>
        <v>4.1385948026948984E-2</v>
      </c>
      <c r="N6" s="417">
        <f t="shared" si="0"/>
        <v>0.19574638834999999</v>
      </c>
      <c r="O6" s="417">
        <f t="shared" si="0"/>
        <v>0.21442575100000003</v>
      </c>
      <c r="P6" s="417">
        <f t="shared" si="0"/>
        <v>0.25416623663429561</v>
      </c>
      <c r="Q6" s="417">
        <f t="shared" si="0"/>
        <v>0.26172203669931476</v>
      </c>
      <c r="R6" s="417">
        <f t="shared" si="0"/>
        <v>0.26950235137821066</v>
      </c>
      <c r="S6" s="417">
        <f t="shared" si="0"/>
        <v>0.27751395555810943</v>
      </c>
      <c r="T6" s="417">
        <f t="shared" si="0"/>
        <v>0.28576379564226695</v>
      </c>
      <c r="U6" s="417">
        <f t="shared" si="0"/>
        <v>0.29425881803393916</v>
      </c>
      <c r="V6" s="417">
        <f t="shared" si="0"/>
        <v>0.30300639792670647</v>
      </c>
      <c r="W6" s="417">
        <f t="shared" si="0"/>
        <v>0.31201399627221399</v>
      </c>
      <c r="X6" s="417">
        <f t="shared" si="0"/>
        <v>0.3212894170543667</v>
      </c>
      <c r="Y6" s="417">
        <f t="shared" si="0"/>
        <v>0.33084055001513429</v>
      </c>
      <c r="Z6" s="417">
        <f t="shared" si="0"/>
        <v>0.33084055001513429</v>
      </c>
      <c r="AA6" s="417">
        <f t="shared" si="0"/>
        <v>0.33084055001513429</v>
      </c>
      <c r="AB6" s="417">
        <f t="shared" si="0"/>
        <v>0.33084055001513429</v>
      </c>
      <c r="AC6" s="417">
        <f t="shared" si="0"/>
        <v>0.33084055001513429</v>
      </c>
      <c r="AD6" s="417">
        <f t="shared" si="0"/>
        <v>0.33274508650000001</v>
      </c>
      <c r="AE6" s="417">
        <f t="shared" si="0"/>
        <v>0.3426367495</v>
      </c>
      <c r="AF6" s="417">
        <f t="shared" si="0"/>
        <v>0.35282246399999995</v>
      </c>
      <c r="AG6" s="417">
        <f t="shared" si="0"/>
        <v>0.36331102099999996</v>
      </c>
      <c r="AH6" s="417">
        <f t="shared" si="0"/>
        <v>0.37411136049999999</v>
      </c>
      <c r="AI6" s="417">
        <f t="shared" si="0"/>
        <v>0.38523279500000002</v>
      </c>
      <c r="AJ6" s="417">
        <f t="shared" si="0"/>
        <v>0.39416080050000002</v>
      </c>
      <c r="AK6" s="417">
        <f t="shared" si="0"/>
        <v>0.40308880599999997</v>
      </c>
      <c r="AL6" s="417">
        <f t="shared" si="0"/>
        <v>0.41201681149999997</v>
      </c>
      <c r="AM6" s="417">
        <f t="shared" si="0"/>
        <v>0.42094481699999997</v>
      </c>
      <c r="AN6" s="417">
        <f t="shared" si="0"/>
        <v>0.42987282249999992</v>
      </c>
      <c r="AO6" s="417">
        <f t="shared" si="0"/>
        <v>0.43880082799999992</v>
      </c>
      <c r="AP6" s="417">
        <f t="shared" si="0"/>
        <v>0.44772883349999987</v>
      </c>
      <c r="AQ6" s="417">
        <f t="shared" si="0"/>
        <v>0.45665683899999987</v>
      </c>
      <c r="AR6" s="417">
        <f t="shared" si="0"/>
        <v>0.46558484449999987</v>
      </c>
      <c r="AS6" s="417">
        <f t="shared" si="0"/>
        <v>0.47451284999999982</v>
      </c>
    </row>
    <row r="7" spans="1:45">
      <c r="B7" s="416" t="s">
        <v>338</v>
      </c>
      <c r="C7" s="418" t="s">
        <v>206</v>
      </c>
      <c r="D7" s="416" t="s">
        <v>570</v>
      </c>
      <c r="E7" s="417">
        <f>E24/1000</f>
        <v>0.16369999999999998</v>
      </c>
      <c r="F7" s="417">
        <f t="shared" ref="F7:AS7" si="1">F24/1000</f>
        <v>0.16569999999999999</v>
      </c>
      <c r="G7" s="417">
        <f t="shared" si="1"/>
        <v>0.1648</v>
      </c>
      <c r="H7" s="417">
        <f t="shared" si="1"/>
        <v>0.16500000000000001</v>
      </c>
      <c r="I7" s="417">
        <f t="shared" si="1"/>
        <v>0.16689999999999999</v>
      </c>
      <c r="J7" s="417">
        <f t="shared" si="1"/>
        <v>0.16819999999999999</v>
      </c>
      <c r="K7" s="417">
        <f t="shared" si="1"/>
        <v>0.1677346232179226</v>
      </c>
      <c r="L7" s="417">
        <f t="shared" si="1"/>
        <v>0.1677346232179226</v>
      </c>
      <c r="M7" s="417">
        <f t="shared" si="1"/>
        <v>0.1677346232179226</v>
      </c>
      <c r="N7" s="417">
        <f t="shared" si="1"/>
        <v>0.19574638834999999</v>
      </c>
      <c r="O7" s="417">
        <f t="shared" si="1"/>
        <v>0.21442575100000003</v>
      </c>
      <c r="P7" s="417">
        <f t="shared" si="1"/>
        <v>0.22080004550000001</v>
      </c>
      <c r="Q7" s="417">
        <f t="shared" si="1"/>
        <v>0.2273639425</v>
      </c>
      <c r="R7" s="417">
        <f t="shared" si="1"/>
        <v>0.23412288050000002</v>
      </c>
      <c r="S7" s="417">
        <f t="shared" si="1"/>
        <v>0.24108274500000001</v>
      </c>
      <c r="T7" s="417">
        <f t="shared" si="1"/>
        <v>0.24824957050000004</v>
      </c>
      <c r="U7" s="417">
        <f t="shared" si="1"/>
        <v>0.25562939149999997</v>
      </c>
      <c r="V7" s="417">
        <f t="shared" si="1"/>
        <v>0.26322861500000005</v>
      </c>
      <c r="W7" s="417">
        <f t="shared" si="1"/>
        <v>0.27105372249999998</v>
      </c>
      <c r="X7" s="417">
        <f t="shared" si="1"/>
        <v>0.27911149349999997</v>
      </c>
      <c r="Y7" s="417">
        <f t="shared" si="1"/>
        <v>0.28740878200000003</v>
      </c>
      <c r="Z7" s="417">
        <f t="shared" si="1"/>
        <v>0.29595273999999999</v>
      </c>
      <c r="AA7" s="417">
        <f t="shared" si="1"/>
        <v>0.30475066849999999</v>
      </c>
      <c r="AB7" s="417">
        <f t="shared" si="1"/>
        <v>0.31381016649999999</v>
      </c>
      <c r="AC7" s="417">
        <f t="shared" si="1"/>
        <v>0.32313898200000007</v>
      </c>
      <c r="AD7" s="417">
        <f t="shared" si="1"/>
        <v>0.33274508650000001</v>
      </c>
      <c r="AE7" s="417">
        <f t="shared" si="1"/>
        <v>0.3426367495</v>
      </c>
      <c r="AF7" s="417">
        <f t="shared" si="1"/>
        <v>0.35282246399999995</v>
      </c>
      <c r="AG7" s="417">
        <f t="shared" si="1"/>
        <v>0.36331102099999996</v>
      </c>
      <c r="AH7" s="417">
        <f t="shared" si="1"/>
        <v>0.37411136049999999</v>
      </c>
      <c r="AI7" s="417">
        <f t="shared" si="1"/>
        <v>0.38523279500000002</v>
      </c>
      <c r="AJ7" s="417">
        <f t="shared" si="1"/>
        <v>0.39416080050000002</v>
      </c>
      <c r="AK7" s="417">
        <f t="shared" si="1"/>
        <v>0.40308880599999997</v>
      </c>
      <c r="AL7" s="417">
        <f t="shared" si="1"/>
        <v>0.41201681149999997</v>
      </c>
      <c r="AM7" s="417">
        <f t="shared" si="1"/>
        <v>0.42094481699999997</v>
      </c>
      <c r="AN7" s="417">
        <f t="shared" si="1"/>
        <v>0.42987282249999992</v>
      </c>
      <c r="AO7" s="417">
        <f t="shared" si="1"/>
        <v>0.43880082799999992</v>
      </c>
      <c r="AP7" s="417">
        <f t="shared" si="1"/>
        <v>0.44772883349999987</v>
      </c>
      <c r="AQ7" s="417">
        <f t="shared" si="1"/>
        <v>0.45665683899999987</v>
      </c>
      <c r="AR7" s="417">
        <f t="shared" si="1"/>
        <v>0.46558484449999987</v>
      </c>
      <c r="AS7" s="417">
        <f t="shared" si="1"/>
        <v>0.47451284999999982</v>
      </c>
    </row>
    <row r="8" spans="1:45">
      <c r="B8" s="404"/>
      <c r="C8" s="404"/>
      <c r="D8" s="404"/>
      <c r="E8" s="404"/>
      <c r="F8" s="404"/>
      <c r="G8" s="404"/>
      <c r="H8" s="404"/>
      <c r="I8" s="404"/>
      <c r="J8" s="404"/>
      <c r="K8" s="404"/>
      <c r="L8" s="404"/>
      <c r="M8" s="404"/>
      <c r="N8" s="404"/>
      <c r="O8" s="404"/>
      <c r="P8" s="404"/>
      <c r="Q8" s="404"/>
      <c r="R8" s="404"/>
      <c r="S8" s="404"/>
      <c r="T8" s="404"/>
      <c r="U8" s="404"/>
      <c r="V8" s="404"/>
      <c r="W8" s="404"/>
      <c r="X8" s="404"/>
      <c r="Y8" s="404"/>
      <c r="Z8" s="404"/>
      <c r="AA8" s="404"/>
      <c r="AB8" s="404"/>
      <c r="AC8" s="404"/>
      <c r="AD8" s="404"/>
      <c r="AE8" s="404"/>
      <c r="AF8" s="404"/>
      <c r="AG8" s="404"/>
      <c r="AH8" s="404"/>
      <c r="AI8" s="404"/>
      <c r="AJ8" s="404"/>
      <c r="AK8" s="404"/>
      <c r="AL8" s="404"/>
      <c r="AM8" s="404"/>
      <c r="AN8" s="404"/>
      <c r="AO8" s="404"/>
      <c r="AP8" s="404"/>
      <c r="AQ8" s="404"/>
      <c r="AR8" s="404"/>
      <c r="AS8" s="404"/>
    </row>
    <row r="9" spans="1:45" ht="16" thickBot="1">
      <c r="B9" s="404"/>
      <c r="C9" s="404"/>
      <c r="D9" s="404"/>
      <c r="E9" s="404"/>
      <c r="F9" s="404"/>
      <c r="G9" s="404"/>
      <c r="H9" s="404"/>
      <c r="I9" s="404"/>
      <c r="J9" s="404"/>
      <c r="K9" s="404"/>
      <c r="L9" s="404"/>
      <c r="M9" s="404"/>
      <c r="N9" s="404"/>
      <c r="O9" s="404"/>
      <c r="P9" s="404"/>
      <c r="Q9" s="404"/>
      <c r="R9" s="404"/>
      <c r="S9" s="404"/>
      <c r="T9" s="404"/>
      <c r="U9" s="404"/>
      <c r="V9" s="404"/>
      <c r="W9" s="404"/>
      <c r="X9" s="404"/>
      <c r="Y9" s="404"/>
      <c r="Z9" s="404"/>
      <c r="AA9" s="404"/>
      <c r="AB9" s="404"/>
      <c r="AC9" s="404"/>
      <c r="AD9" s="404"/>
      <c r="AE9" s="404"/>
      <c r="AF9" s="404"/>
      <c r="AG9" s="404"/>
      <c r="AH9" s="404"/>
      <c r="AI9" s="404"/>
      <c r="AJ9" s="404"/>
      <c r="AK9" s="404"/>
      <c r="AL9" s="404"/>
      <c r="AM9" s="404"/>
      <c r="AN9" s="404"/>
      <c r="AO9" s="404"/>
      <c r="AP9" s="404"/>
      <c r="AQ9" s="404"/>
      <c r="AR9" s="404"/>
      <c r="AS9" s="404"/>
    </row>
    <row r="10" spans="1:45">
      <c r="B10" s="492" t="s">
        <v>609</v>
      </c>
      <c r="C10" s="493"/>
      <c r="D10" s="494"/>
      <c r="E10" s="495">
        <v>2010</v>
      </c>
      <c r="F10" s="495">
        <v>2011</v>
      </c>
      <c r="G10" s="495">
        <v>2012</v>
      </c>
      <c r="H10" s="495">
        <v>2013</v>
      </c>
      <c r="I10" s="495">
        <v>2014</v>
      </c>
      <c r="J10" s="495">
        <v>2015</v>
      </c>
      <c r="K10" s="495">
        <v>2016</v>
      </c>
      <c r="L10" s="495">
        <v>2017</v>
      </c>
      <c r="M10" s="495">
        <v>2018</v>
      </c>
      <c r="N10" s="495">
        <v>2019</v>
      </c>
      <c r="O10" s="495">
        <v>2020</v>
      </c>
      <c r="P10" s="495">
        <v>2021</v>
      </c>
      <c r="Q10" s="495">
        <v>2022</v>
      </c>
      <c r="R10" s="495">
        <v>2023</v>
      </c>
      <c r="S10" s="495">
        <v>2024</v>
      </c>
      <c r="T10" s="495">
        <v>2025</v>
      </c>
      <c r="U10" s="495">
        <v>2026</v>
      </c>
      <c r="V10" s="495">
        <v>2027</v>
      </c>
      <c r="W10" s="495">
        <v>2028</v>
      </c>
      <c r="X10" s="495">
        <v>2029</v>
      </c>
      <c r="Y10" s="495">
        <v>2030</v>
      </c>
      <c r="Z10" s="495">
        <v>2031</v>
      </c>
      <c r="AA10" s="495">
        <v>2032</v>
      </c>
      <c r="AB10" s="495">
        <v>2033</v>
      </c>
      <c r="AC10" s="495">
        <v>2034</v>
      </c>
      <c r="AD10" s="495">
        <v>2035</v>
      </c>
      <c r="AE10" s="495">
        <v>2036</v>
      </c>
      <c r="AF10" s="495">
        <v>2037</v>
      </c>
      <c r="AG10" s="495">
        <v>2038</v>
      </c>
      <c r="AH10" s="495">
        <v>2039</v>
      </c>
      <c r="AI10" s="495">
        <v>2040</v>
      </c>
      <c r="AJ10" s="495">
        <v>2041</v>
      </c>
      <c r="AK10" s="495">
        <v>2042</v>
      </c>
      <c r="AL10" s="495">
        <v>2043</v>
      </c>
      <c r="AM10" s="495">
        <v>2044</v>
      </c>
      <c r="AN10" s="495">
        <v>2045</v>
      </c>
      <c r="AO10" s="495">
        <v>2046</v>
      </c>
      <c r="AP10" s="495">
        <v>2047</v>
      </c>
      <c r="AQ10" s="495">
        <v>2048</v>
      </c>
      <c r="AR10" s="495">
        <v>2049</v>
      </c>
      <c r="AS10" s="496">
        <v>2050</v>
      </c>
    </row>
    <row r="11" spans="1:45">
      <c r="B11" s="497" t="s">
        <v>610</v>
      </c>
      <c r="C11" s="498"/>
      <c r="D11" s="498"/>
      <c r="E11" s="498">
        <v>129.57</v>
      </c>
      <c r="F11" s="498">
        <v>116.47</v>
      </c>
      <c r="G11" s="498">
        <v>62.9</v>
      </c>
      <c r="H11" s="498">
        <v>34.9</v>
      </c>
      <c r="I11" s="498">
        <v>44.4</v>
      </c>
      <c r="J11" s="498">
        <v>55.6</v>
      </c>
      <c r="K11" s="498">
        <v>39.340524000000002</v>
      </c>
      <c r="L11" s="499">
        <f>L32</f>
        <v>40.423484119345517</v>
      </c>
      <c r="M11" s="499">
        <f t="shared" ref="M11" si="2">M32</f>
        <v>41.385948026948981</v>
      </c>
      <c r="N11" s="584">
        <v>195.74638834999999</v>
      </c>
      <c r="O11" s="584">
        <v>214.42575100000002</v>
      </c>
      <c r="P11" s="584">
        <v>254.16623663429559</v>
      </c>
      <c r="Q11" s="584">
        <v>261.72203669931474</v>
      </c>
      <c r="R11" s="584">
        <v>269.50235137821068</v>
      </c>
      <c r="S11" s="584">
        <v>277.51395555810944</v>
      </c>
      <c r="T11" s="584">
        <v>285.76379564226693</v>
      </c>
      <c r="U11" s="584">
        <v>294.25881803393918</v>
      </c>
      <c r="V11" s="584">
        <v>303.00639792670648</v>
      </c>
      <c r="W11" s="584">
        <v>312.013996272214</v>
      </c>
      <c r="X11" s="584">
        <v>321.28941705436671</v>
      </c>
      <c r="Y11" s="584">
        <v>330.84055001513428</v>
      </c>
      <c r="Z11" s="584">
        <v>330.84055001513428</v>
      </c>
      <c r="AA11" s="584">
        <v>330.84055001513428</v>
      </c>
      <c r="AB11" s="584">
        <v>330.84055001513428</v>
      </c>
      <c r="AC11" s="584">
        <v>330.84055001513428</v>
      </c>
      <c r="AD11" s="584">
        <v>332.74508650000001</v>
      </c>
      <c r="AE11" s="584">
        <v>342.63674950000001</v>
      </c>
      <c r="AF11" s="584">
        <v>352.82246399999997</v>
      </c>
      <c r="AG11" s="584">
        <v>363.31102099999998</v>
      </c>
      <c r="AH11" s="584">
        <v>374.11136049999999</v>
      </c>
      <c r="AI11" s="583">
        <v>385.23279500000001</v>
      </c>
      <c r="AJ11" s="583">
        <f>($AI$24-$Z$24)/10+AI11</f>
        <v>394.16080049999999</v>
      </c>
      <c r="AK11" s="583">
        <f t="shared" ref="AK11:AS11" si="3">($AI$24-$Z$24)/10+AJ11</f>
        <v>403.08880599999998</v>
      </c>
      <c r="AL11" s="583">
        <f t="shared" si="3"/>
        <v>412.01681149999996</v>
      </c>
      <c r="AM11" s="583">
        <f t="shared" si="3"/>
        <v>420.94481699999994</v>
      </c>
      <c r="AN11" s="583">
        <f t="shared" si="3"/>
        <v>429.87282249999993</v>
      </c>
      <c r="AO11" s="583">
        <f t="shared" si="3"/>
        <v>438.80082799999991</v>
      </c>
      <c r="AP11" s="583">
        <f t="shared" si="3"/>
        <v>447.72883349999989</v>
      </c>
      <c r="AQ11" s="583">
        <f t="shared" si="3"/>
        <v>456.65683899999988</v>
      </c>
      <c r="AR11" s="583">
        <f t="shared" si="3"/>
        <v>465.58484449999986</v>
      </c>
      <c r="AS11" s="583">
        <f t="shared" si="3"/>
        <v>474.51284999999984</v>
      </c>
    </row>
    <row r="12" spans="1:45">
      <c r="B12" s="500" t="s">
        <v>711</v>
      </c>
      <c r="C12" s="501"/>
      <c r="D12" s="501"/>
      <c r="E12" s="501"/>
      <c r="F12" s="501"/>
      <c r="G12" s="501"/>
      <c r="H12" s="501"/>
      <c r="I12" s="501"/>
      <c r="J12" s="501"/>
      <c r="K12" s="501"/>
      <c r="L12" s="501"/>
      <c r="M12" s="501"/>
      <c r="N12" s="501"/>
      <c r="O12" s="501"/>
      <c r="P12" s="501"/>
      <c r="Q12" s="501"/>
      <c r="R12" s="501"/>
      <c r="S12" s="501"/>
      <c r="T12" s="501"/>
      <c r="U12" s="501"/>
      <c r="V12" s="501"/>
      <c r="W12" s="501"/>
      <c r="X12" s="501"/>
      <c r="Y12" s="501"/>
      <c r="Z12" s="501"/>
      <c r="AA12" s="501"/>
      <c r="AB12" s="501"/>
      <c r="AC12" s="501"/>
      <c r="AD12" s="501"/>
      <c r="AE12" s="501"/>
      <c r="AF12" s="501"/>
      <c r="AG12" s="501"/>
      <c r="AH12" s="501"/>
      <c r="AI12" s="501"/>
      <c r="AJ12" s="501"/>
      <c r="AK12" s="501"/>
      <c r="AL12" s="501"/>
      <c r="AM12" s="501"/>
      <c r="AN12" s="501"/>
      <c r="AO12" s="501"/>
      <c r="AP12" s="501"/>
      <c r="AQ12" s="501"/>
      <c r="AR12" s="501"/>
      <c r="AS12" s="501"/>
    </row>
    <row r="13" spans="1:45">
      <c r="B13" s="502" t="s">
        <v>712</v>
      </c>
      <c r="C13" s="501"/>
      <c r="D13" s="501"/>
      <c r="E13" s="501"/>
      <c r="F13" s="501"/>
      <c r="G13" s="501"/>
      <c r="H13" s="501"/>
      <c r="I13" s="501"/>
      <c r="J13" s="501"/>
      <c r="K13" s="501"/>
      <c r="L13" s="501"/>
      <c r="M13" s="501"/>
      <c r="N13" s="501"/>
      <c r="O13" s="503"/>
      <c r="P13" s="501"/>
      <c r="Q13" s="501"/>
      <c r="R13" s="501"/>
      <c r="S13" s="501"/>
      <c r="T13" s="501"/>
      <c r="U13" s="501"/>
      <c r="V13" s="501"/>
      <c r="W13" s="501"/>
      <c r="X13" s="501"/>
      <c r="Y13" s="501"/>
      <c r="Z13" s="501"/>
      <c r="AA13" s="501"/>
      <c r="AB13" s="501"/>
      <c r="AC13" s="501"/>
      <c r="AD13" s="501"/>
      <c r="AE13" s="501"/>
      <c r="AF13" s="501"/>
      <c r="AG13" s="501"/>
      <c r="AH13" s="501"/>
      <c r="AI13" s="501"/>
      <c r="AJ13" s="501"/>
      <c r="AK13" s="501"/>
      <c r="AL13" s="501"/>
      <c r="AM13" s="501"/>
      <c r="AN13" s="501"/>
      <c r="AO13" s="501"/>
      <c r="AP13" s="501"/>
      <c r="AQ13" s="501"/>
      <c r="AR13" s="501"/>
      <c r="AS13" s="501"/>
    </row>
    <row r="14" spans="1:45">
      <c r="B14" s="502"/>
      <c r="C14" s="501"/>
      <c r="D14" s="501"/>
      <c r="E14" s="501"/>
      <c r="F14" s="501"/>
      <c r="G14" s="501"/>
      <c r="H14" s="501"/>
      <c r="I14" s="501"/>
      <c r="J14" s="501"/>
      <c r="K14" s="501"/>
      <c r="L14" s="501"/>
      <c r="M14" s="501"/>
      <c r="N14" s="501"/>
      <c r="O14" s="501"/>
      <c r="P14" s="501"/>
      <c r="Q14" s="501"/>
      <c r="R14" s="501"/>
      <c r="S14" s="501"/>
      <c r="T14" s="501"/>
      <c r="U14" s="501"/>
      <c r="V14" s="501"/>
      <c r="W14" s="501"/>
      <c r="X14" s="501"/>
      <c r="Y14" s="501"/>
      <c r="Z14" s="501"/>
      <c r="AA14" s="501"/>
      <c r="AB14" s="501"/>
      <c r="AC14" s="501"/>
      <c r="AD14" s="501"/>
      <c r="AE14" s="501"/>
      <c r="AF14" s="501"/>
      <c r="AG14" s="501"/>
      <c r="AH14" s="501"/>
      <c r="AI14" s="501"/>
      <c r="AJ14" s="501"/>
      <c r="AK14" s="501"/>
      <c r="AL14" s="501"/>
      <c r="AM14" s="501"/>
      <c r="AN14" s="501"/>
      <c r="AO14" s="501"/>
      <c r="AP14" s="501"/>
      <c r="AQ14" s="501"/>
      <c r="AR14" s="501"/>
      <c r="AS14" s="504"/>
    </row>
    <row r="15" spans="1:45" ht="16" thickBot="1">
      <c r="B15" s="505"/>
      <c r="C15" s="506"/>
      <c r="D15" s="506"/>
      <c r="E15" s="506"/>
      <c r="F15" s="506"/>
      <c r="G15" s="506"/>
      <c r="H15" s="506"/>
      <c r="I15" s="506"/>
      <c r="J15" s="506"/>
      <c r="K15" s="506"/>
      <c r="L15" s="506"/>
      <c r="M15" s="506"/>
      <c r="N15" s="506"/>
      <c r="O15" s="506"/>
      <c r="P15" s="506"/>
      <c r="Q15" s="506"/>
      <c r="R15" s="506"/>
      <c r="S15" s="506"/>
      <c r="T15" s="506"/>
      <c r="U15" s="506"/>
      <c r="V15" s="506"/>
      <c r="W15" s="506"/>
      <c r="X15" s="506"/>
      <c r="Y15" s="506"/>
      <c r="Z15" s="506"/>
      <c r="AA15" s="506"/>
      <c r="AB15" s="506"/>
      <c r="AC15" s="506"/>
      <c r="AD15" s="506"/>
      <c r="AE15" s="506"/>
      <c r="AF15" s="506"/>
      <c r="AG15" s="506"/>
      <c r="AH15" s="506"/>
      <c r="AI15" s="506"/>
      <c r="AJ15" s="506"/>
      <c r="AK15" s="506"/>
      <c r="AL15" s="506"/>
      <c r="AM15" s="506"/>
      <c r="AN15" s="506"/>
      <c r="AO15" s="506"/>
      <c r="AP15" s="506"/>
      <c r="AQ15" s="506"/>
      <c r="AR15" s="506"/>
      <c r="AS15" s="507"/>
    </row>
    <row r="16" spans="1:45" ht="16" thickBot="1">
      <c r="B16" s="404"/>
      <c r="C16" s="404"/>
      <c r="D16" s="404"/>
      <c r="E16" s="404"/>
      <c r="F16" s="404"/>
      <c r="G16" s="404"/>
      <c r="H16" s="404"/>
      <c r="I16" s="404"/>
      <c r="J16" s="404"/>
      <c r="K16" s="404"/>
      <c r="L16" s="404"/>
      <c r="M16" s="404"/>
      <c r="N16" s="404"/>
      <c r="O16" s="404"/>
      <c r="P16" s="404"/>
      <c r="Q16" s="404"/>
      <c r="R16" s="404"/>
      <c r="S16" s="404"/>
      <c r="T16" s="404"/>
      <c r="U16" s="404"/>
      <c r="V16" s="404"/>
      <c r="W16" s="404"/>
      <c r="X16" s="404"/>
      <c r="Y16" s="404"/>
      <c r="Z16" s="404"/>
      <c r="AA16" s="404"/>
      <c r="AB16" s="404"/>
      <c r="AC16" s="404"/>
      <c r="AD16" s="404"/>
      <c r="AE16" s="404"/>
      <c r="AF16" s="404"/>
      <c r="AG16" s="404"/>
      <c r="AH16" s="404"/>
      <c r="AI16" s="404"/>
      <c r="AJ16" s="404"/>
      <c r="AK16" s="404"/>
      <c r="AL16" s="404"/>
      <c r="AM16" s="404"/>
      <c r="AN16" s="404"/>
      <c r="AO16" s="404"/>
      <c r="AP16" s="404"/>
      <c r="AQ16" s="404"/>
      <c r="AR16" s="404"/>
      <c r="AS16" s="404"/>
    </row>
    <row r="17" spans="2:45">
      <c r="B17" s="435" t="s">
        <v>611</v>
      </c>
      <c r="C17" s="423" t="s">
        <v>612</v>
      </c>
      <c r="D17" s="423"/>
      <c r="E17" s="423"/>
      <c r="F17" s="423"/>
      <c r="G17" s="434"/>
      <c r="H17" s="434"/>
      <c r="I17" s="434"/>
      <c r="J17" s="434"/>
      <c r="K17" s="434"/>
      <c r="L17" s="434"/>
      <c r="M17" s="434"/>
      <c r="N17" s="434"/>
      <c r="O17" s="434"/>
      <c r="P17" s="434"/>
      <c r="Q17" s="434"/>
      <c r="R17" s="434"/>
      <c r="S17" s="434"/>
      <c r="T17" s="434"/>
      <c r="U17" s="434"/>
      <c r="V17" s="434"/>
      <c r="W17" s="434"/>
      <c r="X17" s="434"/>
      <c r="Y17" s="434"/>
      <c r="Z17" s="434"/>
      <c r="AA17" s="434"/>
      <c r="AB17" s="434"/>
      <c r="AC17" s="434"/>
      <c r="AD17" s="434"/>
      <c r="AE17" s="434"/>
      <c r="AF17" s="434"/>
      <c r="AG17" s="434"/>
      <c r="AH17" s="434"/>
      <c r="AI17" s="434"/>
      <c r="AJ17" s="434"/>
      <c r="AK17" s="434"/>
      <c r="AL17" s="434"/>
      <c r="AM17" s="434"/>
      <c r="AN17" s="434"/>
      <c r="AO17" s="434"/>
      <c r="AP17" s="434"/>
      <c r="AQ17" s="434"/>
      <c r="AR17" s="433"/>
      <c r="AS17" s="409"/>
    </row>
    <row r="18" spans="2:45">
      <c r="B18" s="432" t="s">
        <v>613</v>
      </c>
      <c r="C18" s="438" t="s">
        <v>614</v>
      </c>
      <c r="D18" s="438"/>
      <c r="E18" s="438"/>
      <c r="F18" s="438"/>
      <c r="G18" s="431"/>
      <c r="H18" s="431"/>
      <c r="I18" s="431"/>
      <c r="J18" s="431"/>
      <c r="K18" s="431"/>
      <c r="L18" s="431"/>
      <c r="M18" s="431"/>
      <c r="N18" s="431"/>
      <c r="O18" s="431"/>
      <c r="P18" s="431"/>
      <c r="Q18" s="431"/>
      <c r="R18" s="431"/>
      <c r="S18" s="431"/>
      <c r="T18" s="431"/>
      <c r="U18" s="431"/>
      <c r="V18" s="431"/>
      <c r="W18" s="431"/>
      <c r="X18" s="431"/>
      <c r="Y18" s="431"/>
      <c r="Z18" s="431"/>
      <c r="AA18" s="431"/>
      <c r="AB18" s="431"/>
      <c r="AC18" s="431"/>
      <c r="AD18" s="431"/>
      <c r="AE18" s="431"/>
      <c r="AF18" s="431"/>
      <c r="AG18" s="431"/>
      <c r="AH18" s="431"/>
      <c r="AI18" s="431"/>
      <c r="AJ18" s="431"/>
      <c r="AK18" s="431"/>
      <c r="AL18" s="431"/>
      <c r="AM18" s="431"/>
      <c r="AN18" s="431"/>
      <c r="AO18" s="431"/>
      <c r="AP18" s="431"/>
      <c r="AQ18" s="431"/>
      <c r="AR18" s="422"/>
      <c r="AS18" s="408"/>
    </row>
    <row r="19" spans="2:45">
      <c r="B19" s="432" t="s">
        <v>615</v>
      </c>
      <c r="C19" s="438" t="s">
        <v>616</v>
      </c>
      <c r="D19" s="438"/>
      <c r="E19" s="438"/>
      <c r="F19" s="438"/>
      <c r="G19" s="431"/>
      <c r="H19" s="431"/>
      <c r="I19" s="431"/>
      <c r="J19" s="431"/>
      <c r="K19" s="431"/>
      <c r="L19" s="431"/>
      <c r="M19" s="431"/>
      <c r="N19" s="431"/>
      <c r="O19" s="431"/>
      <c r="P19" s="431"/>
      <c r="Q19" s="431"/>
      <c r="R19" s="431"/>
      <c r="S19" s="431"/>
      <c r="T19" s="431"/>
      <c r="U19" s="431"/>
      <c r="V19" s="431"/>
      <c r="W19" s="431"/>
      <c r="X19" s="431"/>
      <c r="Y19" s="431"/>
      <c r="Z19" s="431"/>
      <c r="AA19" s="431"/>
      <c r="AB19" s="431"/>
      <c r="AC19" s="431"/>
      <c r="AD19" s="431"/>
      <c r="AE19" s="431"/>
      <c r="AF19" s="431"/>
      <c r="AG19" s="431"/>
      <c r="AH19" s="431"/>
      <c r="AI19" s="431"/>
      <c r="AJ19" s="431"/>
      <c r="AK19" s="431"/>
      <c r="AL19" s="431"/>
      <c r="AM19" s="431"/>
      <c r="AN19" s="431"/>
      <c r="AO19" s="431"/>
      <c r="AP19" s="431"/>
      <c r="AQ19" s="431"/>
      <c r="AR19" s="422"/>
      <c r="AS19" s="408"/>
    </row>
    <row r="20" spans="2:45">
      <c r="B20" s="432" t="s">
        <v>617</v>
      </c>
      <c r="C20" s="438" t="s">
        <v>618</v>
      </c>
      <c r="D20" s="431"/>
      <c r="E20" s="431"/>
      <c r="F20" s="431"/>
      <c r="G20" s="431"/>
      <c r="H20" s="431"/>
      <c r="I20" s="431"/>
      <c r="J20" s="431"/>
      <c r="K20" s="431"/>
      <c r="L20" s="431"/>
      <c r="M20" s="431"/>
      <c r="N20" s="431"/>
      <c r="O20" s="431"/>
      <c r="P20" s="431"/>
      <c r="Q20" s="431"/>
      <c r="R20" s="431"/>
      <c r="S20" s="431"/>
      <c r="T20" s="431"/>
      <c r="U20" s="431"/>
      <c r="V20" s="431"/>
      <c r="W20" s="431"/>
      <c r="X20" s="431"/>
      <c r="Y20" s="431"/>
      <c r="Z20" s="431"/>
      <c r="AA20" s="431"/>
      <c r="AB20" s="431"/>
      <c r="AC20" s="431"/>
      <c r="AD20" s="431"/>
      <c r="AE20" s="431"/>
      <c r="AF20" s="431"/>
      <c r="AG20" s="431"/>
      <c r="AH20" s="431"/>
      <c r="AI20" s="431"/>
      <c r="AJ20" s="431"/>
      <c r="AK20" s="431"/>
      <c r="AL20" s="431"/>
      <c r="AM20" s="431"/>
      <c r="AN20" s="431"/>
      <c r="AO20" s="431"/>
      <c r="AP20" s="431"/>
      <c r="AQ20" s="431"/>
      <c r="AR20" s="422"/>
      <c r="AS20" s="408"/>
    </row>
    <row r="21" spans="2:45">
      <c r="B21" s="432" t="s">
        <v>619</v>
      </c>
      <c r="C21" s="430">
        <v>42430</v>
      </c>
      <c r="D21" s="438"/>
      <c r="E21" s="438"/>
      <c r="F21" s="438"/>
      <c r="G21" s="431"/>
      <c r="H21" s="431"/>
      <c r="I21" s="431"/>
      <c r="J21" s="431"/>
      <c r="K21" s="431"/>
      <c r="L21" s="431"/>
      <c r="M21" s="431"/>
      <c r="N21" s="431"/>
      <c r="O21" s="431"/>
      <c r="P21" s="431"/>
      <c r="Q21" s="431"/>
      <c r="R21" s="431"/>
      <c r="S21" s="431"/>
      <c r="T21" s="431"/>
      <c r="U21" s="431"/>
      <c r="V21" s="431"/>
      <c r="W21" s="431"/>
      <c r="X21" s="431"/>
      <c r="Y21" s="431"/>
      <c r="Z21" s="431"/>
      <c r="AA21" s="431"/>
      <c r="AB21" s="431"/>
      <c r="AC21" s="431"/>
      <c r="AD21" s="431"/>
      <c r="AE21" s="431"/>
      <c r="AF21" s="431"/>
      <c r="AG21" s="431"/>
      <c r="AH21" s="431"/>
      <c r="AI21" s="431"/>
      <c r="AJ21" s="431"/>
      <c r="AK21" s="431"/>
      <c r="AL21" s="431"/>
      <c r="AM21" s="431"/>
      <c r="AN21" s="431"/>
      <c r="AO21" s="431"/>
      <c r="AP21" s="431"/>
      <c r="AQ21" s="431"/>
      <c r="AR21" s="431"/>
      <c r="AS21" s="429"/>
    </row>
    <row r="22" spans="2:45">
      <c r="B22" s="432" t="s">
        <v>620</v>
      </c>
      <c r="C22" s="430" t="s">
        <v>621</v>
      </c>
      <c r="D22" s="431"/>
      <c r="E22" s="431"/>
      <c r="F22" s="431"/>
      <c r="G22" s="431"/>
      <c r="H22" s="431"/>
      <c r="I22" s="431"/>
      <c r="J22" s="431"/>
      <c r="K22" s="431"/>
      <c r="L22" s="431"/>
      <c r="M22" s="431"/>
      <c r="N22" s="431"/>
      <c r="O22" s="431"/>
      <c r="P22" s="431"/>
      <c r="Q22" s="431"/>
      <c r="R22" s="431"/>
      <c r="S22" s="431"/>
      <c r="T22" s="431"/>
      <c r="U22" s="431"/>
      <c r="V22" s="431"/>
      <c r="W22" s="431"/>
      <c r="X22" s="431"/>
      <c r="Y22" s="431"/>
      <c r="Z22" s="431"/>
      <c r="AA22" s="431"/>
      <c r="AB22" s="431"/>
      <c r="AC22" s="431"/>
      <c r="AD22" s="431"/>
      <c r="AE22" s="431"/>
      <c r="AF22" s="431"/>
      <c r="AG22" s="431"/>
      <c r="AH22" s="431"/>
      <c r="AI22" s="431"/>
      <c r="AJ22" s="431"/>
      <c r="AK22" s="431"/>
      <c r="AL22" s="431"/>
      <c r="AM22" s="431"/>
      <c r="AN22" s="431"/>
      <c r="AO22" s="431"/>
      <c r="AP22" s="431"/>
      <c r="AQ22" s="431"/>
      <c r="AR22" s="431"/>
      <c r="AS22" s="429"/>
    </row>
    <row r="23" spans="2:45">
      <c r="B23" s="427" t="s">
        <v>609</v>
      </c>
      <c r="C23" s="426"/>
      <c r="D23" s="426"/>
      <c r="E23" s="425">
        <v>2010</v>
      </c>
      <c r="F23" s="425">
        <v>2011</v>
      </c>
      <c r="G23" s="425">
        <v>2012</v>
      </c>
      <c r="H23" s="425">
        <v>2013</v>
      </c>
      <c r="I23" s="425">
        <v>2014</v>
      </c>
      <c r="J23" s="425">
        <v>2015</v>
      </c>
      <c r="K23" s="425">
        <v>2016</v>
      </c>
      <c r="L23" s="425">
        <v>2017</v>
      </c>
      <c r="M23" s="425">
        <v>2018</v>
      </c>
      <c r="N23" s="425">
        <v>2019</v>
      </c>
      <c r="O23" s="425">
        <v>2020</v>
      </c>
      <c r="P23" s="425">
        <v>2021</v>
      </c>
      <c r="Q23" s="425">
        <v>2022</v>
      </c>
      <c r="R23" s="425">
        <v>2023</v>
      </c>
      <c r="S23" s="425">
        <v>2024</v>
      </c>
      <c r="T23" s="425">
        <v>2025</v>
      </c>
      <c r="U23" s="425">
        <v>2026</v>
      </c>
      <c r="V23" s="425">
        <v>2027</v>
      </c>
      <c r="W23" s="425">
        <v>2028</v>
      </c>
      <c r="X23" s="425">
        <v>2029</v>
      </c>
      <c r="Y23" s="425">
        <v>2030</v>
      </c>
      <c r="Z23" s="425">
        <v>2031</v>
      </c>
      <c r="AA23" s="425">
        <v>2032</v>
      </c>
      <c r="AB23" s="425">
        <v>2033</v>
      </c>
      <c r="AC23" s="425">
        <v>2034</v>
      </c>
      <c r="AD23" s="425">
        <v>2035</v>
      </c>
      <c r="AE23" s="425">
        <v>2036</v>
      </c>
      <c r="AF23" s="425">
        <v>2037</v>
      </c>
      <c r="AG23" s="425">
        <v>2038</v>
      </c>
      <c r="AH23" s="425">
        <v>2039</v>
      </c>
      <c r="AI23" s="425">
        <v>2040</v>
      </c>
      <c r="AJ23" s="425">
        <v>2041</v>
      </c>
      <c r="AK23" s="425">
        <v>2042</v>
      </c>
      <c r="AL23" s="425">
        <v>2043</v>
      </c>
      <c r="AM23" s="425">
        <v>2044</v>
      </c>
      <c r="AN23" s="425">
        <v>2045</v>
      </c>
      <c r="AO23" s="425">
        <v>2046</v>
      </c>
      <c r="AP23" s="425">
        <v>2047</v>
      </c>
      <c r="AQ23" s="425">
        <v>2048</v>
      </c>
      <c r="AR23" s="425">
        <v>2049</v>
      </c>
      <c r="AS23" s="424">
        <v>2050</v>
      </c>
    </row>
    <row r="24" spans="2:45" ht="16" thickBot="1">
      <c r="B24" s="437" t="s">
        <v>622</v>
      </c>
      <c r="C24" s="436"/>
      <c r="D24" s="436"/>
      <c r="E24" s="428">
        <v>163.69999999999999</v>
      </c>
      <c r="F24" s="428">
        <v>165.7</v>
      </c>
      <c r="G24" s="428">
        <v>164.8</v>
      </c>
      <c r="H24" s="428">
        <v>165</v>
      </c>
      <c r="I24" s="490">
        <v>166.9</v>
      </c>
      <c r="J24" s="490">
        <v>168.2</v>
      </c>
      <c r="K24" s="491">
        <f>K26*I31/K31</f>
        <v>167.7346232179226</v>
      </c>
      <c r="L24" s="491">
        <f>K24</f>
        <v>167.7346232179226</v>
      </c>
      <c r="M24" s="491">
        <f t="shared" ref="M24" si="4">L24</f>
        <v>167.7346232179226</v>
      </c>
      <c r="N24" s="585">
        <v>195.74638834999999</v>
      </c>
      <c r="O24" s="585">
        <v>214.42575100000002</v>
      </c>
      <c r="P24" s="585">
        <v>220.80004550000001</v>
      </c>
      <c r="Q24" s="585">
        <v>227.36394250000001</v>
      </c>
      <c r="R24" s="585">
        <v>234.12288050000001</v>
      </c>
      <c r="S24" s="585">
        <v>241.08274500000002</v>
      </c>
      <c r="T24" s="585">
        <v>248.24957050000003</v>
      </c>
      <c r="U24" s="585">
        <v>255.6293915</v>
      </c>
      <c r="V24" s="585">
        <v>263.22861500000005</v>
      </c>
      <c r="W24" s="585">
        <v>271.05372249999999</v>
      </c>
      <c r="X24" s="585">
        <v>279.11149349999999</v>
      </c>
      <c r="Y24" s="585">
        <v>287.40878200000003</v>
      </c>
      <c r="Z24" s="585">
        <v>295.95274000000001</v>
      </c>
      <c r="AA24" s="585">
        <v>304.75066849999996</v>
      </c>
      <c r="AB24" s="585">
        <v>313.81016649999998</v>
      </c>
      <c r="AC24" s="585">
        <v>323.13898200000006</v>
      </c>
      <c r="AD24" s="585">
        <v>332.74508650000001</v>
      </c>
      <c r="AE24" s="585">
        <v>342.63674950000001</v>
      </c>
      <c r="AF24" s="585">
        <v>352.82246399999997</v>
      </c>
      <c r="AG24" s="585">
        <v>363.31102099999998</v>
      </c>
      <c r="AH24" s="585">
        <v>374.11136049999999</v>
      </c>
      <c r="AI24" s="585">
        <v>385.23279500000001</v>
      </c>
      <c r="AJ24" s="586">
        <f>($AI$24-$Z$24)/10+AI24</f>
        <v>394.16080049999999</v>
      </c>
      <c r="AK24" s="586">
        <f t="shared" ref="AK24:AR24" si="5">($AI$24-$Z$24)/10+AJ24</f>
        <v>403.08880599999998</v>
      </c>
      <c r="AL24" s="586">
        <f t="shared" si="5"/>
        <v>412.01681149999996</v>
      </c>
      <c r="AM24" s="586">
        <f t="shared" si="5"/>
        <v>420.94481699999994</v>
      </c>
      <c r="AN24" s="586">
        <f t="shared" si="5"/>
        <v>429.87282249999993</v>
      </c>
      <c r="AO24" s="586">
        <f t="shared" si="5"/>
        <v>438.80082799999991</v>
      </c>
      <c r="AP24" s="586">
        <f t="shared" si="5"/>
        <v>447.72883349999989</v>
      </c>
      <c r="AQ24" s="586">
        <f t="shared" si="5"/>
        <v>456.65683899999988</v>
      </c>
      <c r="AR24" s="586">
        <f t="shared" si="5"/>
        <v>465.58484449999986</v>
      </c>
      <c r="AS24" s="586">
        <f>($AI$24-$Z$24)/10+AR24</f>
        <v>474.51284999999984</v>
      </c>
    </row>
    <row r="25" spans="2:45">
      <c r="I25" s="488"/>
      <c r="J25" s="488"/>
      <c r="K25" s="488"/>
      <c r="L25" s="488"/>
      <c r="M25" s="488"/>
      <c r="N25" s="488"/>
      <c r="O25" s="488"/>
      <c r="P25" s="488"/>
      <c r="Q25" s="488"/>
      <c r="R25" s="488"/>
      <c r="S25" s="488"/>
      <c r="T25" s="488"/>
      <c r="U25" s="488"/>
      <c r="V25" s="488"/>
      <c r="W25" s="488"/>
      <c r="X25" s="488"/>
      <c r="Y25" s="488"/>
      <c r="Z25" s="488"/>
      <c r="AA25" s="488"/>
      <c r="AB25" s="488"/>
      <c r="AC25" s="488"/>
      <c r="AD25" s="488"/>
      <c r="AE25" s="488"/>
      <c r="AF25" s="488"/>
      <c r="AG25" s="488"/>
      <c r="AH25" s="488"/>
      <c r="AI25" s="488"/>
      <c r="AJ25" s="488"/>
      <c r="AK25" s="488"/>
      <c r="AL25" s="488"/>
      <c r="AM25" s="488"/>
      <c r="AN25" s="488"/>
      <c r="AO25" s="488"/>
      <c r="AP25" s="488"/>
      <c r="AQ25" s="488"/>
      <c r="AR25" s="488"/>
      <c r="AS25" s="488"/>
    </row>
    <row r="26" spans="2:45">
      <c r="I26" s="489" t="s">
        <v>338</v>
      </c>
      <c r="J26" s="489"/>
      <c r="K26" s="488">
        <v>171.4</v>
      </c>
      <c r="L26" s="489" t="s">
        <v>710</v>
      </c>
      <c r="M26" s="488">
        <v>2016</v>
      </c>
      <c r="N26" s="488"/>
      <c r="O26" s="488"/>
      <c r="P26" s="488"/>
      <c r="Q26" s="488"/>
      <c r="R26" s="488"/>
      <c r="S26" s="488"/>
      <c r="T26" s="488"/>
      <c r="U26" s="488"/>
      <c r="V26" s="488"/>
      <c r="W26" s="488"/>
      <c r="X26" s="488"/>
      <c r="Y26" s="488"/>
      <c r="Z26" s="488"/>
      <c r="AA26" s="488"/>
      <c r="AB26" s="488"/>
      <c r="AC26" s="488"/>
      <c r="AD26" s="488"/>
      <c r="AE26" s="488"/>
      <c r="AF26" s="488"/>
      <c r="AG26" s="488"/>
      <c r="AH26" s="488"/>
      <c r="AI26" s="488"/>
      <c r="AJ26" s="488"/>
      <c r="AK26" s="488"/>
      <c r="AL26" s="488"/>
      <c r="AM26" s="488"/>
      <c r="AN26" s="488"/>
      <c r="AO26" s="488"/>
      <c r="AP26" s="488"/>
      <c r="AQ26" s="488"/>
      <c r="AR26" s="488"/>
      <c r="AS26" s="488"/>
    </row>
    <row r="27" spans="2:45">
      <c r="I27" s="488"/>
      <c r="J27" s="488"/>
      <c r="K27" s="488"/>
      <c r="L27" s="488"/>
      <c r="M27" s="488"/>
      <c r="N27" s="488"/>
      <c r="O27" s="488"/>
      <c r="P27" s="488"/>
      <c r="Q27" s="488"/>
      <c r="R27" s="488"/>
      <c r="S27" s="488"/>
      <c r="T27" s="488"/>
      <c r="U27" s="488"/>
      <c r="V27" s="488"/>
      <c r="W27" s="488"/>
      <c r="X27" s="488"/>
      <c r="Y27" s="488"/>
      <c r="Z27" s="488"/>
      <c r="AA27" s="488"/>
      <c r="AB27" s="488"/>
      <c r="AC27" s="488"/>
      <c r="AD27" s="488"/>
      <c r="AE27" s="488"/>
      <c r="AF27" s="488"/>
      <c r="AG27" s="488"/>
      <c r="AH27" s="488"/>
      <c r="AI27" s="488"/>
      <c r="AJ27" s="488"/>
      <c r="AK27" s="488"/>
      <c r="AL27" s="488"/>
      <c r="AM27" s="488"/>
      <c r="AN27" s="488"/>
      <c r="AO27" s="488"/>
      <c r="AP27" s="488"/>
      <c r="AQ27" s="488"/>
      <c r="AR27" s="488"/>
      <c r="AS27" s="488"/>
    </row>
    <row r="28" spans="2:45">
      <c r="D28" s="487" t="s">
        <v>705</v>
      </c>
      <c r="E28" s="488"/>
      <c r="F28" s="488"/>
      <c r="G28" s="488"/>
      <c r="H28" s="488"/>
      <c r="I28" s="488"/>
      <c r="J28" s="488"/>
      <c r="K28" s="488"/>
      <c r="L28" s="488"/>
      <c r="M28" s="488"/>
      <c r="N28" s="488"/>
      <c r="O28" s="488"/>
      <c r="P28" s="488"/>
      <c r="Q28" s="488"/>
      <c r="R28" s="488"/>
      <c r="S28" s="488"/>
      <c r="T28" s="488"/>
      <c r="U28" s="488"/>
      <c r="V28" s="488"/>
      <c r="W28" s="488"/>
      <c r="X28" s="488"/>
      <c r="Y28" s="488"/>
      <c r="Z28" s="488"/>
      <c r="AA28" s="488"/>
      <c r="AB28" s="488"/>
      <c r="AC28" s="488"/>
      <c r="AD28" s="488"/>
      <c r="AE28" s="488"/>
      <c r="AF28" s="488"/>
      <c r="AG28" s="488"/>
      <c r="AH28" s="488"/>
      <c r="AI28" s="488"/>
      <c r="AJ28" s="488"/>
      <c r="AK28" s="488"/>
      <c r="AL28" s="488"/>
      <c r="AM28" s="488"/>
      <c r="AN28" s="488"/>
      <c r="AO28" s="488"/>
      <c r="AP28" s="488"/>
      <c r="AQ28" s="488"/>
      <c r="AR28" s="488"/>
      <c r="AS28" s="488"/>
    </row>
    <row r="29" spans="2:45">
      <c r="D29" s="488" t="s">
        <v>706</v>
      </c>
      <c r="E29" s="487">
        <v>2010</v>
      </c>
      <c r="F29" s="487">
        <v>2011</v>
      </c>
      <c r="G29" s="487">
        <v>2012</v>
      </c>
      <c r="H29" s="487">
        <v>2013</v>
      </c>
      <c r="I29" s="487">
        <v>2014</v>
      </c>
      <c r="J29" s="487">
        <v>2015</v>
      </c>
      <c r="K29" s="487">
        <v>2016</v>
      </c>
      <c r="L29" s="487">
        <v>2017</v>
      </c>
      <c r="M29" s="487">
        <v>2018</v>
      </c>
      <c r="N29" s="487">
        <v>2019</v>
      </c>
      <c r="O29" s="487">
        <v>2020</v>
      </c>
      <c r="P29" s="487">
        <v>2021</v>
      </c>
      <c r="Q29" s="487">
        <v>2022</v>
      </c>
      <c r="R29" s="487">
        <v>2023</v>
      </c>
      <c r="S29" s="487">
        <v>2024</v>
      </c>
      <c r="T29" s="487">
        <v>2025</v>
      </c>
      <c r="U29" s="487">
        <v>2026</v>
      </c>
      <c r="V29" s="487">
        <v>2027</v>
      </c>
      <c r="W29" s="487">
        <v>2028</v>
      </c>
      <c r="X29" s="487">
        <v>2029</v>
      </c>
      <c r="Y29" s="487">
        <v>2030</v>
      </c>
      <c r="Z29" s="487">
        <v>2031</v>
      </c>
      <c r="AA29" s="487">
        <v>2032</v>
      </c>
      <c r="AB29" s="487">
        <v>2033</v>
      </c>
      <c r="AC29" s="487">
        <v>2034</v>
      </c>
      <c r="AD29" s="487">
        <v>2035</v>
      </c>
      <c r="AE29" s="487">
        <v>2036</v>
      </c>
      <c r="AF29" s="487">
        <v>2037</v>
      </c>
      <c r="AG29" s="487">
        <v>2038</v>
      </c>
      <c r="AH29" s="487">
        <v>2039</v>
      </c>
      <c r="AI29" s="487">
        <v>2040</v>
      </c>
      <c r="AJ29" s="488"/>
      <c r="AK29" s="488"/>
      <c r="AL29" s="488"/>
      <c r="AM29" s="488"/>
      <c r="AN29" s="488"/>
      <c r="AO29" s="488"/>
      <c r="AP29" s="488"/>
      <c r="AQ29" s="488"/>
      <c r="AR29" s="488"/>
      <c r="AS29" s="488"/>
    </row>
    <row r="30" spans="2:45">
      <c r="D30" s="489" t="s">
        <v>707</v>
      </c>
      <c r="E30" s="488"/>
      <c r="F30" s="488"/>
      <c r="G30" s="488"/>
      <c r="H30" s="488"/>
      <c r="I30" s="488"/>
      <c r="J30" s="488"/>
      <c r="K30" s="488"/>
      <c r="L30" s="488">
        <v>42</v>
      </c>
      <c r="M30" s="488">
        <v>43</v>
      </c>
      <c r="N30" s="488">
        <v>44</v>
      </c>
      <c r="O30" s="488">
        <v>46</v>
      </c>
      <c r="P30" s="488">
        <v>47</v>
      </c>
      <c r="Q30" s="488">
        <v>50</v>
      </c>
      <c r="R30" s="488">
        <v>52</v>
      </c>
      <c r="S30" s="488">
        <v>55</v>
      </c>
      <c r="T30" s="488">
        <v>58</v>
      </c>
      <c r="U30" s="488">
        <v>61</v>
      </c>
      <c r="V30" s="488">
        <v>65</v>
      </c>
      <c r="W30" s="488">
        <v>69</v>
      </c>
      <c r="X30" s="488">
        <v>73</v>
      </c>
      <c r="Y30" s="488">
        <v>77</v>
      </c>
      <c r="Z30" s="488">
        <v>81</v>
      </c>
      <c r="AA30" s="488">
        <v>86</v>
      </c>
      <c r="AB30" s="488">
        <v>91</v>
      </c>
      <c r="AC30" s="488">
        <v>97</v>
      </c>
      <c r="AD30" s="488">
        <v>103</v>
      </c>
      <c r="AE30" s="488">
        <v>109</v>
      </c>
      <c r="AF30" s="488">
        <v>115</v>
      </c>
      <c r="AG30" s="488">
        <v>122</v>
      </c>
      <c r="AH30" s="488">
        <v>129</v>
      </c>
      <c r="AI30" s="488">
        <v>137</v>
      </c>
      <c r="AJ30" s="488"/>
      <c r="AK30" s="488"/>
      <c r="AL30" s="488"/>
      <c r="AM30" s="488"/>
      <c r="AN30" s="488"/>
      <c r="AO30" s="488"/>
      <c r="AP30" s="488"/>
      <c r="AQ30" s="488"/>
      <c r="AR30" s="488"/>
      <c r="AS30" s="488"/>
    </row>
    <row r="31" spans="2:45">
      <c r="D31" s="488" t="s">
        <v>708</v>
      </c>
      <c r="E31" s="488">
        <v>0.90500000000000003</v>
      </c>
      <c r="F31" s="488">
        <v>0.91</v>
      </c>
      <c r="G31" s="488">
        <v>0.93600000000000005</v>
      </c>
      <c r="H31" s="488">
        <v>0.95199999999999996</v>
      </c>
      <c r="I31" s="488">
        <v>0.96099999999999997</v>
      </c>
      <c r="J31" s="488">
        <v>0.97599999999999998</v>
      </c>
      <c r="K31" s="488">
        <v>0.98199999999999998</v>
      </c>
      <c r="L31" s="488">
        <v>1</v>
      </c>
      <c r="M31" s="488">
        <v>1.02</v>
      </c>
      <c r="N31" s="488">
        <v>1.042</v>
      </c>
      <c r="O31" s="488">
        <v>1.0649999999999999</v>
      </c>
      <c r="P31" s="488">
        <v>1.087</v>
      </c>
      <c r="Q31" s="488">
        <v>1.107</v>
      </c>
      <c r="R31" s="488">
        <v>1.1299999999999999</v>
      </c>
      <c r="S31" s="488">
        <v>1.153</v>
      </c>
      <c r="T31" s="488">
        <v>1.1779999999999999</v>
      </c>
      <c r="U31" s="488">
        <v>1.2010000000000001</v>
      </c>
      <c r="V31" s="488">
        <v>1.2250000000000001</v>
      </c>
      <c r="W31" s="488">
        <v>1.25</v>
      </c>
      <c r="X31" s="488">
        <v>1.274</v>
      </c>
      <c r="Y31" s="488">
        <v>1.2989999999999999</v>
      </c>
      <c r="Z31" s="488">
        <v>1.325</v>
      </c>
      <c r="AA31" s="488">
        <v>1.351</v>
      </c>
      <c r="AB31" s="488">
        <v>1.377</v>
      </c>
      <c r="AC31" s="488">
        <v>1.4039999999999999</v>
      </c>
      <c r="AD31" s="488">
        <v>1.4319999999999999</v>
      </c>
      <c r="AE31" s="488">
        <v>1.46</v>
      </c>
      <c r="AF31" s="488">
        <v>1.488</v>
      </c>
      <c r="AG31" s="488">
        <v>1.5169999999999999</v>
      </c>
      <c r="AH31" s="488">
        <v>1.546</v>
      </c>
      <c r="AI31" s="488">
        <v>1.5760000000000001</v>
      </c>
      <c r="AJ31" s="488">
        <v>1.6065744000000002</v>
      </c>
      <c r="AK31" s="488">
        <v>1.6377419433600002</v>
      </c>
      <c r="AL31" s="488">
        <v>1.6695141370611843</v>
      </c>
      <c r="AM31" s="488">
        <v>1.7019027113201715</v>
      </c>
      <c r="AN31" s="488">
        <v>1.7349196239197828</v>
      </c>
      <c r="AO31" s="488">
        <v>1.7685770646238268</v>
      </c>
      <c r="AP31" s="488">
        <v>1.8028874596775293</v>
      </c>
      <c r="AQ31" s="488">
        <v>1.8378634763952735</v>
      </c>
      <c r="AR31" s="488">
        <v>1.873518027837342</v>
      </c>
      <c r="AS31" s="488">
        <v>1.9098642775773866</v>
      </c>
    </row>
    <row r="32" spans="2:45">
      <c r="D32" s="489" t="s">
        <v>709</v>
      </c>
      <c r="E32" s="488"/>
      <c r="F32" s="488"/>
      <c r="G32" s="488"/>
      <c r="H32" s="488"/>
      <c r="I32" s="488"/>
      <c r="J32" s="488"/>
      <c r="K32" s="488"/>
      <c r="L32" s="488">
        <f>L30/(1+($L$31-$I$31)/$L$31)</f>
        <v>40.423484119345517</v>
      </c>
      <c r="M32" s="488">
        <f t="shared" ref="M32:AI32" si="6">M30/(1+($L$31-$I$31)/$L$31)</f>
        <v>41.385948026948981</v>
      </c>
      <c r="N32" s="488">
        <f t="shared" si="6"/>
        <v>42.348411934552452</v>
      </c>
      <c r="O32" s="488">
        <f t="shared" si="6"/>
        <v>44.27333974975938</v>
      </c>
      <c r="P32" s="488">
        <f t="shared" si="6"/>
        <v>45.235803657362844</v>
      </c>
      <c r="Q32" s="488">
        <f t="shared" si="6"/>
        <v>48.123195380173236</v>
      </c>
      <c r="R32" s="488">
        <f t="shared" si="6"/>
        <v>50.048123195380164</v>
      </c>
      <c r="S32" s="488">
        <f t="shared" si="6"/>
        <v>52.935514918190563</v>
      </c>
      <c r="T32" s="488">
        <f t="shared" si="6"/>
        <v>55.822906641000955</v>
      </c>
      <c r="U32" s="488">
        <f t="shared" si="6"/>
        <v>58.710298363811347</v>
      </c>
      <c r="V32" s="488">
        <f t="shared" si="6"/>
        <v>62.56015399422521</v>
      </c>
      <c r="W32" s="488">
        <f t="shared" si="6"/>
        <v>66.410009624639073</v>
      </c>
      <c r="X32" s="488">
        <f t="shared" si="6"/>
        <v>70.259865255052929</v>
      </c>
      <c r="Y32" s="488">
        <f t="shared" si="6"/>
        <v>74.109720885466785</v>
      </c>
      <c r="Z32" s="488">
        <f t="shared" si="6"/>
        <v>77.959576515880642</v>
      </c>
      <c r="AA32" s="488">
        <f t="shared" si="6"/>
        <v>82.771896053897962</v>
      </c>
      <c r="AB32" s="488">
        <f t="shared" si="6"/>
        <v>87.584215591915296</v>
      </c>
      <c r="AC32" s="488">
        <f t="shared" si="6"/>
        <v>93.35899903753608</v>
      </c>
      <c r="AD32" s="488">
        <f t="shared" si="6"/>
        <v>99.133782483156864</v>
      </c>
      <c r="AE32" s="488">
        <f t="shared" si="6"/>
        <v>104.90856592877766</v>
      </c>
      <c r="AF32" s="488">
        <f t="shared" si="6"/>
        <v>110.68334937439845</v>
      </c>
      <c r="AG32" s="488">
        <f t="shared" si="6"/>
        <v>117.42059672762269</v>
      </c>
      <c r="AH32" s="488">
        <f t="shared" si="6"/>
        <v>124.15784408084696</v>
      </c>
      <c r="AI32" s="488">
        <f t="shared" si="6"/>
        <v>131.85755534167467</v>
      </c>
      <c r="AJ32" s="488"/>
      <c r="AK32" s="488"/>
      <c r="AL32" s="488"/>
      <c r="AM32" s="488"/>
      <c r="AN32" s="488"/>
      <c r="AO32" s="488"/>
      <c r="AP32" s="488"/>
      <c r="AQ32" s="488"/>
      <c r="AR32" s="488"/>
      <c r="AS32" s="488"/>
    </row>
    <row r="37" spans="3:5" ht="24">
      <c r="C37" s="566" t="s">
        <v>851</v>
      </c>
      <c r="D37" s="567"/>
      <c r="E37" s="567"/>
    </row>
    <row r="38" spans="3:5">
      <c r="C38" s="482"/>
      <c r="D38" s="485"/>
      <c r="E38" s="485"/>
    </row>
    <row r="39" spans="3:5">
      <c r="C39" s="579" t="s">
        <v>852</v>
      </c>
      <c r="D39" s="580" t="s">
        <v>853</v>
      </c>
      <c r="E39" s="580" t="s">
        <v>854</v>
      </c>
    </row>
    <row r="40" spans="3:5">
      <c r="C40" s="568">
        <v>2019</v>
      </c>
      <c r="D40" s="581">
        <v>195.74638834999999</v>
      </c>
      <c r="E40" s="581">
        <v>195.74638834999999</v>
      </c>
    </row>
    <row r="41" spans="3:5">
      <c r="C41" s="568">
        <v>2020</v>
      </c>
      <c r="D41" s="581">
        <v>214.42575100000002</v>
      </c>
      <c r="E41" s="581">
        <v>214.42575100000002</v>
      </c>
    </row>
    <row r="42" spans="3:5">
      <c r="C42" s="568">
        <v>2021</v>
      </c>
      <c r="D42" s="581">
        <v>220.80004550000001</v>
      </c>
      <c r="E42" s="581">
        <v>254.16623663429559</v>
      </c>
    </row>
    <row r="43" spans="3:5">
      <c r="C43" s="568">
        <v>2022</v>
      </c>
      <c r="D43" s="581">
        <v>227.36394250000001</v>
      </c>
      <c r="E43" s="581">
        <v>261.72203669931474</v>
      </c>
    </row>
    <row r="44" spans="3:5">
      <c r="C44" s="568">
        <v>2023</v>
      </c>
      <c r="D44" s="581">
        <v>234.12288050000001</v>
      </c>
      <c r="E44" s="581">
        <v>269.50235137821068</v>
      </c>
    </row>
    <row r="45" spans="3:5">
      <c r="C45" s="568">
        <v>2024</v>
      </c>
      <c r="D45" s="581">
        <v>241.08274500000002</v>
      </c>
      <c r="E45" s="581">
        <v>277.51395555810944</v>
      </c>
    </row>
    <row r="46" spans="3:5">
      <c r="C46" s="568">
        <v>2025</v>
      </c>
      <c r="D46" s="581">
        <v>248.24957050000003</v>
      </c>
      <c r="E46" s="581">
        <v>285.76379564226693</v>
      </c>
    </row>
    <row r="47" spans="3:5">
      <c r="C47" s="568">
        <v>2026</v>
      </c>
      <c r="D47" s="581">
        <v>255.6293915</v>
      </c>
      <c r="E47" s="581">
        <v>294.25881803393918</v>
      </c>
    </row>
    <row r="48" spans="3:5">
      <c r="C48" s="568">
        <v>2027</v>
      </c>
      <c r="D48" s="581">
        <v>263.22861500000005</v>
      </c>
      <c r="E48" s="581">
        <v>303.00639792670648</v>
      </c>
    </row>
    <row r="49" spans="3:5">
      <c r="C49" s="568">
        <v>2028</v>
      </c>
      <c r="D49" s="581">
        <v>271.05372249999999</v>
      </c>
      <c r="E49" s="581">
        <v>312.013996272214</v>
      </c>
    </row>
    <row r="50" spans="3:5">
      <c r="C50" s="568">
        <v>2029</v>
      </c>
      <c r="D50" s="581">
        <v>279.11149349999999</v>
      </c>
      <c r="E50" s="581">
        <v>321.28941705436671</v>
      </c>
    </row>
    <row r="51" spans="3:5">
      <c r="C51" s="568">
        <v>2030</v>
      </c>
      <c r="D51" s="581">
        <v>287.40878200000003</v>
      </c>
      <c r="E51" s="581">
        <v>330.84055001513428</v>
      </c>
    </row>
    <row r="52" spans="3:5">
      <c r="C52" s="568">
        <v>2031</v>
      </c>
      <c r="D52" s="581">
        <v>295.95274000000001</v>
      </c>
      <c r="E52" s="581">
        <v>330.84055001513428</v>
      </c>
    </row>
    <row r="53" spans="3:5">
      <c r="C53" s="568">
        <v>2032</v>
      </c>
      <c r="D53" s="581">
        <v>304.75066849999996</v>
      </c>
      <c r="E53" s="581">
        <v>330.84055001513428</v>
      </c>
    </row>
    <row r="54" spans="3:5">
      <c r="C54" s="568">
        <v>2033</v>
      </c>
      <c r="D54" s="581">
        <v>313.81016649999998</v>
      </c>
      <c r="E54" s="581">
        <v>330.84055001513428</v>
      </c>
    </row>
    <row r="55" spans="3:5">
      <c r="C55" s="568">
        <v>2034</v>
      </c>
      <c r="D55" s="581">
        <v>323.13898200000006</v>
      </c>
      <c r="E55" s="581">
        <v>330.84055001513428</v>
      </c>
    </row>
    <row r="56" spans="3:5">
      <c r="C56" s="568">
        <v>2035</v>
      </c>
      <c r="D56" s="581">
        <v>332.74508650000001</v>
      </c>
      <c r="E56" s="581">
        <v>332.74508650000001</v>
      </c>
    </row>
    <row r="57" spans="3:5">
      <c r="C57" s="568">
        <v>2036</v>
      </c>
      <c r="D57" s="581">
        <v>342.63674950000001</v>
      </c>
      <c r="E57" s="581">
        <v>342.63674950000001</v>
      </c>
    </row>
    <row r="58" spans="3:5">
      <c r="C58" s="568">
        <v>2037</v>
      </c>
      <c r="D58" s="581">
        <v>352.82246399999997</v>
      </c>
      <c r="E58" s="581">
        <v>352.82246399999997</v>
      </c>
    </row>
    <row r="59" spans="3:5">
      <c r="C59" s="568">
        <v>2038</v>
      </c>
      <c r="D59" s="581">
        <v>363.31102099999998</v>
      </c>
      <c r="E59" s="581">
        <v>363.31102099999998</v>
      </c>
    </row>
    <row r="60" spans="3:5">
      <c r="C60" s="568">
        <v>2039</v>
      </c>
      <c r="D60" s="581">
        <v>374.11136049999999</v>
      </c>
      <c r="E60" s="581">
        <v>374.11136049999999</v>
      </c>
    </row>
    <row r="61" spans="3:5">
      <c r="C61" s="568">
        <v>2040</v>
      </c>
      <c r="D61" s="581">
        <v>385.23279500000001</v>
      </c>
      <c r="E61" s="581">
        <v>385.23279500000001</v>
      </c>
    </row>
    <row r="62" spans="3:5">
      <c r="C62" s="582" t="s">
        <v>855</v>
      </c>
      <c r="D62" s="582" t="s">
        <v>856</v>
      </c>
      <c r="E62" s="485"/>
    </row>
    <row r="63" spans="3:5" ht="16">
      <c r="C63" s="582"/>
      <c r="D63" s="582" t="s">
        <v>857</v>
      </c>
      <c r="E63" s="485"/>
    </row>
    <row r="64" spans="3:5">
      <c r="C64" s="582" t="s">
        <v>858</v>
      </c>
      <c r="D64" s="485"/>
      <c r="E64" s="485"/>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B1:AW107"/>
  <sheetViews>
    <sheetView topLeftCell="G5" zoomScale="80" zoomScaleNormal="80" workbookViewId="0">
      <selection activeCell="L17" sqref="L17"/>
    </sheetView>
  </sheetViews>
  <sheetFormatPr baseColWidth="10" defaultColWidth="9.1640625" defaultRowHeight="13"/>
  <cols>
    <col min="1" max="1" width="2" style="606" bestFit="1" customWidth="1"/>
    <col min="2" max="2" width="9.5" style="606" bestFit="1" customWidth="1"/>
    <col min="3" max="3" width="18.1640625" style="606" customWidth="1"/>
    <col min="4" max="4" width="17.5" style="606" bestFit="1" customWidth="1"/>
    <col min="5" max="5" width="14" style="606" bestFit="1" customWidth="1"/>
    <col min="6" max="6" width="16.5" style="606" bestFit="1" customWidth="1"/>
    <col min="7" max="7" width="14.5" style="606" bestFit="1" customWidth="1"/>
    <col min="8" max="9" width="11.5" style="606" customWidth="1"/>
    <col min="10" max="10" width="10.5" style="606" customWidth="1"/>
    <col min="11" max="11" width="10.1640625" style="606" customWidth="1"/>
    <col min="12" max="12" width="18.33203125" style="606" customWidth="1"/>
    <col min="13" max="13" width="10.5" style="606" customWidth="1"/>
    <col min="14" max="14" width="11.5" style="606" customWidth="1"/>
    <col min="15" max="15" width="8.1640625" style="606" customWidth="1"/>
    <col min="16" max="16" width="8.5" style="606" customWidth="1"/>
    <col min="17" max="18" width="8.5" style="606" bestFit="1" customWidth="1"/>
    <col min="19" max="20" width="10.5" style="606" customWidth="1"/>
    <col min="21" max="21" width="10" style="606" customWidth="1"/>
    <col min="22" max="22" width="10.5" style="606" customWidth="1"/>
    <col min="23" max="23" width="11.5" style="606" customWidth="1"/>
    <col min="24" max="24" width="10.1640625" style="606" customWidth="1"/>
    <col min="25" max="28" width="10" style="606" customWidth="1"/>
    <col min="29" max="29" width="12" style="606" customWidth="1"/>
    <col min="30" max="30" width="8.5" style="606" customWidth="1"/>
    <col min="31" max="31" width="17.5" style="606" customWidth="1"/>
    <col min="32" max="32" width="10" style="606" customWidth="1"/>
    <col min="33" max="34" width="13.5" style="606" customWidth="1"/>
    <col min="35" max="35" width="5.5" style="606" customWidth="1"/>
    <col min="36" max="36" width="6.1640625" style="606" customWidth="1"/>
    <col min="37" max="37" width="16.1640625" style="606" customWidth="1"/>
    <col min="38" max="38" width="16.5" style="606" customWidth="1"/>
    <col min="39" max="40" width="7.5" style="606" customWidth="1"/>
    <col min="41" max="41" width="3.5" style="606" customWidth="1"/>
    <col min="42" max="42" width="17.5" style="606" customWidth="1"/>
    <col min="43" max="43" width="9.1640625" style="606"/>
    <col min="44" max="45" width="13.5" style="606" customWidth="1"/>
    <col min="46" max="16384" width="9.1640625" style="606"/>
  </cols>
  <sheetData>
    <row r="1" spans="2:34" ht="14">
      <c r="I1" s="607" t="s">
        <v>871</v>
      </c>
      <c r="J1" s="607" t="s">
        <v>872</v>
      </c>
      <c r="K1" s="607"/>
      <c r="X1" s="608"/>
      <c r="Y1" s="608"/>
      <c r="Z1" s="608"/>
      <c r="AA1" s="608"/>
      <c r="AB1" s="608"/>
    </row>
    <row r="2" spans="2:34">
      <c r="B2" s="606" t="s">
        <v>1597</v>
      </c>
      <c r="AG2" s="608"/>
      <c r="AH2" s="608"/>
    </row>
    <row r="3" spans="2:34">
      <c r="AG3" s="608"/>
      <c r="AH3" s="608"/>
    </row>
    <row r="4" spans="2:34">
      <c r="AG4" s="608"/>
      <c r="AH4" s="608"/>
    </row>
    <row r="5" spans="2:34" ht="15">
      <c r="H5" s="609" t="s">
        <v>1885</v>
      </c>
      <c r="Z5" s="1057"/>
      <c r="AA5" s="1057"/>
      <c r="AB5" s="1057"/>
      <c r="AC5" s="1058"/>
      <c r="AD5" s="1058"/>
      <c r="AG5" s="608"/>
      <c r="AH5" s="608"/>
    </row>
    <row r="6" spans="2:34" ht="45">
      <c r="B6" s="1059" t="s">
        <v>1</v>
      </c>
      <c r="C6" s="1059" t="s">
        <v>0</v>
      </c>
      <c r="D6" s="1059" t="s">
        <v>2</v>
      </c>
      <c r="E6" s="1059" t="s">
        <v>80</v>
      </c>
      <c r="F6" s="1059" t="s">
        <v>81</v>
      </c>
      <c r="G6" s="1059" t="s">
        <v>13</v>
      </c>
      <c r="H6" s="1059" t="s">
        <v>205</v>
      </c>
      <c r="I6" s="1059" t="s">
        <v>296</v>
      </c>
      <c r="J6" s="1059" t="s">
        <v>297</v>
      </c>
      <c r="K6" s="1060" t="s">
        <v>147</v>
      </c>
      <c r="L6" s="1060" t="s">
        <v>1598</v>
      </c>
      <c r="M6" s="1060" t="s">
        <v>725</v>
      </c>
      <c r="N6" s="1059" t="s">
        <v>92</v>
      </c>
      <c r="O6" s="1059" t="s">
        <v>1592</v>
      </c>
      <c r="P6" s="1059" t="s">
        <v>1599</v>
      </c>
      <c r="Q6" s="1059" t="s">
        <v>1600</v>
      </c>
      <c r="R6" s="1059" t="s">
        <v>1614</v>
      </c>
      <c r="S6" s="1059" t="s">
        <v>82</v>
      </c>
      <c r="T6" s="1059" t="s">
        <v>144</v>
      </c>
      <c r="U6" s="1059" t="s">
        <v>145</v>
      </c>
      <c r="V6" s="1059" t="s">
        <v>1601</v>
      </c>
      <c r="W6" s="1059" t="s">
        <v>83</v>
      </c>
      <c r="X6" s="1059" t="s">
        <v>278</v>
      </c>
      <c r="Y6" s="1059" t="s">
        <v>258</v>
      </c>
      <c r="Z6" s="1061" t="s">
        <v>1886</v>
      </c>
      <c r="AA6" s="1062" t="s">
        <v>1887</v>
      </c>
      <c r="AB6" s="1063" t="s">
        <v>1888</v>
      </c>
      <c r="AC6" s="1062" t="s">
        <v>1889</v>
      </c>
      <c r="AD6" s="1063" t="s">
        <v>1890</v>
      </c>
      <c r="AE6" s="1063" t="s">
        <v>1891</v>
      </c>
      <c r="AF6" s="1063" t="s">
        <v>1892</v>
      </c>
      <c r="AG6" s="1061"/>
    </row>
    <row r="7" spans="2:34" ht="37" thickBot="1">
      <c r="B7" s="1053" t="s">
        <v>1503</v>
      </c>
      <c r="C7" s="1053" t="s">
        <v>1615</v>
      </c>
      <c r="D7" s="1053" t="s">
        <v>91</v>
      </c>
      <c r="E7" s="1053" t="s">
        <v>85</v>
      </c>
      <c r="F7" s="1053" t="s">
        <v>86</v>
      </c>
      <c r="G7" s="1053" t="s">
        <v>87</v>
      </c>
      <c r="H7" s="1053" t="s">
        <v>283</v>
      </c>
      <c r="I7" s="1053" t="s">
        <v>1602</v>
      </c>
      <c r="J7" s="1053" t="s">
        <v>1603</v>
      </c>
      <c r="K7" s="1053" t="s">
        <v>1604</v>
      </c>
      <c r="L7" s="1053"/>
      <c r="M7" s="1053"/>
      <c r="N7" s="1053" t="s">
        <v>88</v>
      </c>
      <c r="O7" s="1053" t="s">
        <v>88</v>
      </c>
      <c r="P7" s="1053" t="s">
        <v>88</v>
      </c>
      <c r="Q7" s="1053" t="s">
        <v>88</v>
      </c>
      <c r="R7" s="1053"/>
      <c r="S7" s="1053" t="s">
        <v>160</v>
      </c>
      <c r="T7" s="1053" t="s">
        <v>89</v>
      </c>
      <c r="U7" s="1053" t="s">
        <v>89</v>
      </c>
      <c r="V7" s="1053" t="s">
        <v>89</v>
      </c>
      <c r="W7" s="1053" t="s">
        <v>255</v>
      </c>
      <c r="X7" s="1053" t="s">
        <v>279</v>
      </c>
      <c r="Y7" s="1053" t="s">
        <v>146</v>
      </c>
      <c r="Z7" s="1064" t="s">
        <v>1605</v>
      </c>
      <c r="AA7" s="1064" t="s">
        <v>1606</v>
      </c>
      <c r="AB7" s="1064" t="s">
        <v>1606</v>
      </c>
      <c r="AC7" s="1064" t="s">
        <v>1606</v>
      </c>
      <c r="AD7" s="1064" t="s">
        <v>1606</v>
      </c>
      <c r="AE7" s="1064" t="s">
        <v>1606</v>
      </c>
      <c r="AF7" s="1064" t="s">
        <v>1606</v>
      </c>
      <c r="AG7" s="1064"/>
    </row>
    <row r="8" spans="2:34">
      <c r="B8" s="618" t="s">
        <v>1893</v>
      </c>
      <c r="C8" s="606" t="s">
        <v>1894</v>
      </c>
      <c r="D8" s="618" t="s">
        <v>1647</v>
      </c>
      <c r="E8" s="618"/>
      <c r="F8" s="606" t="s">
        <v>93</v>
      </c>
      <c r="I8" s="619"/>
      <c r="J8" s="619"/>
      <c r="K8" s="619"/>
      <c r="L8" s="619"/>
      <c r="M8" s="619"/>
      <c r="N8" s="619"/>
      <c r="O8" s="619"/>
      <c r="P8" s="619"/>
      <c r="Q8" s="619"/>
      <c r="R8" s="619"/>
      <c r="S8" s="602">
        <v>1</v>
      </c>
      <c r="T8" s="602">
        <v>1</v>
      </c>
      <c r="U8" s="602">
        <v>1</v>
      </c>
      <c r="V8" s="602">
        <v>1</v>
      </c>
      <c r="W8" s="622"/>
      <c r="X8" s="620"/>
      <c r="Y8" s="608"/>
      <c r="Z8" s="1210">
        <f>ENG_Balance!D34/1000</f>
        <v>105.66743</v>
      </c>
      <c r="AA8" s="1065">
        <f>ENG_Balance!J34/1000</f>
        <v>102.60707000000001</v>
      </c>
      <c r="AB8" s="1210">
        <f>ENG_Balance!P34/1000</f>
        <v>81.907134999999997</v>
      </c>
      <c r="AC8" s="1210">
        <f>ENG_Balance!P34/1000</f>
        <v>81.907134999999997</v>
      </c>
      <c r="AD8" s="1065">
        <f>AC8</f>
        <v>81.907134999999997</v>
      </c>
      <c r="AE8" s="1065">
        <v>0</v>
      </c>
      <c r="AF8" s="1065">
        <v>0</v>
      </c>
      <c r="AG8" s="1065"/>
    </row>
    <row r="9" spans="2:34">
      <c r="D9" s="618"/>
      <c r="G9" s="602" t="s">
        <v>79</v>
      </c>
      <c r="H9" s="588" t="s">
        <v>604</v>
      </c>
      <c r="I9" s="1322">
        <v>0.03</v>
      </c>
      <c r="J9" s="1322">
        <v>0.04</v>
      </c>
      <c r="K9" s="1322">
        <v>0.04</v>
      </c>
      <c r="L9" s="1322">
        <v>0.04</v>
      </c>
      <c r="M9" s="619">
        <v>5</v>
      </c>
      <c r="S9" s="626"/>
      <c r="T9" s="626"/>
      <c r="U9" s="626"/>
      <c r="V9" s="626"/>
      <c r="W9" s="620"/>
      <c r="X9" s="1066">
        <v>13.7</v>
      </c>
      <c r="Y9" s="619"/>
      <c r="Z9" s="1067"/>
      <c r="AA9" s="1067"/>
      <c r="AB9" s="1067"/>
      <c r="AC9" s="1067"/>
      <c r="AD9" s="1067"/>
      <c r="AE9" s="1067"/>
      <c r="AF9" s="1067"/>
      <c r="AG9" s="608"/>
      <c r="AH9" s="608"/>
    </row>
    <row r="10" spans="2:34">
      <c r="B10" s="618"/>
      <c r="D10" s="618"/>
      <c r="G10" s="602" t="s">
        <v>1607</v>
      </c>
      <c r="H10" s="588" t="s">
        <v>604</v>
      </c>
      <c r="I10" s="1322">
        <v>0.04</v>
      </c>
      <c r="J10" s="1322">
        <v>0.06</v>
      </c>
      <c r="K10" s="1322">
        <v>7.0000000000000007E-2</v>
      </c>
      <c r="L10" s="1322">
        <v>7.0000000000000007E-2</v>
      </c>
      <c r="M10" s="619">
        <v>5</v>
      </c>
      <c r="S10" s="619"/>
      <c r="T10" s="619"/>
      <c r="U10" s="619"/>
      <c r="V10" s="619"/>
      <c r="W10" s="628"/>
      <c r="X10" s="1066">
        <v>3.8999999999999986</v>
      </c>
      <c r="Z10" s="1068"/>
      <c r="AA10" s="1068"/>
      <c r="AB10" s="1068"/>
      <c r="AC10" s="1068"/>
      <c r="AD10" s="1068"/>
      <c r="AE10" s="1068"/>
      <c r="AF10" s="1068"/>
      <c r="AG10" s="608"/>
      <c r="AH10" s="608"/>
    </row>
    <row r="11" spans="2:34">
      <c r="B11" s="618"/>
      <c r="D11" s="618"/>
      <c r="E11" s="618"/>
      <c r="G11" s="602" t="s">
        <v>41</v>
      </c>
      <c r="H11" s="588" t="s">
        <v>604</v>
      </c>
      <c r="I11" s="1322">
        <v>0.02</v>
      </c>
      <c r="J11" s="1322">
        <v>0.02</v>
      </c>
      <c r="K11" s="1322">
        <v>0.02</v>
      </c>
      <c r="L11" s="1322">
        <v>0.02</v>
      </c>
      <c r="M11" s="619">
        <v>5</v>
      </c>
      <c r="N11" s="629"/>
      <c r="O11" s="629"/>
      <c r="P11" s="629"/>
      <c r="Q11" s="629"/>
      <c r="R11" s="629"/>
      <c r="S11" s="619"/>
      <c r="T11" s="619"/>
      <c r="U11" s="619"/>
      <c r="V11" s="619"/>
      <c r="W11" s="628"/>
      <c r="X11" s="1066">
        <v>3.8999999999999986</v>
      </c>
      <c r="Z11" s="1068"/>
      <c r="AA11" s="1068"/>
      <c r="AB11" s="1068"/>
      <c r="AC11" s="1068"/>
      <c r="AD11" s="1068"/>
      <c r="AE11" s="1068"/>
      <c r="AF11" s="1068"/>
      <c r="AG11" s="608"/>
      <c r="AH11" s="608"/>
    </row>
    <row r="12" spans="2:34">
      <c r="B12" s="618"/>
      <c r="D12" s="618"/>
      <c r="E12" s="618"/>
      <c r="G12" s="602" t="s">
        <v>75</v>
      </c>
      <c r="H12" s="588" t="s">
        <v>604</v>
      </c>
      <c r="I12" s="1322">
        <v>0.31</v>
      </c>
      <c r="J12" s="1322">
        <v>0.28999999999999998</v>
      </c>
      <c r="K12" s="1322">
        <v>0.31</v>
      </c>
      <c r="L12" s="1322">
        <v>0.3</v>
      </c>
      <c r="M12" s="619">
        <v>5</v>
      </c>
      <c r="N12" s="629"/>
      <c r="O12" s="629"/>
      <c r="P12" s="629"/>
      <c r="Q12" s="629"/>
      <c r="R12" s="629"/>
      <c r="S12" s="619"/>
      <c r="T12" s="619"/>
      <c r="U12" s="619"/>
      <c r="V12" s="619"/>
      <c r="W12" s="628"/>
      <c r="X12" s="1066">
        <v>3.8999999999999986</v>
      </c>
      <c r="Z12" s="1068"/>
      <c r="AA12" s="1068"/>
      <c r="AB12" s="1068"/>
      <c r="AC12" s="1068"/>
      <c r="AD12" s="1068"/>
      <c r="AE12" s="1068"/>
      <c r="AF12" s="1068"/>
      <c r="AG12" s="608"/>
      <c r="AH12" s="608"/>
    </row>
    <row r="13" spans="2:34">
      <c r="B13" s="618"/>
      <c r="D13" s="618"/>
      <c r="E13" s="618"/>
      <c r="G13" s="602" t="s">
        <v>100</v>
      </c>
      <c r="H13" s="588" t="s">
        <v>604</v>
      </c>
      <c r="I13" s="1322">
        <v>0.16</v>
      </c>
      <c r="J13" s="1322">
        <v>0.11</v>
      </c>
      <c r="K13" s="1322">
        <v>0.11</v>
      </c>
      <c r="L13" s="1322">
        <v>0.09</v>
      </c>
      <c r="M13" s="619">
        <v>5</v>
      </c>
      <c r="N13" s="629"/>
      <c r="O13" s="629"/>
      <c r="P13" s="629"/>
      <c r="Q13" s="629"/>
      <c r="R13" s="629"/>
      <c r="S13" s="619"/>
      <c r="T13" s="619"/>
      <c r="U13" s="619"/>
      <c r="V13" s="619"/>
      <c r="W13" s="628"/>
      <c r="X13" s="1066">
        <v>3.8999999999999986</v>
      </c>
      <c r="Z13" s="1068"/>
      <c r="AA13" s="1068"/>
      <c r="AB13" s="1068"/>
      <c r="AC13" s="1068"/>
      <c r="AD13" s="1068"/>
      <c r="AE13" s="1068"/>
      <c r="AF13" s="1068"/>
      <c r="AG13" s="608"/>
      <c r="AH13" s="608"/>
    </row>
    <row r="14" spans="2:34">
      <c r="B14" s="618"/>
      <c r="D14" s="618"/>
      <c r="E14" s="618"/>
      <c r="G14" s="602" t="s">
        <v>76</v>
      </c>
      <c r="H14" s="588" t="s">
        <v>604</v>
      </c>
      <c r="I14" s="1322">
        <v>0.16</v>
      </c>
      <c r="J14" s="1322">
        <v>0.18</v>
      </c>
      <c r="K14" s="1322">
        <v>0.17</v>
      </c>
      <c r="L14" s="1322">
        <v>0.18</v>
      </c>
      <c r="M14" s="619">
        <v>5</v>
      </c>
      <c r="N14" s="629"/>
      <c r="O14" s="629"/>
      <c r="P14" s="629"/>
      <c r="Q14" s="629"/>
      <c r="R14" s="629"/>
      <c r="S14" s="619"/>
      <c r="T14" s="619"/>
      <c r="U14" s="619"/>
      <c r="V14" s="619"/>
      <c r="W14" s="628"/>
      <c r="X14" s="1066">
        <v>17.599999999999998</v>
      </c>
      <c r="Z14" s="1068"/>
      <c r="AA14" s="1068"/>
      <c r="AB14" s="1068"/>
      <c r="AC14" s="1068"/>
      <c r="AD14" s="1068"/>
      <c r="AE14" s="1068"/>
      <c r="AF14" s="1068"/>
      <c r="AG14" s="608"/>
      <c r="AH14" s="608"/>
    </row>
    <row r="15" spans="2:34">
      <c r="B15" s="618"/>
      <c r="D15" s="618"/>
      <c r="E15" s="618"/>
      <c r="G15" s="602" t="s">
        <v>45</v>
      </c>
      <c r="H15" s="588" t="s">
        <v>604</v>
      </c>
      <c r="I15" s="1322">
        <v>0.27</v>
      </c>
      <c r="J15" s="1322">
        <v>0.3</v>
      </c>
      <c r="K15" s="1322">
        <v>0.28000000000000003</v>
      </c>
      <c r="L15" s="1322">
        <v>0.31</v>
      </c>
      <c r="M15" s="619">
        <v>5</v>
      </c>
      <c r="N15" s="629"/>
      <c r="O15" s="629"/>
      <c r="P15" s="629"/>
      <c r="Q15" s="629"/>
      <c r="R15" s="629"/>
      <c r="S15" s="619"/>
      <c r="T15" s="619"/>
      <c r="U15" s="619"/>
      <c r="V15" s="619"/>
      <c r="W15" s="628"/>
      <c r="X15" s="1066">
        <v>16.5</v>
      </c>
      <c r="Z15" s="1068"/>
      <c r="AA15" s="1068"/>
      <c r="AB15" s="1068"/>
      <c r="AC15" s="1068"/>
      <c r="AD15" s="1068"/>
      <c r="AE15" s="1068"/>
      <c r="AF15" s="1068"/>
      <c r="AG15" s="608"/>
      <c r="AH15" s="608"/>
    </row>
    <row r="16" spans="2:34">
      <c r="B16" s="618"/>
      <c r="D16" s="618"/>
      <c r="E16" s="618"/>
      <c r="G16" s="602" t="s">
        <v>44</v>
      </c>
      <c r="H16" s="588" t="s">
        <v>604</v>
      </c>
      <c r="I16" s="1322">
        <v>0.02</v>
      </c>
      <c r="J16" s="1322">
        <v>0.01</v>
      </c>
      <c r="K16" s="1322">
        <v>0.01</v>
      </c>
      <c r="L16" s="1322">
        <v>0.01</v>
      </c>
      <c r="M16" s="619">
        <v>5</v>
      </c>
      <c r="N16" s="629"/>
      <c r="O16" s="629"/>
      <c r="P16" s="629"/>
      <c r="Q16" s="629"/>
      <c r="R16" s="629"/>
      <c r="S16" s="619"/>
      <c r="T16" s="619"/>
      <c r="U16" s="619"/>
      <c r="V16" s="619"/>
      <c r="W16" s="628"/>
      <c r="X16" s="1066">
        <v>-11.8</v>
      </c>
      <c r="Z16" s="1068"/>
      <c r="AA16" s="1068"/>
      <c r="AB16" s="1068"/>
      <c r="AC16" s="1068"/>
      <c r="AD16" s="1068"/>
      <c r="AE16" s="1068"/>
      <c r="AF16" s="1068"/>
      <c r="AG16" s="608"/>
      <c r="AH16" s="608"/>
    </row>
    <row r="17" spans="2:49">
      <c r="B17" s="618"/>
      <c r="D17" s="618"/>
      <c r="E17" s="618" t="s">
        <v>1590</v>
      </c>
      <c r="G17" s="602"/>
      <c r="H17" s="588"/>
      <c r="I17" s="619"/>
      <c r="J17" s="619"/>
      <c r="K17" s="619"/>
      <c r="L17" s="619"/>
      <c r="M17" s="619"/>
      <c r="N17" s="1069">
        <v>0.06</v>
      </c>
      <c r="O17" s="1069">
        <v>0.08</v>
      </c>
      <c r="P17" s="1069">
        <v>0.06</v>
      </c>
      <c r="Q17" s="1069">
        <v>0.06</v>
      </c>
      <c r="R17" s="1069">
        <v>0.06</v>
      </c>
      <c r="S17" s="619"/>
      <c r="T17" s="619"/>
      <c r="U17" s="619"/>
      <c r="V17" s="619"/>
      <c r="W17" s="628"/>
      <c r="X17" s="1066"/>
      <c r="Z17" s="1068"/>
      <c r="AA17" s="1068"/>
      <c r="AB17" s="1068"/>
      <c r="AC17" s="1068"/>
      <c r="AD17" s="1068"/>
      <c r="AE17" s="1068"/>
      <c r="AF17" s="1068"/>
      <c r="AG17" s="608"/>
      <c r="AH17" s="608"/>
    </row>
    <row r="18" spans="2:49">
      <c r="B18" s="618"/>
      <c r="D18" s="618"/>
      <c r="E18" s="618" t="s">
        <v>212</v>
      </c>
      <c r="G18" s="602"/>
      <c r="H18" s="588"/>
      <c r="I18" s="619"/>
      <c r="J18" s="619"/>
      <c r="K18" s="619"/>
      <c r="L18" s="619"/>
      <c r="M18" s="619"/>
      <c r="N18" s="1069">
        <v>4.1972380217775156E-2</v>
      </c>
      <c r="O18" s="1069">
        <v>2.8338206379318595E-2</v>
      </c>
      <c r="P18" s="1069">
        <v>4.1972380217775156E-2</v>
      </c>
      <c r="Q18" s="1069">
        <v>4.1972380217775156E-2</v>
      </c>
      <c r="R18" s="1069">
        <v>3.8563836758161017E-2</v>
      </c>
      <c r="S18" s="619"/>
      <c r="T18" s="619"/>
      <c r="U18" s="619"/>
      <c r="V18" s="619"/>
      <c r="W18" s="628"/>
      <c r="X18" s="1066"/>
      <c r="Z18" s="619"/>
      <c r="AA18" s="619"/>
      <c r="AB18" s="619"/>
      <c r="AC18" s="619"/>
      <c r="AD18" s="619"/>
      <c r="AE18" s="619"/>
      <c r="AF18" s="619"/>
      <c r="AG18" s="608"/>
      <c r="AH18" s="608"/>
    </row>
    <row r="19" spans="2:49">
      <c r="B19" s="618"/>
      <c r="D19" s="618"/>
      <c r="E19" s="618" t="s">
        <v>342</v>
      </c>
      <c r="G19" s="602"/>
      <c r="H19" s="588"/>
      <c r="I19" s="619"/>
      <c r="J19" s="619"/>
      <c r="K19" s="619"/>
      <c r="L19" s="619"/>
      <c r="M19" s="619"/>
      <c r="S19" s="619"/>
      <c r="T19" s="619"/>
      <c r="U19" s="619"/>
      <c r="V19" s="619"/>
      <c r="W19" s="628"/>
      <c r="X19" s="1066"/>
      <c r="Z19" s="619"/>
      <c r="AA19" s="619"/>
      <c r="AB19" s="619"/>
      <c r="AC19" s="619"/>
      <c r="AD19" s="619"/>
      <c r="AE19" s="619"/>
      <c r="AF19" s="619"/>
      <c r="AG19" s="608"/>
      <c r="AH19" s="608"/>
    </row>
    <row r="20" spans="2:49">
      <c r="B20" s="618"/>
      <c r="D20" s="618"/>
      <c r="E20" s="606" t="s">
        <v>1608</v>
      </c>
      <c r="I20" s="619"/>
      <c r="J20" s="619"/>
      <c r="K20" s="619"/>
      <c r="L20" s="619"/>
      <c r="M20" s="619"/>
      <c r="N20" s="620">
        <v>0</v>
      </c>
      <c r="O20" s="620">
        <v>0</v>
      </c>
      <c r="P20" s="620">
        <v>0</v>
      </c>
      <c r="Q20" s="620">
        <v>0</v>
      </c>
      <c r="R20" s="1069">
        <v>0</v>
      </c>
      <c r="S20" s="619"/>
      <c r="T20" s="619"/>
      <c r="U20" s="619"/>
      <c r="V20" s="619"/>
      <c r="W20" s="628"/>
      <c r="X20" s="628"/>
      <c r="Z20" s="1068"/>
      <c r="AA20" s="1068"/>
      <c r="AB20" s="1068"/>
      <c r="AC20" s="1068"/>
      <c r="AD20" s="1068"/>
      <c r="AE20" s="1068"/>
      <c r="AF20" s="1068"/>
      <c r="AG20" s="608"/>
      <c r="AH20" s="608"/>
    </row>
    <row r="21" spans="2:49">
      <c r="B21" s="1070"/>
      <c r="C21" s="1055"/>
      <c r="D21" s="1070"/>
      <c r="E21" s="1070" t="s">
        <v>729</v>
      </c>
      <c r="F21" s="1055"/>
      <c r="G21" s="1055"/>
      <c r="H21" s="1055"/>
      <c r="I21" s="1071"/>
      <c r="J21" s="1071"/>
      <c r="K21" s="1071"/>
      <c r="L21" s="1071"/>
      <c r="M21" s="1071"/>
      <c r="N21" s="1069">
        <v>1.8451031110872766E-2</v>
      </c>
      <c r="O21" s="1069">
        <v>1.245745713772285E-2</v>
      </c>
      <c r="P21" s="1069">
        <v>1.8451031110872766E-2</v>
      </c>
      <c r="Q21" s="1069">
        <v>1.8451031110872766E-2</v>
      </c>
      <c r="R21" s="1069">
        <v>1.6952637617585285E-2</v>
      </c>
      <c r="S21" s="1071"/>
      <c r="T21" s="1071"/>
      <c r="U21" s="1071"/>
      <c r="V21" s="1071"/>
      <c r="W21" s="1072"/>
      <c r="X21" s="1072"/>
      <c r="Y21" s="1055"/>
      <c r="Z21" s="1073"/>
      <c r="AA21" s="1073"/>
      <c r="AB21" s="1073"/>
      <c r="AC21" s="1073"/>
      <c r="AD21" s="1073"/>
      <c r="AE21" s="1073"/>
      <c r="AF21" s="1073"/>
      <c r="AG21" s="608"/>
      <c r="AH21" s="608"/>
    </row>
    <row r="22" spans="2:49">
      <c r="AG22" s="608"/>
      <c r="AH22" s="608"/>
    </row>
    <row r="23" spans="2:49">
      <c r="AG23" s="608"/>
      <c r="AH23" s="608"/>
    </row>
    <row r="24" spans="2:49">
      <c r="AG24" s="608"/>
      <c r="AH24" s="608"/>
    </row>
    <row r="25" spans="2:49" s="1055" customFormat="1" ht="27" customHeight="1">
      <c r="AG25" s="1056"/>
      <c r="AH25" s="1056"/>
    </row>
    <row r="26" spans="2:49">
      <c r="B26" s="606" t="s">
        <v>1596</v>
      </c>
      <c r="AG26" s="608"/>
      <c r="AH26" s="608"/>
    </row>
    <row r="27" spans="2:49">
      <c r="AG27" s="608"/>
      <c r="AH27" s="608"/>
    </row>
    <row r="28" spans="2:49">
      <c r="G28" s="609" t="s">
        <v>1595</v>
      </c>
      <c r="AR28" s="1330" t="s">
        <v>1895</v>
      </c>
      <c r="AS28" s="1330"/>
    </row>
    <row r="29" spans="2:49" ht="43.5" customHeight="1">
      <c r="B29" s="610" t="s">
        <v>1</v>
      </c>
      <c r="C29" s="610" t="s">
        <v>2</v>
      </c>
      <c r="D29" s="610" t="s">
        <v>80</v>
      </c>
      <c r="E29" s="610" t="s">
        <v>81</v>
      </c>
      <c r="F29" s="610" t="s">
        <v>13</v>
      </c>
      <c r="G29" s="610" t="s">
        <v>205</v>
      </c>
      <c r="H29" s="610" t="s">
        <v>296</v>
      </c>
      <c r="I29" s="610" t="s">
        <v>873</v>
      </c>
      <c r="J29" s="610" t="s">
        <v>297</v>
      </c>
      <c r="K29" s="610" t="s">
        <v>874</v>
      </c>
      <c r="L29" s="610" t="s">
        <v>875</v>
      </c>
      <c r="M29" s="610" t="s">
        <v>92</v>
      </c>
      <c r="N29" s="610" t="s">
        <v>1591</v>
      </c>
      <c r="O29" s="610" t="s">
        <v>1592</v>
      </c>
      <c r="P29" s="610" t="s">
        <v>1593</v>
      </c>
      <c r="Q29" s="610" t="s">
        <v>1594</v>
      </c>
      <c r="R29" s="610" t="s">
        <v>82</v>
      </c>
      <c r="S29" s="610" t="s">
        <v>876</v>
      </c>
      <c r="T29" s="610" t="s">
        <v>144</v>
      </c>
      <c r="U29" s="610" t="s">
        <v>877</v>
      </c>
      <c r="V29" s="610" t="s">
        <v>878</v>
      </c>
      <c r="W29" s="610" t="s">
        <v>1896</v>
      </c>
      <c r="X29" s="610" t="s">
        <v>1897</v>
      </c>
      <c r="Y29" s="610" t="s">
        <v>1898</v>
      </c>
      <c r="Z29" s="610" t="s">
        <v>1899</v>
      </c>
      <c r="AA29" s="610" t="s">
        <v>1900</v>
      </c>
      <c r="AB29" s="611" t="s">
        <v>879</v>
      </c>
      <c r="AC29" s="611" t="s">
        <v>880</v>
      </c>
      <c r="AD29" s="611" t="s">
        <v>881</v>
      </c>
      <c r="AE29" s="611" t="s">
        <v>882</v>
      </c>
      <c r="AF29" s="611" t="s">
        <v>883</v>
      </c>
      <c r="AG29" s="610" t="s">
        <v>83</v>
      </c>
      <c r="AH29" s="610" t="s">
        <v>278</v>
      </c>
      <c r="AI29" s="610" t="s">
        <v>258</v>
      </c>
      <c r="AJ29" s="612" t="s">
        <v>145</v>
      </c>
      <c r="AK29" s="612" t="s">
        <v>147</v>
      </c>
      <c r="AL29" s="612" t="s">
        <v>156</v>
      </c>
      <c r="AM29" s="612" t="s">
        <v>724</v>
      </c>
      <c r="AN29" s="612" t="s">
        <v>725</v>
      </c>
      <c r="AO29" s="612" t="s">
        <v>1901</v>
      </c>
      <c r="AP29" s="613" t="s">
        <v>884</v>
      </c>
      <c r="AQ29" s="610" t="s">
        <v>159</v>
      </c>
      <c r="AR29" s="610" t="s">
        <v>84</v>
      </c>
      <c r="AT29" s="614" t="s">
        <v>157</v>
      </c>
      <c r="AV29" s="249"/>
      <c r="AW29" s="249"/>
    </row>
    <row r="30" spans="2:49" ht="57.75" customHeight="1" thickBot="1">
      <c r="B30" s="615"/>
      <c r="C30" s="615" t="s">
        <v>91</v>
      </c>
      <c r="D30" s="615" t="s">
        <v>85</v>
      </c>
      <c r="E30" s="615" t="s">
        <v>86</v>
      </c>
      <c r="F30" s="615" t="s">
        <v>87</v>
      </c>
      <c r="G30" s="615" t="s">
        <v>283</v>
      </c>
      <c r="H30" s="615" t="s">
        <v>885</v>
      </c>
      <c r="I30" s="615" t="s">
        <v>886</v>
      </c>
      <c r="J30" s="615" t="s">
        <v>887</v>
      </c>
      <c r="K30" s="615" t="s">
        <v>888</v>
      </c>
      <c r="L30" s="615" t="s">
        <v>889</v>
      </c>
      <c r="M30" s="615" t="s">
        <v>88</v>
      </c>
      <c r="N30" s="1053"/>
      <c r="O30" s="1053"/>
      <c r="P30" s="1053"/>
      <c r="Q30" s="1053"/>
      <c r="R30" s="615" t="s">
        <v>160</v>
      </c>
      <c r="S30" s="615" t="s">
        <v>89</v>
      </c>
      <c r="T30" s="615" t="s">
        <v>89</v>
      </c>
      <c r="U30" s="615" t="s">
        <v>89</v>
      </c>
      <c r="V30" s="615" t="s">
        <v>89</v>
      </c>
      <c r="W30" s="615" t="s">
        <v>1902</v>
      </c>
      <c r="X30" s="615" t="s">
        <v>1902</v>
      </c>
      <c r="Y30" s="615" t="s">
        <v>1902</v>
      </c>
      <c r="Z30" s="615" t="s">
        <v>1902</v>
      </c>
      <c r="AA30" s="615" t="s">
        <v>890</v>
      </c>
      <c r="AB30" s="615" t="s">
        <v>1902</v>
      </c>
      <c r="AC30" s="615" t="s">
        <v>890</v>
      </c>
      <c r="AD30" s="615" t="s">
        <v>890</v>
      </c>
      <c r="AE30" s="615" t="s">
        <v>890</v>
      </c>
      <c r="AF30" s="615" t="s">
        <v>890</v>
      </c>
      <c r="AG30" s="615" t="s">
        <v>255</v>
      </c>
      <c r="AH30" s="615" t="s">
        <v>279</v>
      </c>
      <c r="AI30" s="615" t="s">
        <v>146</v>
      </c>
      <c r="AJ30" s="615" t="s">
        <v>148</v>
      </c>
      <c r="AK30" s="615" t="s">
        <v>891</v>
      </c>
      <c r="AL30" s="615" t="s">
        <v>892</v>
      </c>
      <c r="AM30" s="615" t="s">
        <v>257</v>
      </c>
      <c r="AN30" s="615" t="s">
        <v>257</v>
      </c>
      <c r="AO30" s="615" t="s">
        <v>295</v>
      </c>
      <c r="AP30" s="615" t="s">
        <v>294</v>
      </c>
      <c r="AQ30" s="615" t="s">
        <v>90</v>
      </c>
      <c r="AR30" s="615" t="s">
        <v>90</v>
      </c>
      <c r="AT30" s="616" t="s">
        <v>158</v>
      </c>
      <c r="AV30" s="617" t="s">
        <v>1894</v>
      </c>
      <c r="AW30" s="617" t="s">
        <v>893</v>
      </c>
    </row>
    <row r="31" spans="2:49">
      <c r="B31" s="618" t="str">
        <f>Processes!D188</f>
        <v>FT-GRDELCMID</v>
      </c>
      <c r="C31" s="618" t="str">
        <f>Processes!E188</f>
        <v>Power transmission line medium voltage</v>
      </c>
      <c r="D31" s="618"/>
      <c r="E31" s="606" t="str">
        <f>[10]Commodities!$D$19</f>
        <v>CRD</v>
      </c>
      <c r="H31" s="619"/>
      <c r="I31" s="619"/>
      <c r="J31" s="619"/>
      <c r="K31" s="619"/>
      <c r="L31" s="619"/>
      <c r="M31" s="619"/>
      <c r="N31" s="619"/>
      <c r="O31" s="619"/>
      <c r="P31" s="619"/>
      <c r="Q31" s="619"/>
      <c r="R31" s="606">
        <v>1</v>
      </c>
      <c r="S31" s="606">
        <v>1</v>
      </c>
      <c r="T31" s="606">
        <v>1</v>
      </c>
      <c r="U31" s="606">
        <v>1</v>
      </c>
      <c r="V31" s="606">
        <v>1</v>
      </c>
      <c r="W31" s="621">
        <f>'Eurostat_EB-2010'!$W$31*'[10]MIN-IMP-EXP'!$P$4*$AV$31</f>
        <v>456.40500000000009</v>
      </c>
      <c r="X31" s="621">
        <f>'Eurostat_EB-2011'!$W$31*'[10]MIN-IMP-EXP'!$P$4*$AV$31</f>
        <v>507.79499999999996</v>
      </c>
      <c r="Y31" s="621">
        <f>'Eurostat_EB-2012'!$W$31*'[10]MIN-IMP-EXP'!$P$4*$AV$31</f>
        <v>487.49549999999999</v>
      </c>
      <c r="Z31" s="621">
        <f>'Eurostat_EB-2013'!$W$31*'[10]MIN-IMP-EXP'!$P$4*$AV$31</f>
        <v>519.43200000000002</v>
      </c>
      <c r="AA31" s="621">
        <f>'Eurostat_EB-2014'!$W$31*'[10]MIN-IMP-EXP'!$P$4*$AV$31</f>
        <v>466.27949999999998</v>
      </c>
      <c r="AB31" s="621">
        <f>'Eurostat_EB-2010'!$W$31*'[10]MIN-IMP-EXP'!$P$4*$AW$31</f>
        <v>152.13500000000002</v>
      </c>
      <c r="AC31" s="621">
        <f>'Eurostat_EB-2011'!$W$31*'[10]MIN-IMP-EXP'!$P$4*$AW$31</f>
        <v>169.26499999999999</v>
      </c>
      <c r="AD31" s="621">
        <f>'Eurostat_EB-2012'!$W$31*'[10]MIN-IMP-EXP'!$P$4*$AW$31</f>
        <v>162.49850000000001</v>
      </c>
      <c r="AE31" s="621">
        <f>'Eurostat_EB-2013'!$W$31*'[10]MIN-IMP-EXP'!$P$4*$AW$31</f>
        <v>173.14400000000001</v>
      </c>
      <c r="AF31" s="621">
        <f>'Eurostat_EB-2014'!$W$31*'[10]MIN-IMP-EXP'!$P$4*$AW$31</f>
        <v>155.4265</v>
      </c>
      <c r="AG31" s="622"/>
      <c r="AH31" s="620"/>
      <c r="AI31" s="608"/>
      <c r="AJ31" s="608"/>
      <c r="AK31" s="619"/>
      <c r="AL31" s="619"/>
      <c r="AM31" s="619"/>
      <c r="AN31" s="619"/>
      <c r="AO31" s="619">
        <f>MAX(W31:AA31)*(1+$AT$31)</f>
        <v>571.37520000000006</v>
      </c>
      <c r="AP31" s="619">
        <f>MAX(AB31:AF31)*(1+$AT$31)</f>
        <v>190.45840000000001</v>
      </c>
      <c r="AQ31" s="623">
        <v>5</v>
      </c>
      <c r="AR31" s="623">
        <v>5</v>
      </c>
      <c r="AT31" s="624">
        <v>0.1</v>
      </c>
      <c r="AV31" s="602">
        <f>'[10]MIN-IMP-EXP'!AD30</f>
        <v>0.75</v>
      </c>
      <c r="AW31" s="602">
        <f>'[10]MIN-IMP-EXP'!AE30</f>
        <v>0.25</v>
      </c>
    </row>
    <row r="32" spans="2:49">
      <c r="C32" s="618"/>
      <c r="E32" s="625"/>
      <c r="F32" s="606" t="str">
        <f>[10]Commodities!D20</f>
        <v>LPG</v>
      </c>
      <c r="G32" s="588" t="s">
        <v>604</v>
      </c>
      <c r="H32" s="619">
        <f>'Eurostat_EB-2010'!$AE$89/('Eurostat_EB-2010'!$AE$89+'Eurostat_EB-2010'!$AK$89+'Eurostat_EB-2010'!$AF$89+('Eurostat_EB-2010'!$AI$89+'Eurostat_EB-2010'!$AJ$89)+'Eurostat_EB-2010'!$AL$89+'Eurostat_EB-2010'!$AM$89)</f>
        <v>3.1209402925217403E-2</v>
      </c>
      <c r="I32" s="619">
        <f>'Eurostat_EB-2011'!$AE$89/('Eurostat_EB-2011'!$AE$89+'Eurostat_EB-2011'!$AK$89+'Eurostat_EB-2011'!$AF$89+('Eurostat_EB-2011'!$AI$89+'Eurostat_EB-2011'!$AJ$89)+'Eurostat_EB-2011'!$AL$89+'Eurostat_EB-2011'!$AM$89)</f>
        <v>2.9510484500259331E-2</v>
      </c>
      <c r="J32" s="619">
        <f>'Eurostat_EB-2012'!$AE$89/('Eurostat_EB-2012'!$AE$89+'Eurostat_EB-2012'!$AK$89+'Eurostat_EB-2012'!$AF$89+('Eurostat_EB-2012'!$AI$89+'Eurostat_EB-2012'!$AJ$89)+'Eurostat_EB-2012'!$AL$89+'Eurostat_EB-2012'!$AM$89)</f>
        <v>3.1812743307982179E-2</v>
      </c>
      <c r="K32" s="619">
        <f>'Eurostat_EB-2013'!$AE$89/('Eurostat_EB-2013'!$AE$89+'Eurostat_EB-2013'!$AK$89+'Eurostat_EB-2013'!$AF$89+('Eurostat_EB-2013'!$AI$89+'Eurostat_EB-2013'!$AJ$89)+'Eurostat_EB-2013'!$AL$89+'Eurostat_EB-2013'!$AM$89)</f>
        <v>3.3227881503909963E-2</v>
      </c>
      <c r="L32" s="619">
        <f>'Eurostat_EB-2014'!$AE$89/('Eurostat_EB-2014'!$AE$89+'Eurostat_EB-2014'!$AK$89+'Eurostat_EB-2014'!$AF$89+('Eurostat_EB-2014'!$AI$89+'Eurostat_EB-2014'!$AJ$89)+'Eurostat_EB-2014'!$AL$89+'Eurostat_EB-2014'!$AM$89)</f>
        <v>2.8425104658900427E-2</v>
      </c>
      <c r="R32" s="626"/>
      <c r="S32" s="626"/>
      <c r="T32" s="626"/>
      <c r="U32" s="626"/>
      <c r="V32" s="626"/>
      <c r="W32" s="620"/>
      <c r="X32" s="620"/>
      <c r="Y32" s="620"/>
      <c r="Z32" s="620"/>
      <c r="AA32" s="626"/>
      <c r="AB32" s="626"/>
      <c r="AC32" s="626"/>
      <c r="AD32" s="626"/>
      <c r="AE32" s="626"/>
      <c r="AF32" s="626"/>
      <c r="AG32" s="620"/>
      <c r="AH32" s="627">
        <f>G55</f>
        <v>3.8999999999999986</v>
      </c>
      <c r="AI32" s="619"/>
      <c r="AJ32" s="619"/>
      <c r="AK32" s="619">
        <f>MAX(H32:L32)</f>
        <v>3.3227881503909963E-2</v>
      </c>
      <c r="AL32" s="619">
        <f>MIN(H32:L32)</f>
        <v>2.8425104658900427E-2</v>
      </c>
      <c r="AM32" s="619">
        <v>5</v>
      </c>
      <c r="AN32" s="619">
        <v>5</v>
      </c>
      <c r="AO32" s="626"/>
      <c r="AP32" s="626"/>
      <c r="AQ32" s="626"/>
      <c r="AR32" s="626"/>
    </row>
    <row r="33" spans="2:46">
      <c r="B33" s="618"/>
      <c r="C33" s="618"/>
      <c r="E33" s="625"/>
      <c r="F33" s="606" t="str">
        <f>[10]Commodities!D21</f>
        <v>LVN</v>
      </c>
      <c r="G33" s="588" t="s">
        <v>604</v>
      </c>
      <c r="H33" s="619">
        <f>'Eurostat_EB-2010'!$AK$89/('Eurostat_EB-2010'!$AE$89+'Eurostat_EB-2010'!$AK$89+'Eurostat_EB-2010'!$AF$89+('Eurostat_EB-2010'!$AI$89+'Eurostat_EB-2010'!$AJ$89)+'Eurostat_EB-2010'!$AL$89+'Eurostat_EB-2010'!$AM$89)</f>
        <v>0.1157918550485194</v>
      </c>
      <c r="I33" s="619">
        <f>'Eurostat_EB-2011'!$AK$89/('Eurostat_EB-2011'!$AE$89+'Eurostat_EB-2011'!$AK$89+'Eurostat_EB-2011'!$AF$89+('Eurostat_EB-2011'!$AI$89+'Eurostat_EB-2011'!$AJ$89)+'Eurostat_EB-2011'!$AL$89+'Eurostat_EB-2011'!$AM$89)</f>
        <v>0.10256322395851991</v>
      </c>
      <c r="J33" s="619">
        <f>'Eurostat_EB-2012'!$AK$89/('Eurostat_EB-2012'!$AE$89+'Eurostat_EB-2012'!$AK$89+'Eurostat_EB-2012'!$AF$89+('Eurostat_EB-2012'!$AI$89+'Eurostat_EB-2012'!$AJ$89)+'Eurostat_EB-2012'!$AL$89+'Eurostat_EB-2012'!$AM$89)</f>
        <v>0.13422373871218693</v>
      </c>
      <c r="K33" s="619">
        <f>'Eurostat_EB-2013'!$AK$89/('Eurostat_EB-2013'!$AE$89+'Eurostat_EB-2013'!$AK$89+'Eurostat_EB-2013'!$AF$89+('Eurostat_EB-2013'!$AI$89+'Eurostat_EB-2013'!$AJ$89)+'Eurostat_EB-2013'!$AL$89+'Eurostat_EB-2013'!$AM$89)</f>
        <v>0.12160234507176053</v>
      </c>
      <c r="L33" s="619">
        <f>'Eurostat_EB-2014'!$AK$89/('Eurostat_EB-2014'!$AE$89+'Eurostat_EB-2014'!$AK$89+'Eurostat_EB-2014'!$AF$89+('Eurostat_EB-2014'!$AI$89+'Eurostat_EB-2014'!$AJ$89)+'Eurostat_EB-2014'!$AL$89+'Eurostat_EB-2014'!$AM$89)</f>
        <v>0.1162594024545355</v>
      </c>
      <c r="R33" s="619"/>
      <c r="S33" s="619"/>
      <c r="T33" s="619"/>
      <c r="U33" s="619"/>
      <c r="V33" s="619"/>
      <c r="W33" s="619"/>
      <c r="X33" s="619"/>
      <c r="Y33" s="619"/>
      <c r="Z33" s="619"/>
      <c r="AA33" s="619"/>
      <c r="AB33" s="619"/>
      <c r="AC33" s="619"/>
      <c r="AD33" s="619"/>
      <c r="AE33" s="619"/>
      <c r="AF33" s="619"/>
      <c r="AG33" s="628"/>
      <c r="AH33" s="627">
        <f t="shared" ref="AH33:AH37" si="0">G56</f>
        <v>3.8999999999999986</v>
      </c>
      <c r="AK33" s="619">
        <f t="shared" ref="AK33:AK37" si="1">MAX(H33:L33)</f>
        <v>0.13422373871218693</v>
      </c>
      <c r="AL33" s="619">
        <f t="shared" ref="AL33:AL37" si="2">MIN(H33:L33)</f>
        <v>0.10256322395851991</v>
      </c>
      <c r="AM33" s="619">
        <v>5</v>
      </c>
      <c r="AN33" s="619">
        <v>5</v>
      </c>
      <c r="AO33" s="619"/>
      <c r="AP33" s="619"/>
      <c r="AQ33" s="619"/>
      <c r="AR33" s="619"/>
    </row>
    <row r="34" spans="2:46">
      <c r="B34" s="618"/>
      <c r="C34" s="618"/>
      <c r="D34" s="618"/>
      <c r="E34" s="625"/>
      <c r="F34" s="606" t="str">
        <f>[10]Commodities!D22</f>
        <v>GSL</v>
      </c>
      <c r="G34" s="588" t="s">
        <v>604</v>
      </c>
      <c r="H34" s="619">
        <f>'Eurostat_EB-2010'!$AF$89/('Eurostat_EB-2010'!$AE$89+'Eurostat_EB-2010'!$AK$89+'Eurostat_EB-2010'!$AF$89+('Eurostat_EB-2010'!$AI$89+'Eurostat_EB-2010'!$AJ$89)+'Eurostat_EB-2010'!$AL$89+'Eurostat_EB-2010'!$AM$89)</f>
        <v>0.25586568816647753</v>
      </c>
      <c r="I34" s="619">
        <f>'Eurostat_EB-2011'!$AF$89/('Eurostat_EB-2011'!$AE$89+'Eurostat_EB-2011'!$AK$89+'Eurostat_EB-2011'!$AF$89+('Eurostat_EB-2011'!$AI$89+'Eurostat_EB-2011'!$AJ$89)+'Eurostat_EB-2011'!$AL$89+'Eurostat_EB-2011'!$AM$89)</f>
        <v>0.26630459330605583</v>
      </c>
      <c r="J34" s="619">
        <f>'Eurostat_EB-2012'!$AF$89/('Eurostat_EB-2012'!$AE$89+'Eurostat_EB-2012'!$AK$89+'Eurostat_EB-2012'!$AF$89+('Eurostat_EB-2012'!$AI$89+'Eurostat_EB-2012'!$AJ$89)+'Eurostat_EB-2012'!$AL$89+'Eurostat_EB-2012'!$AM$89)</f>
        <v>0.25827826206416221</v>
      </c>
      <c r="K34" s="619">
        <f>'Eurostat_EB-2013'!$AF$89/('Eurostat_EB-2013'!$AE$89+'Eurostat_EB-2013'!$AK$89+'Eurostat_EB-2013'!$AF$89+('Eurostat_EB-2013'!$AI$89+'Eurostat_EB-2013'!$AJ$89)+'Eurostat_EB-2013'!$AL$89+'Eurostat_EB-2013'!$AM$89)</f>
        <v>0.25525273757573386</v>
      </c>
      <c r="L34" s="619">
        <f>'Eurostat_EB-2014'!$AF$89/('Eurostat_EB-2014'!$AE$89+'Eurostat_EB-2014'!$AK$89+'Eurostat_EB-2014'!$AF$89+('Eurostat_EB-2014'!$AI$89+'Eurostat_EB-2014'!$AJ$89)+'Eurostat_EB-2014'!$AL$89+'Eurostat_EB-2014'!$AM$89)</f>
        <v>0.24398116560954861</v>
      </c>
      <c r="M34" s="629"/>
      <c r="N34" s="629"/>
      <c r="O34" s="629"/>
      <c r="P34" s="629"/>
      <c r="Q34" s="629"/>
      <c r="R34" s="619"/>
      <c r="S34" s="619"/>
      <c r="T34" s="619"/>
      <c r="U34" s="619"/>
      <c r="V34" s="619"/>
      <c r="W34" s="619"/>
      <c r="X34" s="619"/>
      <c r="Y34" s="619"/>
      <c r="Z34" s="619"/>
      <c r="AA34" s="619"/>
      <c r="AB34" s="619"/>
      <c r="AC34" s="619"/>
      <c r="AD34" s="619"/>
      <c r="AE34" s="619"/>
      <c r="AF34" s="619"/>
      <c r="AG34" s="628"/>
      <c r="AH34" s="627">
        <f t="shared" si="0"/>
        <v>17.599999999999998</v>
      </c>
      <c r="AK34" s="619">
        <f t="shared" si="1"/>
        <v>0.26630459330605583</v>
      </c>
      <c r="AL34" s="619">
        <f t="shared" si="2"/>
        <v>0.24398116560954861</v>
      </c>
      <c r="AM34" s="619">
        <v>5</v>
      </c>
      <c r="AN34" s="619">
        <v>5</v>
      </c>
      <c r="AO34" s="619"/>
      <c r="AP34" s="619"/>
      <c r="AQ34" s="619"/>
      <c r="AR34" s="619"/>
    </row>
    <row r="35" spans="2:46">
      <c r="B35" s="618"/>
      <c r="C35" s="618"/>
      <c r="D35" s="618"/>
      <c r="E35" s="625"/>
      <c r="F35" s="606" t="str">
        <f>[10]Commodities!D23</f>
        <v>KER</v>
      </c>
      <c r="G35" s="588" t="s">
        <v>604</v>
      </c>
      <c r="H35" s="619">
        <f>('Eurostat_EB-2010'!$AI$89+'Eurostat_EB-2010'!$AJ$89)/('Eurostat_EB-2010'!$AE$89+'Eurostat_EB-2010'!$AK$89+'Eurostat_EB-2010'!$AF$89+('Eurostat_EB-2010'!$AI$89+'Eurostat_EB-2010'!$AJ$89)+'Eurostat_EB-2010'!$AL$89+'Eurostat_EB-2010'!$AM$89)</f>
        <v>4.8670215500841503E-2</v>
      </c>
      <c r="I35" s="619">
        <f>('Eurostat_EB-2011'!$AI$89+'Eurostat_EB-2011'!$AJ$89)/('Eurostat_EB-2011'!$AE$89+'Eurostat_EB-2011'!$AK$89+'Eurostat_EB-2011'!$AF$89+('Eurostat_EB-2011'!$AI$89+'Eurostat_EB-2011'!$AJ$89)+'Eurostat_EB-2011'!$AL$89+'Eurostat_EB-2011'!$AM$89)</f>
        <v>5.6927651263233146E-2</v>
      </c>
      <c r="J35" s="619">
        <f>('Eurostat_EB-2012'!$AI$89+'Eurostat_EB-2012'!$AJ$89)/('Eurostat_EB-2012'!$AE$89+'Eurostat_EB-2012'!$AK$89+'Eurostat_EB-2012'!$AF$89+('Eurostat_EB-2012'!$AI$89+'Eurostat_EB-2012'!$AJ$89)+'Eurostat_EB-2012'!$AL$89+'Eurostat_EB-2012'!$AM$89)</f>
        <v>4.9846087983041729E-2</v>
      </c>
      <c r="K35" s="619">
        <f>('Eurostat_EB-2013'!$AI$89+'Eurostat_EB-2013'!$AJ$89)/('Eurostat_EB-2013'!$AE$89+'Eurostat_EB-2013'!$AK$89+'Eurostat_EB-2013'!$AF$89+('Eurostat_EB-2013'!$AI$89+'Eurostat_EB-2013'!$AJ$89)+'Eurostat_EB-2013'!$AL$89+'Eurostat_EB-2013'!$AM$89)</f>
        <v>5.1603038701525092E-2</v>
      </c>
      <c r="L35" s="619">
        <f>('Eurostat_EB-2014'!$AI$89+'Eurostat_EB-2014'!$AJ$89)/('Eurostat_EB-2014'!$AE$89+'Eurostat_EB-2014'!$AK$89+'Eurostat_EB-2014'!$AF$89+('Eurostat_EB-2014'!$AI$89+'Eurostat_EB-2014'!$AJ$89)+'Eurostat_EB-2014'!$AL$89+'Eurostat_EB-2014'!$AM$89)</f>
        <v>4.4799905659582716E-2</v>
      </c>
      <c r="M35" s="629"/>
      <c r="N35" s="629"/>
      <c r="O35" s="629"/>
      <c r="P35" s="629"/>
      <c r="Q35" s="629"/>
      <c r="R35" s="619"/>
      <c r="S35" s="619"/>
      <c r="T35" s="619"/>
      <c r="U35" s="619"/>
      <c r="V35" s="619"/>
      <c r="W35" s="619"/>
      <c r="X35" s="619"/>
      <c r="Y35" s="619"/>
      <c r="Z35" s="619"/>
      <c r="AA35" s="619"/>
      <c r="AB35" s="619"/>
      <c r="AC35" s="619"/>
      <c r="AD35" s="619"/>
      <c r="AE35" s="619"/>
      <c r="AF35" s="619"/>
      <c r="AG35" s="628"/>
      <c r="AH35" s="627">
        <f t="shared" si="0"/>
        <v>13.7</v>
      </c>
      <c r="AK35" s="619">
        <f t="shared" si="1"/>
        <v>5.6927651263233146E-2</v>
      </c>
      <c r="AL35" s="619">
        <f t="shared" si="2"/>
        <v>4.4799905659582716E-2</v>
      </c>
      <c r="AM35" s="619">
        <v>5</v>
      </c>
      <c r="AN35" s="619">
        <v>5</v>
      </c>
      <c r="AO35" s="619"/>
      <c r="AP35" s="619"/>
      <c r="AQ35" s="619"/>
      <c r="AR35" s="619"/>
    </row>
    <row r="36" spans="2:46">
      <c r="B36" s="618"/>
      <c r="C36" s="618"/>
      <c r="D36" s="618"/>
      <c r="E36" s="625"/>
      <c r="F36" s="606" t="str">
        <f>[10]Commodities!D24</f>
        <v>DSL</v>
      </c>
      <c r="G36" s="588" t="s">
        <v>604</v>
      </c>
      <c r="H36" s="619">
        <f>'Eurostat_EB-2010'!$AL$89/('Eurostat_EB-2010'!$AE$89+'Eurostat_EB-2010'!$AK$89+'Eurostat_EB-2010'!$AF$89+('Eurostat_EB-2010'!$AI$89+'Eurostat_EB-2010'!$AJ$89)+'Eurostat_EB-2010'!$AL$89+'Eurostat_EB-2010'!$AM$89)</f>
        <v>0.42026605973147235</v>
      </c>
      <c r="I36" s="619">
        <f>'Eurostat_EB-2011'!$AL$89/('Eurostat_EB-2011'!$AE$89+'Eurostat_EB-2011'!$AK$89+'Eurostat_EB-2011'!$AF$89+('Eurostat_EB-2011'!$AI$89+'Eurostat_EB-2011'!$AJ$89)+'Eurostat_EB-2011'!$AL$89+'Eurostat_EB-2011'!$AM$89)</f>
        <v>0.43585398485771204</v>
      </c>
      <c r="J36" s="619">
        <f>'Eurostat_EB-2012'!$AL$89/('Eurostat_EB-2012'!$AE$89+'Eurostat_EB-2012'!$AK$89+'Eurostat_EB-2012'!$AF$89+('Eurostat_EB-2012'!$AI$89+'Eurostat_EB-2012'!$AJ$89)+'Eurostat_EB-2012'!$AL$89+'Eurostat_EB-2012'!$AM$89)</f>
        <v>0.42417896285504797</v>
      </c>
      <c r="K36" s="619">
        <f>'Eurostat_EB-2013'!$AL$89/('Eurostat_EB-2013'!$AE$89+'Eurostat_EB-2013'!$AK$89+'Eurostat_EB-2013'!$AF$89+('Eurostat_EB-2013'!$AI$89+'Eurostat_EB-2013'!$AJ$89)+'Eurostat_EB-2013'!$AL$89+'Eurostat_EB-2013'!$AM$89)</f>
        <v>0.43770752347032021</v>
      </c>
      <c r="L36" s="619">
        <f>'Eurostat_EB-2014'!$AL$89/('Eurostat_EB-2014'!$AE$89+'Eurostat_EB-2014'!$AK$89+'Eurostat_EB-2014'!$AF$89+('Eurostat_EB-2014'!$AI$89+'Eurostat_EB-2014'!$AJ$89)+'Eurostat_EB-2014'!$AL$89+'Eurostat_EB-2014'!$AM$89)</f>
        <v>0.4527868327731871</v>
      </c>
      <c r="M36" s="629"/>
      <c r="N36" s="629"/>
      <c r="O36" s="629"/>
      <c r="P36" s="629"/>
      <c r="Q36" s="629"/>
      <c r="R36" s="619"/>
      <c r="S36" s="619"/>
      <c r="T36" s="619"/>
      <c r="U36" s="619"/>
      <c r="V36" s="619"/>
      <c r="W36" s="619"/>
      <c r="X36" s="619"/>
      <c r="Y36" s="619"/>
      <c r="Z36" s="619"/>
      <c r="AA36" s="619"/>
      <c r="AB36" s="619"/>
      <c r="AC36" s="619"/>
      <c r="AD36" s="619"/>
      <c r="AE36" s="619"/>
      <c r="AF36" s="619"/>
      <c r="AG36" s="628"/>
      <c r="AH36" s="627">
        <f t="shared" si="0"/>
        <v>16.5</v>
      </c>
      <c r="AK36" s="619">
        <f t="shared" si="1"/>
        <v>0.4527868327731871</v>
      </c>
      <c r="AL36" s="619">
        <f t="shared" si="2"/>
        <v>0.42026605973147235</v>
      </c>
      <c r="AM36" s="619">
        <v>5</v>
      </c>
      <c r="AN36" s="619">
        <v>5</v>
      </c>
      <c r="AO36" s="619"/>
      <c r="AP36" s="619"/>
      <c r="AQ36" s="619"/>
      <c r="AR36" s="619"/>
    </row>
    <row r="37" spans="2:46">
      <c r="B37" s="618"/>
      <c r="C37" s="618"/>
      <c r="D37" s="618"/>
      <c r="E37" s="625"/>
      <c r="F37" s="606" t="str">
        <f>[10]Commodities!D25</f>
        <v>HFO</v>
      </c>
      <c r="G37" s="588" t="s">
        <v>604</v>
      </c>
      <c r="H37" s="619">
        <f>'Eurostat_EB-2010'!$AM$89/('Eurostat_EB-2010'!$AE$89+'Eurostat_EB-2010'!$AK$89+'Eurostat_EB-2010'!$AF$89+('Eurostat_EB-2010'!$AI$89+'Eurostat_EB-2010'!$AJ$89)+'Eurostat_EB-2010'!$AL$89+'Eurostat_EB-2010'!$AM$89)</f>
        <v>0.12819677862747181</v>
      </c>
      <c r="I37" s="619">
        <f>'Eurostat_EB-2011'!$AM$89/('Eurostat_EB-2011'!$AE$89+'Eurostat_EB-2011'!$AK$89+'Eurostat_EB-2011'!$AF$89+('Eurostat_EB-2011'!$AI$89+'Eurostat_EB-2011'!$AJ$89)+'Eurostat_EB-2011'!$AL$89+'Eurostat_EB-2011'!$AM$89)</f>
        <v>0.10884006211421976</v>
      </c>
      <c r="J37" s="619">
        <f>'Eurostat_EB-2012'!$AM$89/('Eurostat_EB-2012'!$AE$89+'Eurostat_EB-2012'!$AK$89+'Eurostat_EB-2012'!$AF$89+('Eurostat_EB-2012'!$AI$89+'Eurostat_EB-2012'!$AJ$89)+'Eurostat_EB-2012'!$AL$89+'Eurostat_EB-2012'!$AM$89)</f>
        <v>0.101660205077579</v>
      </c>
      <c r="K37" s="619">
        <f>'Eurostat_EB-2013'!$AM$89/('Eurostat_EB-2013'!$AE$89+'Eurostat_EB-2013'!$AK$89+'Eurostat_EB-2013'!$AF$89+('Eurostat_EB-2013'!$AI$89+'Eurostat_EB-2013'!$AJ$89)+'Eurostat_EB-2013'!$AL$89+'Eurostat_EB-2013'!$AM$89)</f>
        <v>0.10060647367675044</v>
      </c>
      <c r="L37" s="619">
        <f>'Eurostat_EB-2014'!$AM$89/('Eurostat_EB-2014'!$AE$89+'Eurostat_EB-2014'!$AK$89+'Eurostat_EB-2014'!$AF$89+('Eurostat_EB-2014'!$AI$89+'Eurostat_EB-2014'!$AJ$89)+'Eurostat_EB-2014'!$AL$89+'Eurostat_EB-2014'!$AM$89)</f>
        <v>0.11374758884424566</v>
      </c>
      <c r="M37" s="629"/>
      <c r="N37" s="629"/>
      <c r="O37" s="629"/>
      <c r="P37" s="629"/>
      <c r="Q37" s="629"/>
      <c r="R37" s="619"/>
      <c r="S37" s="619"/>
      <c r="T37" s="619"/>
      <c r="U37" s="619"/>
      <c r="V37" s="619"/>
      <c r="W37" s="619"/>
      <c r="X37" s="619"/>
      <c r="Y37" s="619"/>
      <c r="Z37" s="619"/>
      <c r="AA37" s="619"/>
      <c r="AB37" s="619"/>
      <c r="AC37" s="619"/>
      <c r="AD37" s="619"/>
      <c r="AE37" s="619"/>
      <c r="AF37" s="619"/>
      <c r="AG37" s="628"/>
      <c r="AH37" s="627">
        <f t="shared" si="0"/>
        <v>-11.8</v>
      </c>
      <c r="AK37" s="619">
        <f t="shared" si="1"/>
        <v>0.12819677862747181</v>
      </c>
      <c r="AL37" s="619">
        <f t="shared" si="2"/>
        <v>0.10060647367675044</v>
      </c>
      <c r="AM37" s="619">
        <v>5</v>
      </c>
      <c r="AN37" s="619">
        <v>5</v>
      </c>
      <c r="AO37" s="619"/>
      <c r="AP37" s="619"/>
      <c r="AQ37" s="619"/>
      <c r="AR37" s="619"/>
    </row>
    <row r="38" spans="2:46">
      <c r="B38" s="618"/>
      <c r="C38" s="618"/>
      <c r="D38" s="618" t="s">
        <v>1590</v>
      </c>
      <c r="E38" s="625"/>
      <c r="G38" s="588"/>
      <c r="H38" s="619"/>
      <c r="I38" s="619"/>
      <c r="J38" s="619"/>
      <c r="K38" s="619"/>
      <c r="L38" s="619"/>
      <c r="M38" s="620">
        <f>'Eurostat_EB-2010'!W31/'Eurostat_EB-2010'!W89-R31</f>
        <v>1.2784588729488622E-3</v>
      </c>
      <c r="N38" s="620">
        <f>'Eurostat_EB-2011'!W31/'Eurostat_EB-2011'!W89-S31</f>
        <v>5.5121496349119781E-4</v>
      </c>
      <c r="O38" s="620">
        <f>'Eurostat_EB-2012'!W31/'Eurostat_EB-2012'!W89-T31</f>
        <v>1.4174038707450709E-3</v>
      </c>
      <c r="P38" s="620">
        <f>'Eurostat_EB-2013'!W31/'Eurostat_EB-2013'!W89-U31</f>
        <v>9.9872088569608053E-4</v>
      </c>
      <c r="Q38" s="620">
        <f>'Eurostat_EB-2014'!W31/'Eurostat_EB-2014'!W89-V31</f>
        <v>7.7427663085027909E-4</v>
      </c>
      <c r="R38" s="619"/>
      <c r="S38" s="619"/>
      <c r="T38" s="619"/>
      <c r="U38" s="619"/>
      <c r="V38" s="619"/>
      <c r="W38" s="619"/>
      <c r="X38" s="619"/>
      <c r="Y38" s="619"/>
      <c r="Z38" s="619"/>
      <c r="AA38" s="619"/>
      <c r="AB38" s="619"/>
      <c r="AC38" s="619"/>
      <c r="AD38" s="619"/>
      <c r="AE38" s="619"/>
      <c r="AF38" s="619"/>
      <c r="AG38" s="628"/>
      <c r="AH38" s="627"/>
      <c r="AK38" s="619"/>
      <c r="AL38" s="619"/>
      <c r="AM38" s="619"/>
      <c r="AN38" s="619"/>
      <c r="AO38" s="619"/>
      <c r="AP38" s="619"/>
      <c r="AQ38" s="619"/>
      <c r="AR38" s="619"/>
    </row>
    <row r="39" spans="2:46">
      <c r="B39" s="618"/>
      <c r="C39" s="618"/>
      <c r="D39" s="606" t="str">
        <f>[10]Commodities!$D$34</f>
        <v>SUPELC</v>
      </c>
      <c r="H39" s="619"/>
      <c r="I39" s="619"/>
      <c r="J39" s="619"/>
      <c r="K39" s="619"/>
      <c r="L39" s="619"/>
      <c r="M39" s="630"/>
      <c r="N39" s="630"/>
      <c r="O39" s="630"/>
      <c r="P39" s="630"/>
      <c r="Q39" s="630"/>
      <c r="R39" s="619"/>
      <c r="S39" s="619"/>
      <c r="T39" s="619"/>
      <c r="U39" s="619"/>
      <c r="V39" s="619"/>
      <c r="W39" s="619"/>
      <c r="X39" s="619"/>
      <c r="Y39" s="619"/>
      <c r="Z39" s="619"/>
      <c r="AA39" s="619"/>
      <c r="AB39" s="619"/>
      <c r="AC39" s="619"/>
      <c r="AD39" s="619"/>
      <c r="AE39" s="619"/>
      <c r="AF39" s="619"/>
      <c r="AG39" s="628"/>
      <c r="AH39" s="628"/>
      <c r="AK39" s="619"/>
      <c r="AL39" s="619"/>
      <c r="AM39" s="619"/>
      <c r="AN39" s="619"/>
      <c r="AO39" s="619"/>
      <c r="AP39" s="619"/>
      <c r="AQ39" s="619"/>
      <c r="AR39" s="619"/>
    </row>
    <row r="40" spans="2:46">
      <c r="B40" s="631"/>
      <c r="C40" s="631"/>
      <c r="D40" s="631" t="str">
        <f>[10]Commodities!$D$35</f>
        <v>SUPHETC</v>
      </c>
      <c r="E40" s="632"/>
      <c r="F40" s="632"/>
      <c r="G40" s="632"/>
      <c r="H40" s="633"/>
      <c r="I40" s="633"/>
      <c r="J40" s="633"/>
      <c r="K40" s="633"/>
      <c r="L40" s="633"/>
      <c r="M40" s="634"/>
      <c r="N40" s="634"/>
      <c r="O40" s="634"/>
      <c r="P40" s="634"/>
      <c r="Q40" s="634"/>
      <c r="R40" s="633"/>
      <c r="S40" s="633"/>
      <c r="T40" s="633"/>
      <c r="U40" s="633"/>
      <c r="V40" s="633"/>
      <c r="W40" s="633"/>
      <c r="X40" s="633"/>
      <c r="Y40" s="633"/>
      <c r="Z40" s="633"/>
      <c r="AA40" s="633"/>
      <c r="AB40" s="633"/>
      <c r="AC40" s="633"/>
      <c r="AD40" s="633"/>
      <c r="AE40" s="633"/>
      <c r="AF40" s="633"/>
      <c r="AG40" s="635"/>
      <c r="AH40" s="635"/>
      <c r="AI40" s="632"/>
      <c r="AJ40" s="632"/>
      <c r="AK40" s="633"/>
      <c r="AL40" s="633"/>
      <c r="AM40" s="633"/>
      <c r="AN40" s="633"/>
      <c r="AO40" s="633"/>
      <c r="AP40" s="633"/>
      <c r="AQ40" s="633"/>
      <c r="AR40" s="633"/>
      <c r="AT40" s="632"/>
    </row>
    <row r="43" spans="2:46" ht="15">
      <c r="G43" s="51" t="s">
        <v>152</v>
      </c>
      <c r="H43" s="636">
        <f>IF(SUM(H32:H42)=1,SUM(H32:H42),"ERROR")</f>
        <v>1</v>
      </c>
      <c r="I43" s="636">
        <f>IF(SUM(I32:I42)=1,SUM(I32:I42),"ERROR")</f>
        <v>1</v>
      </c>
      <c r="J43" s="636">
        <f>IF(SUM(J32:J42)=1,SUM(J32:J42),"ERROR")</f>
        <v>1</v>
      </c>
      <c r="K43" s="636">
        <f>IF(SUM(K32:K42)=1,SUM(K32:K42),"ERROR")</f>
        <v>1</v>
      </c>
      <c r="L43" s="636">
        <f>IF(SUM(L32:L42)=1,SUM(L32:L42),"ERROR")</f>
        <v>1</v>
      </c>
    </row>
    <row r="49" spans="3:7">
      <c r="C49" s="606" t="s">
        <v>894</v>
      </c>
    </row>
    <row r="50" spans="3:7">
      <c r="C50" s="606" t="s">
        <v>280</v>
      </c>
    </row>
    <row r="51" spans="3:7">
      <c r="C51" s="606" t="s">
        <v>281</v>
      </c>
    </row>
    <row r="52" spans="3:7" ht="14" thickBot="1"/>
    <row r="53" spans="3:7">
      <c r="C53" s="637"/>
      <c r="D53" s="638" t="s">
        <v>596</v>
      </c>
      <c r="E53" s="638" t="s">
        <v>597</v>
      </c>
      <c r="F53" s="638" t="s">
        <v>598</v>
      </c>
      <c r="G53" s="639" t="s">
        <v>599</v>
      </c>
    </row>
    <row r="54" spans="3:7">
      <c r="C54" s="640"/>
      <c r="D54" s="606" t="s">
        <v>602</v>
      </c>
      <c r="E54" s="606" t="s">
        <v>602</v>
      </c>
      <c r="F54" s="606" t="s">
        <v>602</v>
      </c>
      <c r="G54" s="641" t="s">
        <v>602</v>
      </c>
    </row>
    <row r="55" spans="3:7">
      <c r="C55" s="642" t="s">
        <v>75</v>
      </c>
      <c r="D55" s="621">
        <v>4.0999999999999996</v>
      </c>
      <c r="E55" s="621">
        <v>7.8</v>
      </c>
      <c r="F55" s="621">
        <v>-8</v>
      </c>
      <c r="G55" s="643">
        <f>SUM(D55:F55)</f>
        <v>3.8999999999999986</v>
      </c>
    </row>
    <row r="56" spans="3:7">
      <c r="C56" s="642" t="s">
        <v>100</v>
      </c>
      <c r="D56" s="621">
        <v>4.0999999999999996</v>
      </c>
      <c r="E56" s="621">
        <v>7.8</v>
      </c>
      <c r="F56" s="621">
        <v>-8</v>
      </c>
      <c r="G56" s="643">
        <f>SUM(D56:F56)</f>
        <v>3.8999999999999986</v>
      </c>
    </row>
    <row r="57" spans="3:7">
      <c r="C57" s="642" t="s">
        <v>76</v>
      </c>
      <c r="D57" s="621">
        <v>4.0999999999999996</v>
      </c>
      <c r="E57" s="621">
        <v>7.8</v>
      </c>
      <c r="F57" s="621">
        <v>5.7</v>
      </c>
      <c r="G57" s="643">
        <f>SUM(D57:F57)</f>
        <v>17.599999999999998</v>
      </c>
    </row>
    <row r="58" spans="3:7">
      <c r="C58" s="642" t="s">
        <v>79</v>
      </c>
      <c r="D58" s="621">
        <v>4.0999999999999996</v>
      </c>
      <c r="E58" s="621">
        <v>7.8</v>
      </c>
      <c r="F58" s="621">
        <v>1.8</v>
      </c>
      <c r="G58" s="643">
        <f>SUM(D58:F58)</f>
        <v>13.7</v>
      </c>
    </row>
    <row r="59" spans="3:7">
      <c r="C59" s="642" t="s">
        <v>45</v>
      </c>
      <c r="D59" s="621">
        <v>4.0999999999999996</v>
      </c>
      <c r="E59" s="621">
        <v>7.8</v>
      </c>
      <c r="F59" s="621">
        <v>4.5999999999999996</v>
      </c>
      <c r="G59" s="643">
        <f t="shared" ref="G59:G60" si="3">SUM(D59:F59)</f>
        <v>16.5</v>
      </c>
    </row>
    <row r="60" spans="3:7" ht="14" thickBot="1">
      <c r="C60" s="644" t="s">
        <v>44</v>
      </c>
      <c r="D60" s="645">
        <v>4.0999999999999996</v>
      </c>
      <c r="E60" s="645">
        <v>7.8</v>
      </c>
      <c r="F60" s="645">
        <v>-23.7</v>
      </c>
      <c r="G60" s="646">
        <f t="shared" si="3"/>
        <v>-11.8</v>
      </c>
    </row>
    <row r="62" spans="3:7">
      <c r="C62" s="606" t="s">
        <v>282</v>
      </c>
    </row>
    <row r="63" spans="3:7">
      <c r="C63" s="606" t="s">
        <v>607</v>
      </c>
    </row>
    <row r="67" spans="24:29">
      <c r="X67" s="647"/>
      <c r="Y67" s="608"/>
      <c r="Z67" s="608"/>
      <c r="AA67" s="608"/>
      <c r="AB67" s="608"/>
      <c r="AC67" s="608"/>
    </row>
    <row r="68" spans="24:29">
      <c r="X68" s="647"/>
      <c r="Y68" s="608"/>
      <c r="Z68" s="608"/>
      <c r="AA68" s="608"/>
      <c r="AB68" s="608"/>
      <c r="AC68" s="608"/>
    </row>
    <row r="69" spans="24:29">
      <c r="X69" s="647"/>
      <c r="Y69" s="608"/>
      <c r="Z69" s="608"/>
      <c r="AA69" s="608"/>
      <c r="AB69" s="608"/>
      <c r="AC69" s="608"/>
    </row>
    <row r="70" spans="24:29">
      <c r="X70" s="647"/>
      <c r="Y70" s="608"/>
      <c r="Z70" s="608"/>
      <c r="AA70" s="608"/>
      <c r="AB70" s="608"/>
      <c r="AC70" s="608"/>
    </row>
    <row r="71" spans="24:29">
      <c r="X71" s="647"/>
      <c r="Y71" s="608"/>
      <c r="Z71" s="608"/>
      <c r="AA71" s="608"/>
      <c r="AB71" s="608"/>
      <c r="AC71" s="608"/>
    </row>
    <row r="72" spans="24:29">
      <c r="X72" s="647"/>
      <c r="Y72" s="608"/>
      <c r="Z72" s="608"/>
      <c r="AA72" s="608"/>
      <c r="AB72" s="608"/>
      <c r="AC72" s="608"/>
    </row>
    <row r="106" spans="9:10">
      <c r="I106" s="606" t="s">
        <v>311</v>
      </c>
      <c r="J106" s="606" t="s">
        <v>603</v>
      </c>
    </row>
    <row r="107" spans="9:10">
      <c r="I107" s="606" t="s">
        <v>600</v>
      </c>
      <c r="J107" s="606" t="s">
        <v>601</v>
      </c>
    </row>
  </sheetData>
  <mergeCells count="1">
    <mergeCell ref="AR28:AS28"/>
  </mergeCells>
  <conditionalFormatting sqref="AM32:AN40 N38 P38:Q38 X32:Z32 M31:Q31 N18:Q18 R17:R18 N21:R21">
    <cfRule type="cellIs" dxfId="41" priority="50" stopIfTrue="1" operator="equal">
      <formula>1</formula>
    </cfRule>
  </conditionalFormatting>
  <conditionalFormatting sqref="AI31">
    <cfRule type="cellIs" dxfId="40" priority="51" stopIfTrue="1" operator="greaterThan">
      <formula>#REF!</formula>
    </cfRule>
  </conditionalFormatting>
  <conditionalFormatting sqref="O38">
    <cfRule type="cellIs" dxfId="39" priority="49" stopIfTrue="1" operator="equal">
      <formula>1</formula>
    </cfRule>
  </conditionalFormatting>
  <conditionalFormatting sqref="AK39:AL40">
    <cfRule type="cellIs" dxfId="38" priority="48" stopIfTrue="1" operator="equal">
      <formula>1</formula>
    </cfRule>
  </conditionalFormatting>
  <conditionalFormatting sqref="AO31">
    <cfRule type="cellIs" dxfId="37" priority="47" stopIfTrue="1" operator="equal">
      <formula>1</formula>
    </cfRule>
  </conditionalFormatting>
  <conditionalFormatting sqref="AJ31">
    <cfRule type="cellIs" dxfId="36" priority="46" stopIfTrue="1" operator="greaterThan">
      <formula>#REF!</formula>
    </cfRule>
  </conditionalFormatting>
  <conditionalFormatting sqref="M38">
    <cfRule type="cellIs" dxfId="35" priority="45" stopIfTrue="1" operator="equal">
      <formula>1</formula>
    </cfRule>
  </conditionalFormatting>
  <conditionalFormatting sqref="W32">
    <cfRule type="cellIs" dxfId="34" priority="44" stopIfTrue="1" operator="equal">
      <formula>1</formula>
    </cfRule>
  </conditionalFormatting>
  <conditionalFormatting sqref="W31">
    <cfRule type="cellIs" dxfId="33" priority="43" stopIfTrue="1" operator="equal">
      <formula>1</formula>
    </cfRule>
  </conditionalFormatting>
  <conditionalFormatting sqref="X31">
    <cfRule type="cellIs" dxfId="32" priority="42" stopIfTrue="1" operator="equal">
      <formula>1</formula>
    </cfRule>
  </conditionalFormatting>
  <conditionalFormatting sqref="Y31">
    <cfRule type="cellIs" dxfId="31" priority="41" stopIfTrue="1" operator="equal">
      <formula>1</formula>
    </cfRule>
  </conditionalFormatting>
  <conditionalFormatting sqref="Z31">
    <cfRule type="cellIs" dxfId="30" priority="40" stopIfTrue="1" operator="equal">
      <formula>1</formula>
    </cfRule>
  </conditionalFormatting>
  <conditionalFormatting sqref="AA31">
    <cfRule type="cellIs" dxfId="29" priority="39" stopIfTrue="1" operator="equal">
      <formula>1</formula>
    </cfRule>
  </conditionalFormatting>
  <conditionalFormatting sqref="AB31">
    <cfRule type="cellIs" dxfId="28" priority="38" stopIfTrue="1" operator="equal">
      <formula>1</formula>
    </cfRule>
  </conditionalFormatting>
  <conditionalFormatting sqref="AC31">
    <cfRule type="cellIs" dxfId="27" priority="37" stopIfTrue="1" operator="equal">
      <formula>1</formula>
    </cfRule>
  </conditionalFormatting>
  <conditionalFormatting sqref="AD31">
    <cfRule type="cellIs" dxfId="26" priority="36" stopIfTrue="1" operator="equal">
      <formula>1</formula>
    </cfRule>
  </conditionalFormatting>
  <conditionalFormatting sqref="AE31">
    <cfRule type="cellIs" dxfId="25" priority="35" stopIfTrue="1" operator="equal">
      <formula>1</formula>
    </cfRule>
  </conditionalFormatting>
  <conditionalFormatting sqref="AF31">
    <cfRule type="cellIs" dxfId="24" priority="34" stopIfTrue="1" operator="equal">
      <formula>1</formula>
    </cfRule>
  </conditionalFormatting>
  <conditionalFormatting sqref="AP31">
    <cfRule type="cellIs" dxfId="23" priority="33" stopIfTrue="1" operator="equal">
      <formula>1</formula>
    </cfRule>
  </conditionalFormatting>
  <conditionalFormatting sqref="R8">
    <cfRule type="cellIs" dxfId="22" priority="32" stopIfTrue="1" operator="equal">
      <formula>1</formula>
    </cfRule>
  </conditionalFormatting>
  <conditionalFormatting sqref="N17:Q17">
    <cfRule type="cellIs" dxfId="21" priority="26" stopIfTrue="1" operator="equal">
      <formula>1</formula>
    </cfRule>
  </conditionalFormatting>
  <conditionalFormatting sqref="Z9:AA17 N8:Q8 K17:M17 K20:M21 Z20:AA21 M9:M16">
    <cfRule type="cellIs" dxfId="20" priority="29" stopIfTrue="1" operator="equal">
      <formula>1</formula>
    </cfRule>
  </conditionalFormatting>
  <conditionalFormatting sqref="Y8">
    <cfRule type="cellIs" dxfId="19" priority="30" stopIfTrue="1" operator="greaterThan">
      <formula>#REF!</formula>
    </cfRule>
  </conditionalFormatting>
  <conditionalFormatting sqref="Z8 AB8:AC8">
    <cfRule type="cellIs" dxfId="18" priority="28" stopIfTrue="1" operator="equal">
      <formula>1</formula>
    </cfRule>
  </conditionalFormatting>
  <conditionalFormatting sqref="Z8 AB8:AC8">
    <cfRule type="cellIs" dxfId="17" priority="31" stopIfTrue="1" operator="lessThan">
      <formula>#REF!</formula>
    </cfRule>
  </conditionalFormatting>
  <conditionalFormatting sqref="O17">
    <cfRule type="cellIs" dxfId="16" priority="25" stopIfTrue="1" operator="equal">
      <formula>1</formula>
    </cfRule>
  </conditionalFormatting>
  <conditionalFormatting sqref="P17">
    <cfRule type="cellIs" dxfId="15" priority="24" stopIfTrue="1" operator="equal">
      <formula>1</formula>
    </cfRule>
  </conditionalFormatting>
  <conditionalFormatting sqref="Q17">
    <cfRule type="cellIs" dxfId="14" priority="23" stopIfTrue="1" operator="equal">
      <formula>1</formula>
    </cfRule>
  </conditionalFormatting>
  <conditionalFormatting sqref="AA8">
    <cfRule type="cellIs" dxfId="13" priority="20" stopIfTrue="1" operator="equal">
      <formula>1</formula>
    </cfRule>
  </conditionalFormatting>
  <conditionalFormatting sqref="AA8">
    <cfRule type="cellIs" dxfId="12" priority="21" stopIfTrue="1" operator="lessThan">
      <formula>#REF!</formula>
    </cfRule>
  </conditionalFormatting>
  <conditionalFormatting sqref="Z18:AA19 L18:M19">
    <cfRule type="cellIs" dxfId="11" priority="17" stopIfTrue="1" operator="equal">
      <formula>1</formula>
    </cfRule>
  </conditionalFormatting>
  <conditionalFormatting sqref="R20">
    <cfRule type="cellIs" dxfId="10" priority="14" stopIfTrue="1" operator="equal">
      <formula>1</formula>
    </cfRule>
  </conditionalFormatting>
  <conditionalFormatting sqref="AD8">
    <cfRule type="cellIs" dxfId="9" priority="7" stopIfTrue="1" operator="equal">
      <formula>1</formula>
    </cfRule>
  </conditionalFormatting>
  <conditionalFormatting sqref="AD8">
    <cfRule type="cellIs" dxfId="8" priority="8" stopIfTrue="1" operator="lessThan">
      <formula>#REF!</formula>
    </cfRule>
  </conditionalFormatting>
  <conditionalFormatting sqref="AE8">
    <cfRule type="cellIs" dxfId="7" priority="5" stopIfTrue="1" operator="equal">
      <formula>1</formula>
    </cfRule>
  </conditionalFormatting>
  <conditionalFormatting sqref="AE8">
    <cfRule type="cellIs" dxfId="6" priority="6" stopIfTrue="1" operator="lessThan">
      <formula>#REF!</formula>
    </cfRule>
  </conditionalFormatting>
  <conditionalFormatting sqref="AF8">
    <cfRule type="cellIs" dxfId="5" priority="3" stopIfTrue="1" operator="equal">
      <formula>1</formula>
    </cfRule>
  </conditionalFormatting>
  <conditionalFormatting sqref="AF8">
    <cfRule type="cellIs" dxfId="4" priority="4" stopIfTrue="1" operator="lessThan">
      <formula>#REF!</formula>
    </cfRule>
  </conditionalFormatting>
  <conditionalFormatting sqref="K18">
    <cfRule type="cellIs" dxfId="3" priority="2" stopIfTrue="1" operator="equal">
      <formula>1</formula>
    </cfRule>
  </conditionalFormatting>
  <conditionalFormatting sqref="K19">
    <cfRule type="cellIs" dxfId="2" priority="1" stopIfTrue="1" operator="equal">
      <formula>1</formula>
    </cfRule>
  </conditionalFormatting>
  <pageMargins left="0.7" right="0.7" top="0.75" bottom="0.75" header="0.3" footer="0.3"/>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7F4C32-BE0A-4C36-92DE-2F66C6FD172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C696E28-DAEE-42A5-B2D2-BD53EF49CF02}">
  <ds:schemaRefs>
    <ds:schemaRef ds:uri="http://schemas.microsoft.com/sharepoint/v3/contenttype/forms"/>
  </ds:schemaRefs>
</ds:datastoreItem>
</file>

<file path=customXml/itemProps3.xml><?xml version="1.0" encoding="utf-8"?>
<ds:datastoreItem xmlns:ds="http://schemas.openxmlformats.org/officeDocument/2006/customXml" ds:itemID="{3B4A72FC-B6AC-4405-8D7C-21848B27F3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32</vt:i4>
      </vt:variant>
      <vt:variant>
        <vt:lpstr>Navngivne områder</vt:lpstr>
      </vt:variant>
      <vt:variant>
        <vt:i4>14</vt:i4>
      </vt:variant>
    </vt:vector>
  </HeadingPairs>
  <TitlesOfParts>
    <vt:vector size="46" baseType="lpstr">
      <vt:lpstr>LOG</vt:lpstr>
      <vt:lpstr>Intro</vt:lpstr>
      <vt:lpstr>Commodities</vt:lpstr>
      <vt:lpstr>Processes</vt:lpstr>
      <vt:lpstr>Trade</vt:lpstr>
      <vt:lpstr>Distribution</vt:lpstr>
      <vt:lpstr>MIN-IMP-EXP</vt:lpstr>
      <vt:lpstr>ETS_NETS_Prices</vt:lpstr>
      <vt:lpstr>Refineries</vt:lpstr>
      <vt:lpstr>Emis</vt:lpstr>
      <vt:lpstr>35 (2)</vt:lpstr>
      <vt:lpstr>Fuel Tech</vt:lpstr>
      <vt:lpstr>ENG_Balance</vt:lpstr>
      <vt:lpstr>Structure</vt:lpstr>
      <vt:lpstr>Summary</vt:lpstr>
      <vt:lpstr>2010</vt:lpstr>
      <vt:lpstr>2015</vt:lpstr>
      <vt:lpstr>2019</vt:lpstr>
      <vt:lpstr>3.10</vt:lpstr>
      <vt:lpstr>Data_by_sector</vt:lpstr>
      <vt:lpstr>BiomassCost</vt:lpstr>
      <vt:lpstr>MIN-IMP-EXP_Data</vt:lpstr>
      <vt:lpstr>Refinery_data</vt:lpstr>
      <vt:lpstr>Oil &amp; Gas Data</vt:lpstr>
      <vt:lpstr>Eurostat_EB-2010</vt:lpstr>
      <vt:lpstr>Eurostat_EB-2011</vt:lpstr>
      <vt:lpstr>Eurostat_EB-2012</vt:lpstr>
      <vt:lpstr>Eurostat_EB-2013</vt:lpstr>
      <vt:lpstr>Eurostat_EB-2014</vt:lpstr>
      <vt:lpstr>NETP 2016 (Balmorel)</vt:lpstr>
      <vt:lpstr>Flex4RES fuel prices</vt:lpstr>
      <vt:lpstr>BiomassCost (2)</vt:lpstr>
      <vt:lpstr>CO2Price</vt:lpstr>
      <vt:lpstr>LBL_CAT</vt:lpstr>
      <vt:lpstr>Raggr4</vt:lpstr>
      <vt:lpstr>Raggr5</vt:lpstr>
      <vt:lpstr>'Eurostat_EB-2010'!Udskriftsområde</vt:lpstr>
      <vt:lpstr>'Eurostat_EB-2011'!Udskriftsområde</vt:lpstr>
      <vt:lpstr>'Eurostat_EB-2012'!Udskriftsområde</vt:lpstr>
      <vt:lpstr>'Eurostat_EB-2013'!Udskriftsområde</vt:lpstr>
      <vt:lpstr>'Eurostat_EB-2014'!Udskriftsområde</vt:lpstr>
      <vt:lpstr>'Eurostat_EB-2010'!Udskriftstitler</vt:lpstr>
      <vt:lpstr>'Eurostat_EB-2011'!Udskriftstitler</vt:lpstr>
      <vt:lpstr>'Eurostat_EB-2012'!Udskriftstitler</vt:lpstr>
      <vt:lpstr>'Eurostat_EB-2013'!Udskriftstitler</vt:lpstr>
      <vt:lpstr>'Eurostat_EB-2014'!Udskriftstitler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Bosack</dc:creator>
  <cp:lastModifiedBy>Microsoft Office User</cp:lastModifiedBy>
  <cp:lastPrinted>2005-02-10T12:45:56Z</cp:lastPrinted>
  <dcterms:created xsi:type="dcterms:W3CDTF">2000-12-13T15:53:11Z</dcterms:created>
  <dcterms:modified xsi:type="dcterms:W3CDTF">2022-04-29T08:14:15Z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384853541851043</vt:r8>
  </property>
  <property fmtid="{D5CDD505-2E9C-101B-9397-08002B2CF9AE}" pid="3" name="ContentTypeId">
    <vt:lpwstr>0x010100391E4ED4D6B5344984C5B5CBC1A28781</vt:lpwstr>
  </property>
</Properties>
</file>