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12533\Desktop\BootCamp\Homework\Portfolio.io\Assets\"/>
    </mc:Choice>
  </mc:AlternateContent>
  <xr:revisionPtr revIDLastSave="0" documentId="8_{04118AE1-4DF3-4010-93AE-25573360CE1B}" xr6:coauthVersionLast="45" xr6:coauthVersionMax="45" xr10:uidLastSave="{00000000-0000-0000-0000-000000000000}"/>
  <workbookProtection workbookAlgorithmName="SHA-512" workbookHashValue="NZ7WHl7erTS8JaFgaKOTtbJT2V6ep9qqXaeqBngum8U/uEd+Ao0CClwwd+45B0tbXdNpuY/BKBF7wm0bPu2INw==" workbookSaltValue="dwiRx02S+/WTbvwaNTrmrg==" workbookSpinCount="100000" lockStructure="1"/>
  <bookViews>
    <workbookView xWindow="-108" yWindow="-108" windowWidth="23256" windowHeight="12576" tabRatio="682" xr2:uid="{00000000-000D-0000-FFFF-FFFF00000000}"/>
  </bookViews>
  <sheets>
    <sheet name="IPS-R" sheetId="45" r:id="rId1"/>
    <sheet name="Pre-Inspection Sheet" sheetId="44" r:id="rId2"/>
    <sheet name="IPS-RS" sheetId="46" r:id="rId3"/>
    <sheet name="RSA Sheet" sheetId="47" r:id="rId4"/>
    <sheet name="MAO" sheetId="18" state="hidden" r:id="rId5"/>
    <sheet name="Validation List" sheetId="37" state="hidden" r:id="rId6"/>
  </sheets>
  <definedNames>
    <definedName name="Address">#REF!</definedName>
    <definedName name="Broker_Assigned">#REF!</definedName>
    <definedName name="Buyer___Seller?">#REF!</definedName>
    <definedName name="City">#REF!</definedName>
    <definedName name="Client_Name">#REF!</definedName>
    <definedName name="Client_Priority_Tier">#REF!</definedName>
    <definedName name="Delta18">'IPS-R'!$C$38</definedName>
    <definedName name="Desired_Area_Code">#REF!</definedName>
    <definedName name="Desired_City">#REF!</definedName>
    <definedName name="Desired_City__1">#REF!</definedName>
    <definedName name="Desired_City__2">#REF!</definedName>
    <definedName name="Desired_City__3">#REF!</definedName>
    <definedName name="Desired_Price_Range">#REF!</definedName>
    <definedName name="Desired_Property_Type">#REF!</definedName>
    <definedName name="Desired_Square_Footage">#REF!</definedName>
    <definedName name="Desired_Zip_Code">#REF!</definedName>
    <definedName name="Email_Address">#REF!</definedName>
    <definedName name="First_time_home_buyer">#REF!</definedName>
    <definedName name="Header_Row">ROW(#REF!)</definedName>
    <definedName name="House_to_sell?">#REF!</definedName>
    <definedName name="Last_Contact_Date">#REF!</definedName>
    <definedName name="Last_Row">IF(Values_Entered,Header_Row+Number_of_Payments,Header_Row)</definedName>
    <definedName name="Lead_Source">#REF!</definedName>
    <definedName name="Notes">#REF!</definedName>
    <definedName name="Number_of_Payments">MATCH(0.01,End_Bal,-1)+1</definedName>
    <definedName name="Payment_Date">DATE(YEAR(Loan_Start),MONTH(Loan_Start)+Payment_Number,DAY(Loan_Start))</definedName>
    <definedName name="Phone_Number">#REF!</definedName>
    <definedName name="Pre_qualified">#REF!</definedName>
    <definedName name="Print_Area_Reset">OFFSET(Full_Print,0,0,Last_Row)</definedName>
    <definedName name="Property_Matched?">#REF!</definedName>
    <definedName name="RSADropDown">'Validation List'!$J$2:INDEX('Validation List'!$J$2:$J$8,COUNTIF('Validation List'!$J$2:$J$8,"?*"))</definedName>
    <definedName name="Timeframe">#REF!</definedName>
    <definedName name="Total_Payment">Scheduled_Payment+Extra_Payment</definedName>
    <definedName name="Values_Entered">IF(Loan_Amount*Interest_Rate*Loan_Years*Loan_Start&gt;0,1,0)</definedName>
    <definedName name="Zip">#REF!</definedName>
  </definedNames>
  <calcPr calcId="191029" iterate="1" iterateCount="1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45" l="1"/>
  <c r="C7" i="46" l="1"/>
  <c r="A2" i="47"/>
  <c r="A4" i="47"/>
  <c r="A6" i="47"/>
  <c r="C50" i="46"/>
  <c r="C51" i="46" s="1"/>
  <c r="C73" i="46" s="1"/>
  <c r="C48" i="46"/>
  <c r="C49" i="46" s="1"/>
  <c r="C74" i="46" l="1"/>
  <c r="A69" i="46"/>
  <c r="A70" i="46" s="1"/>
  <c r="D9" i="47"/>
  <c r="F9" i="47" s="1"/>
  <c r="D23" i="47"/>
  <c r="F23" i="47" s="1"/>
  <c r="D22" i="47"/>
  <c r="F22" i="47" s="1"/>
  <c r="D21" i="47"/>
  <c r="F21" i="47" s="1"/>
  <c r="D20" i="47"/>
  <c r="F20" i="47" s="1"/>
  <c r="D19" i="47"/>
  <c r="F19" i="47" s="1"/>
  <c r="D18" i="47"/>
  <c r="F18" i="47" s="1"/>
  <c r="D17" i="47"/>
  <c r="F17" i="47" s="1"/>
  <c r="D16" i="47"/>
  <c r="F16" i="47" s="1"/>
  <c r="D15" i="47"/>
  <c r="F15" i="47" s="1"/>
  <c r="D14" i="47"/>
  <c r="F14" i="47" s="1"/>
  <c r="D13" i="47"/>
  <c r="F13" i="47" s="1"/>
  <c r="D12" i="47"/>
  <c r="F12" i="47" s="1"/>
  <c r="D11" i="47"/>
  <c r="F11" i="47" s="1"/>
  <c r="D10" i="47"/>
  <c r="F10" i="47" s="1"/>
  <c r="G3" i="37"/>
  <c r="H3" i="37" s="1"/>
  <c r="G4" i="37"/>
  <c r="H4" i="37" s="1"/>
  <c r="G5" i="37"/>
  <c r="H5" i="37" s="1"/>
  <c r="G6" i="37"/>
  <c r="H6" i="37" s="1"/>
  <c r="G7" i="37"/>
  <c r="H7" i="37" s="1"/>
  <c r="G8" i="37"/>
  <c r="H8" i="37" s="1"/>
  <c r="G2" i="37"/>
  <c r="H2" i="37" s="1"/>
  <c r="E32" i="47"/>
  <c r="F32" i="47" s="1"/>
  <c r="E31" i="47"/>
  <c r="F31" i="47" s="1"/>
  <c r="E30" i="47"/>
  <c r="F30" i="47" s="1"/>
  <c r="E29" i="47"/>
  <c r="F29" i="47" s="1"/>
  <c r="E28" i="47"/>
  <c r="F28" i="47" s="1"/>
  <c r="E27" i="47"/>
  <c r="F27" i="47" s="1"/>
  <c r="C71" i="46"/>
  <c r="C72" i="46" s="1"/>
  <c r="A5" i="46"/>
  <c r="A2" i="46"/>
  <c r="C34" i="45"/>
  <c r="C35" i="45" s="1"/>
  <c r="C32" i="45"/>
  <c r="F34" i="47" l="1"/>
  <c r="C12" i="46" s="1"/>
  <c r="C57" i="46" s="1"/>
  <c r="C59" i="46" s="1"/>
  <c r="D36" i="47"/>
  <c r="C13" i="46" s="1"/>
  <c r="A67" i="46"/>
  <c r="A68" i="46" s="1"/>
  <c r="I4" i="37"/>
  <c r="J4" i="37" s="1"/>
  <c r="I8" i="37"/>
  <c r="J8" i="37" s="1"/>
  <c r="I3" i="37"/>
  <c r="J3" i="37" s="1"/>
  <c r="I5" i="37"/>
  <c r="J5" i="37" s="1"/>
  <c r="I2" i="37"/>
  <c r="J2" i="37" s="1"/>
  <c r="I6" i="37"/>
  <c r="J6" i="37" s="1"/>
  <c r="I7" i="37"/>
  <c r="J7" i="37" s="1"/>
  <c r="C62" i="46" l="1"/>
  <c r="C64" i="46" s="1"/>
  <c r="C53" i="46"/>
  <c r="C54" i="46" s="1"/>
  <c r="C55" i="46"/>
  <c r="C56" i="46" s="1"/>
  <c r="C65" i="46"/>
  <c r="C66" i="46" s="1"/>
  <c r="C60" i="46"/>
  <c r="C61" i="46" s="1"/>
  <c r="J10" i="37"/>
  <c r="D3" i="44" l="1"/>
  <c r="F3" i="44" s="1"/>
  <c r="D4" i="44"/>
  <c r="F4" i="44" s="1"/>
  <c r="D5" i="44"/>
  <c r="F5" i="44" s="1"/>
  <c r="D6" i="44"/>
  <c r="F6" i="44" s="1"/>
  <c r="D7" i="44"/>
  <c r="F7" i="44" s="1"/>
  <c r="D8" i="44"/>
  <c r="F8" i="44" s="1"/>
  <c r="D9" i="44"/>
  <c r="F9" i="44" s="1"/>
  <c r="D10" i="44"/>
  <c r="F10" i="44" s="1"/>
  <c r="D11" i="44"/>
  <c r="F11" i="44" s="1"/>
  <c r="D12" i="44"/>
  <c r="F12" i="44" s="1"/>
  <c r="D13" i="44"/>
  <c r="F13" i="44" s="1"/>
  <c r="D14" i="44"/>
  <c r="F14" i="44" s="1"/>
  <c r="D15" i="44"/>
  <c r="F15" i="44" s="1"/>
  <c r="D16" i="44"/>
  <c r="F16" i="44" s="1"/>
  <c r="D17" i="44"/>
  <c r="F17" i="44" s="1"/>
  <c r="E21" i="44"/>
  <c r="F21" i="44" s="1"/>
  <c r="E22" i="44"/>
  <c r="F22" i="44" s="1"/>
  <c r="E23" i="44"/>
  <c r="F23" i="44" s="1"/>
  <c r="E24" i="44"/>
  <c r="F24" i="44" s="1"/>
  <c r="E25" i="44"/>
  <c r="F25" i="44" s="1"/>
  <c r="E26" i="44"/>
  <c r="F26" i="44" s="1"/>
  <c r="E27" i="44"/>
  <c r="F27" i="44" s="1"/>
  <c r="A5" i="45"/>
  <c r="A2" i="45"/>
  <c r="B3" i="18"/>
  <c r="B7" i="18" s="1"/>
  <c r="B6" i="18"/>
  <c r="B10" i="18" s="1"/>
  <c r="B15" i="18"/>
  <c r="B12" i="18"/>
  <c r="B13" i="18" s="1"/>
  <c r="B11" i="18" l="1"/>
  <c r="B8" i="18"/>
  <c r="B9" i="18" s="1"/>
  <c r="C33" i="45"/>
  <c r="C48" i="45" s="1"/>
  <c r="D29" i="44"/>
  <c r="C12" i="45" l="1"/>
  <c r="A45" i="45" s="1"/>
  <c r="C49" i="45"/>
  <c r="C40" i="45" l="1"/>
  <c r="C41" i="45" s="1"/>
  <c r="A46" i="45"/>
  <c r="A47" i="45" s="1"/>
  <c r="C43" i="45"/>
  <c r="C44" i="45" s="1"/>
  <c r="C37" i="45"/>
  <c r="C38" i="4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14E62B-BFED-4C1E-8467-FFAC99C3E072}" sourceFile="C:\Users\Adam Carl Birgenheie\KNRE.com\Y - Gryphon - Documents\Procurement Teams\Team Derrick\Team Information Sharing\Austin's Property Procurement Data.xlsx" keepAlive="1" name="Austin's Property Procurement Data" type="5" refreshedVersion="0" background="1" refreshOnLoad="1" saveData="1">
    <dbPr connection="Provider=Microsoft.ACE.OLEDB.12.0;User ID=Admin;Data Source=&quot;C:\Users\Adam Carl Birgenheie\KNRE.com\Y - Gryphon - Documents\Procurement Teams\Team Derrick\Team Information Sharing\Austin's Property Procurement Data.xlsx&quot;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GryphonPropertyTracker$" commandType="3"/>
  </connection>
  <connection id="2" xr16:uid="{62E9493C-059A-4DB3-AD6A-822FE227A189}" sourceFile="C:\Users\Adam Carl Birgenheie\KNRE.com\Y - Gryphon - Documents\Procurement Teams\Team Derrick\Team Information Sharing\Deontae's Property Procurement Data.xlsx" keepAlive="1" name="Deontae's Property Procurement Data" type="5" refreshedVersion="0" background="1" saveData="1">
    <dbPr connection="Provider=Microsoft.ACE.OLEDB.12.0;User ID=Admin;Data Source=&quot;C:\Users\Adam Carl Birgenheie\KNRE.com\Y - Gryphon - Documents\Procurement Teams\Team Derrick\Team Information Sharing\Deontae's Property Procurement Data.xlsx&quot;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GryphonPropertyTracker$" commandType="3"/>
  </connection>
</connections>
</file>

<file path=xl/sharedStrings.xml><?xml version="1.0" encoding="utf-8"?>
<sst xmlns="http://schemas.openxmlformats.org/spreadsheetml/2006/main" count="199" uniqueCount="116">
  <si>
    <t>Property Address</t>
  </si>
  <si>
    <t>Square Footage</t>
  </si>
  <si>
    <t>Area</t>
  </si>
  <si>
    <t>Zip Code</t>
  </si>
  <si>
    <t>Yearly Taxes</t>
  </si>
  <si>
    <t>Yearly Home Owners Association Dues</t>
  </si>
  <si>
    <t>Estimated ARV</t>
  </si>
  <si>
    <t>As-Is</t>
  </si>
  <si>
    <t>MAO</t>
  </si>
  <si>
    <t>Estimated Repairs</t>
  </si>
  <si>
    <t>Estimated Closing Costs</t>
  </si>
  <si>
    <t>Tier 2 offer</t>
  </si>
  <si>
    <t>Tier 1 offer</t>
  </si>
  <si>
    <t>Tier 0 offer</t>
  </si>
  <si>
    <t>Custom Offer</t>
  </si>
  <si>
    <t>Mixed-Use</t>
  </si>
  <si>
    <t>LTH-C Sheet:</t>
  </si>
  <si>
    <t>IPS-LTH Sheet:</t>
  </si>
  <si>
    <t>IPS-RS Sheet:</t>
  </si>
  <si>
    <t>Commercial</t>
  </si>
  <si>
    <t>Basement Conversion</t>
  </si>
  <si>
    <t>Light Rehab</t>
  </si>
  <si>
    <t>Addition</t>
  </si>
  <si>
    <t>Development Opportunity</t>
  </si>
  <si>
    <t>Full Rehab</t>
  </si>
  <si>
    <t>ADU</t>
  </si>
  <si>
    <t>Bathroom</t>
  </si>
  <si>
    <t>Bedroom</t>
  </si>
  <si>
    <t>Interior:</t>
  </si>
  <si>
    <t>Severity (1-3):</t>
  </si>
  <si>
    <t>Price:</t>
  </si>
  <si>
    <t>Cost</t>
  </si>
  <si>
    <t>Kitchen:</t>
  </si>
  <si>
    <t>Demolition</t>
  </si>
  <si>
    <t>Room (1):</t>
  </si>
  <si>
    <t>Room (2):</t>
  </si>
  <si>
    <t>Room (3):</t>
  </si>
  <si>
    <t>Utility Room:</t>
  </si>
  <si>
    <t>Bedroom (1):</t>
  </si>
  <si>
    <t>Bedroom (2):</t>
  </si>
  <si>
    <t>Bedroom (3):</t>
  </si>
  <si>
    <t>Bedroom (4):</t>
  </si>
  <si>
    <t>Bedroom (5):</t>
  </si>
  <si>
    <t>Bathroom (1):</t>
  </si>
  <si>
    <t>Bathroom (2):</t>
  </si>
  <si>
    <t>Bathroom (3):</t>
  </si>
  <si>
    <t>Bathroom (4):</t>
  </si>
  <si>
    <t>Electrical</t>
  </si>
  <si>
    <t>Exterior:</t>
  </si>
  <si>
    <t>Foundation</t>
  </si>
  <si>
    <t>Permits</t>
  </si>
  <si>
    <t>Are permits needed during renovation of property?</t>
  </si>
  <si>
    <t>Y</t>
  </si>
  <si>
    <t>N</t>
  </si>
  <si>
    <t>Sewer</t>
  </si>
  <si>
    <t>Plumbing</t>
  </si>
  <si>
    <t>Total Est Rehab:</t>
  </si>
  <si>
    <t>Type of Purchase?</t>
  </si>
  <si>
    <t>NWMLS</t>
  </si>
  <si>
    <t>Foreclosure</t>
  </si>
  <si>
    <t>Probate</t>
  </si>
  <si>
    <t>Wholesale</t>
  </si>
  <si>
    <t>Client Lead</t>
  </si>
  <si>
    <t>Vacancy</t>
  </si>
  <si>
    <t>Comp1:</t>
  </si>
  <si>
    <t>Sale Date</t>
  </si>
  <si>
    <t xml:space="preserve">Distance </t>
  </si>
  <si>
    <t>Sold PPSqFt</t>
  </si>
  <si>
    <t>Comp2:</t>
  </si>
  <si>
    <t>Comp3:</t>
  </si>
  <si>
    <t>Pre-Inspection Sheet Cost</t>
  </si>
  <si>
    <t>Est. Resale Value</t>
  </si>
  <si>
    <t>RETURN TO IPS-R</t>
  </si>
  <si>
    <t>Septic</t>
  </si>
  <si>
    <t>Delta 18 True Value</t>
  </si>
  <si>
    <t>Delta 24 True Value</t>
  </si>
  <si>
    <t>Delta 30 True Value</t>
  </si>
  <si>
    <r>
      <rPr>
        <sz val="10"/>
        <rFont val="Calibri"/>
        <family val="2"/>
      </rPr>
      <t>∆</t>
    </r>
    <r>
      <rPr>
        <sz val="10"/>
        <rFont val="Arial"/>
        <family val="2"/>
      </rPr>
      <t xml:space="preserve"> 18</t>
    </r>
  </si>
  <si>
    <r>
      <rPr>
        <sz val="10"/>
        <rFont val="Calibri"/>
        <family val="2"/>
      </rPr>
      <t>∆</t>
    </r>
    <r>
      <rPr>
        <sz val="10"/>
        <rFont val="Arial"/>
        <family val="2"/>
      </rPr>
      <t xml:space="preserve"> 24</t>
    </r>
  </si>
  <si>
    <r>
      <rPr>
        <sz val="10"/>
        <rFont val="Calibri"/>
        <family val="2"/>
      </rPr>
      <t>∆</t>
    </r>
    <r>
      <rPr>
        <sz val="10"/>
        <rFont val="Arial"/>
        <family val="2"/>
      </rPr>
      <t xml:space="preserve"> 30</t>
    </r>
  </si>
  <si>
    <t>Est. AR2V:</t>
  </si>
  <si>
    <t>FSBO</t>
  </si>
  <si>
    <t>Driving for Dollars</t>
  </si>
  <si>
    <t>Cancelled/Expired</t>
  </si>
  <si>
    <t>Est. AR1V:</t>
  </si>
  <si>
    <t>Type of Addition (1):</t>
  </si>
  <si>
    <t>Type of Addition (2):</t>
  </si>
  <si>
    <t>Type of Addition (3):</t>
  </si>
  <si>
    <t>D-ADU</t>
  </si>
  <si>
    <t>Attic Conversion</t>
  </si>
  <si>
    <t>House Expansion</t>
  </si>
  <si>
    <t>Helper Column 1</t>
  </si>
  <si>
    <t>Helper Column 2</t>
  </si>
  <si>
    <t>Helper Column 3</t>
  </si>
  <si>
    <t>Dynamic Data Valdiation List</t>
  </si>
  <si>
    <t>Total Est Rehab + Addition(s):</t>
  </si>
  <si>
    <t>RETURN TO IPS-RS</t>
  </si>
  <si>
    <t>Total Est Rehab+</t>
  </si>
  <si>
    <t>Pre-Inspection + Addition Cost:</t>
  </si>
  <si>
    <t>As-Is Comp1:</t>
  </si>
  <si>
    <t>As Is Comp2:</t>
  </si>
  <si>
    <t>As-Is Comp3:</t>
  </si>
  <si>
    <t>Enhanced Comp1:</t>
  </si>
  <si>
    <t>Enhanced Comp2:</t>
  </si>
  <si>
    <t>EnhancedComp3:</t>
  </si>
  <si>
    <t>As-Is ARV:</t>
  </si>
  <si>
    <t>Enhanced. ARV:</t>
  </si>
  <si>
    <t>Enhanced Delta 18 True Value</t>
  </si>
  <si>
    <r>
      <rPr>
        <sz val="10"/>
        <rFont val="Calibri"/>
        <family val="2"/>
      </rPr>
      <t>Enhanced ∆</t>
    </r>
    <r>
      <rPr>
        <sz val="10"/>
        <rFont val="Arial"/>
        <family val="2"/>
      </rPr>
      <t xml:space="preserve"> 18 </t>
    </r>
  </si>
  <si>
    <t>Enhanced Delta 24 True Value</t>
  </si>
  <si>
    <r>
      <rPr>
        <sz val="10"/>
        <rFont val="Calibri"/>
        <family val="2"/>
      </rPr>
      <t>Enhanced ∆</t>
    </r>
    <r>
      <rPr>
        <sz val="10"/>
        <rFont val="Arial"/>
        <family val="2"/>
      </rPr>
      <t xml:space="preserve"> 24 </t>
    </r>
  </si>
  <si>
    <t>Enhanced Delta 30 True Value</t>
  </si>
  <si>
    <r>
      <rPr>
        <sz val="10"/>
        <rFont val="Calibri"/>
        <family val="2"/>
      </rPr>
      <t>Enhanced ∆</t>
    </r>
    <r>
      <rPr>
        <sz val="10"/>
        <rFont val="Arial"/>
        <family val="2"/>
      </rPr>
      <t xml:space="preserve"> 30</t>
    </r>
  </si>
  <si>
    <t>Lidna Parker</t>
  </si>
  <si>
    <t>31327 12th Place S</t>
  </si>
  <si>
    <t>Squarefootage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</si>
</sst>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2"/>
      <color theme="1"/>
      <name val="Arial"/>
      <family val="2"/>
    </font>
    <font>
      <b/>
      <sz val="12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24"/>
      <color theme="1"/>
      <name val="Calibri"/>
      <family val="2"/>
      <scheme val="minor"/>
    </font>
    <font>
      <sz val="11"/>
      <name val="Arial"/>
      <family val="2"/>
    </font>
    <font>
      <sz val="10"/>
      <color theme="0"/>
      <name val="Arial"/>
      <family val="2"/>
    </font>
    <font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2" fillId="0" borderId="0"/>
    <xf numFmtId="0" fontId="6" fillId="0" borderId="0" applyNumberFormat="0" applyFill="0" applyBorder="0" applyAlignment="0" applyProtection="0"/>
  </cellStyleXfs>
  <cellXfs count="111">
    <xf numFmtId="0" fontId="0" fillId="0" borderId="0" xfId="0"/>
    <xf numFmtId="0" fontId="0" fillId="0" borderId="0" xfId="0" applyProtection="1">
      <protection hidden="1"/>
    </xf>
    <xf numFmtId="0" fontId="4" fillId="0" borderId="0" xfId="0" applyFont="1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Protection="1">
      <protection locked="0"/>
    </xf>
    <xf numFmtId="0" fontId="5" fillId="0" borderId="0" xfId="0" applyFont="1" applyAlignment="1" applyProtection="1">
      <alignment horizontal="center" vertical="center"/>
      <protection hidden="1"/>
    </xf>
    <xf numFmtId="164" fontId="9" fillId="0" borderId="0" xfId="0" applyNumberFormat="1" applyFont="1" applyAlignment="1" applyProtection="1">
      <alignment horizontal="right" vertical="center"/>
      <protection hidden="1"/>
    </xf>
    <xf numFmtId="164" fontId="4" fillId="0" borderId="0" xfId="0" applyNumberFormat="1" applyFont="1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right" vertical="center"/>
      <protection hidden="1"/>
    </xf>
    <xf numFmtId="164" fontId="9" fillId="0" borderId="0" xfId="0" applyNumberFormat="1" applyFont="1" applyProtection="1">
      <protection locked="0"/>
    </xf>
    <xf numFmtId="0" fontId="4" fillId="0" borderId="0" xfId="0" applyFont="1"/>
    <xf numFmtId="164" fontId="0" fillId="0" borderId="0" xfId="0" applyNumberFormat="1" applyAlignment="1" applyProtection="1">
      <alignment horizontal="right"/>
      <protection hidden="1"/>
    </xf>
    <xf numFmtId="0" fontId="0" fillId="0" borderId="0" xfId="0" applyAlignment="1" applyProtection="1">
      <alignment horizontal="right"/>
      <protection hidden="1"/>
    </xf>
    <xf numFmtId="0" fontId="0" fillId="0" borderId="0" xfId="0" applyBorder="1" applyProtection="1">
      <protection hidden="1"/>
    </xf>
    <xf numFmtId="0" fontId="2" fillId="0" borderId="0" xfId="4"/>
    <xf numFmtId="0" fontId="2" fillId="0" borderId="0" xfId="4" applyAlignment="1" applyProtection="1">
      <alignment horizontal="center"/>
      <protection hidden="1"/>
    </xf>
    <xf numFmtId="0" fontId="8" fillId="0" borderId="0" xfId="4" applyFont="1" applyBorder="1" applyAlignment="1" applyProtection="1">
      <alignment horizontal="center" vertical="center"/>
      <protection hidden="1"/>
    </xf>
    <xf numFmtId="0" fontId="0" fillId="0" borderId="0" xfId="0" applyBorder="1"/>
    <xf numFmtId="0" fontId="2" fillId="0" borderId="0" xfId="4" applyBorder="1" applyAlignment="1" applyProtection="1">
      <alignment horizontal="right"/>
      <protection hidden="1"/>
    </xf>
    <xf numFmtId="0" fontId="12" fillId="0" borderId="0" xfId="4" applyFont="1" applyBorder="1" applyAlignment="1" applyProtection="1">
      <alignment horizontal="center" vertical="center"/>
      <protection hidden="1"/>
    </xf>
    <xf numFmtId="0" fontId="2" fillId="0" borderId="0" xfId="4" applyBorder="1" applyAlignment="1" applyProtection="1">
      <alignment vertical="center"/>
      <protection hidden="1"/>
    </xf>
    <xf numFmtId="0" fontId="2" fillId="0" borderId="0" xfId="4" applyBorder="1" applyAlignment="1" applyProtection="1">
      <alignment horizontal="center" vertical="center"/>
      <protection hidden="1"/>
    </xf>
    <xf numFmtId="0" fontId="2" fillId="0" borderId="0" xfId="4" applyBorder="1" applyProtection="1">
      <protection hidden="1"/>
    </xf>
    <xf numFmtId="164" fontId="2" fillId="0" borderId="0" xfId="4" applyNumberFormat="1" applyBorder="1" applyAlignment="1" applyProtection="1">
      <alignment horizontal="center" vertical="center"/>
      <protection hidden="1"/>
    </xf>
    <xf numFmtId="164" fontId="2" fillId="0" borderId="0" xfId="4" applyNumberFormat="1" applyBorder="1" applyProtection="1">
      <protection hidden="1"/>
    </xf>
    <xf numFmtId="0" fontId="2" fillId="0" borderId="0" xfId="4" applyProtection="1">
      <protection hidden="1"/>
    </xf>
    <xf numFmtId="0" fontId="2" fillId="0" borderId="0" xfId="4" applyAlignment="1" applyProtection="1">
      <alignment horizontal="right"/>
      <protection hidden="1"/>
    </xf>
    <xf numFmtId="0" fontId="12" fillId="0" borderId="0" xfId="4" applyFont="1" applyAlignment="1" applyProtection="1">
      <alignment horizontal="center"/>
      <protection hidden="1"/>
    </xf>
    <xf numFmtId="0" fontId="8" fillId="0" borderId="1" xfId="4" applyFont="1" applyBorder="1" applyAlignment="1" applyProtection="1">
      <alignment horizontal="center" vertical="center"/>
      <protection hidden="1"/>
    </xf>
    <xf numFmtId="0" fontId="12" fillId="0" borderId="1" xfId="4" applyFont="1" applyBorder="1" applyAlignment="1" applyProtection="1">
      <alignment horizontal="center" vertical="center"/>
      <protection hidden="1"/>
    </xf>
    <xf numFmtId="0" fontId="2" fillId="0" borderId="1" xfId="4" applyBorder="1" applyAlignment="1" applyProtection="1">
      <alignment vertical="center"/>
      <protection hidden="1"/>
    </xf>
    <xf numFmtId="0" fontId="2" fillId="0" borderId="1" xfId="4" applyBorder="1" applyProtection="1">
      <protection hidden="1"/>
    </xf>
    <xf numFmtId="164" fontId="2" fillId="0" borderId="0" xfId="4" applyNumberFormat="1" applyProtection="1">
      <protection hidden="1"/>
    </xf>
    <xf numFmtId="0" fontId="2" fillId="0" borderId="1" xfId="4" applyBorder="1" applyProtection="1">
      <protection locked="0"/>
    </xf>
    <xf numFmtId="164" fontId="2" fillId="0" borderId="1" xfId="4" applyNumberFormat="1" applyBorder="1" applyAlignment="1" applyProtection="1">
      <alignment horizontal="center" vertical="center"/>
      <protection hidden="1"/>
    </xf>
    <xf numFmtId="0" fontId="2" fillId="0" borderId="1" xfId="4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164" fontId="0" fillId="0" borderId="0" xfId="0" applyNumberFormat="1" applyProtection="1"/>
    <xf numFmtId="0" fontId="4" fillId="0" borderId="0" xfId="0" applyFont="1" applyAlignment="1" applyProtection="1">
      <alignment horizontal="right"/>
      <protection hidden="1"/>
    </xf>
    <xf numFmtId="0" fontId="0" fillId="3" borderId="1" xfId="0" applyFill="1" applyBorder="1" applyProtection="1">
      <protection hidden="1"/>
    </xf>
    <xf numFmtId="0" fontId="0" fillId="3" borderId="1" xfId="0" applyFill="1" applyBorder="1" applyProtection="1">
      <protection locked="0"/>
    </xf>
    <xf numFmtId="14" fontId="0" fillId="3" borderId="1" xfId="0" applyNumberFormat="1" applyFill="1" applyBorder="1" applyProtection="1">
      <protection locked="0"/>
    </xf>
    <xf numFmtId="164" fontId="0" fillId="3" borderId="1" xfId="0" applyNumberFormat="1" applyFill="1" applyBorder="1" applyProtection="1">
      <protection locked="0"/>
    </xf>
    <xf numFmtId="164" fontId="0" fillId="0" borderId="0" xfId="0" applyNumberFormat="1" applyProtection="1">
      <protection locked="0" hidden="1"/>
    </xf>
    <xf numFmtId="0" fontId="4" fillId="0" borderId="0" xfId="0" applyFont="1" applyAlignment="1" applyProtection="1">
      <alignment horizontal="right"/>
      <protection locked="0"/>
    </xf>
    <xf numFmtId="0" fontId="15" fillId="0" borderId="0" xfId="0" applyFont="1" applyFill="1" applyProtection="1">
      <protection hidden="1"/>
    </xf>
    <xf numFmtId="0" fontId="14" fillId="0" borderId="0" xfId="0" applyFont="1" applyProtection="1">
      <protection hidden="1"/>
    </xf>
    <xf numFmtId="0" fontId="6" fillId="0" borderId="0" xfId="5" applyAlignment="1" applyProtection="1">
      <alignment horizontal="right"/>
      <protection hidden="1"/>
    </xf>
    <xf numFmtId="0" fontId="6" fillId="0" borderId="0" xfId="5" applyAlignment="1" applyProtection="1">
      <alignment horizontal="right"/>
      <protection locked="0" hidden="1"/>
    </xf>
    <xf numFmtId="0" fontId="0" fillId="4" borderId="1" xfId="0" applyFill="1" applyBorder="1" applyProtection="1">
      <protection hidden="1"/>
    </xf>
    <xf numFmtId="164" fontId="2" fillId="0" borderId="1" xfId="4" applyNumberFormat="1" applyBorder="1" applyAlignment="1" applyProtection="1">
      <alignment horizontal="center" vertical="center"/>
      <protection hidden="1"/>
    </xf>
    <xf numFmtId="0" fontId="2" fillId="0" borderId="1" xfId="4" applyBorder="1" applyAlignment="1" applyProtection="1">
      <alignment horizontal="center" vertical="center"/>
      <protection hidden="1"/>
    </xf>
    <xf numFmtId="0" fontId="8" fillId="0" borderId="0" xfId="4" applyFont="1" applyBorder="1" applyAlignment="1" applyProtection="1">
      <alignment horizontal="center" vertical="center"/>
      <protection hidden="1"/>
    </xf>
    <xf numFmtId="0" fontId="4" fillId="4" borderId="1" xfId="0" applyNumberFormat="1" applyFont="1" applyFill="1" applyBorder="1" applyAlignment="1" applyProtection="1">
      <alignment wrapText="1"/>
      <protection hidden="1"/>
    </xf>
    <xf numFmtId="2" fontId="4" fillId="4" borderId="1" xfId="0" applyNumberFormat="1" applyFont="1" applyFill="1" applyBorder="1" applyAlignment="1" applyProtection="1">
      <alignment horizontal="right"/>
      <protection locked="0" hidden="1"/>
    </xf>
    <xf numFmtId="2" fontId="4" fillId="4" borderId="1" xfId="0" applyNumberFormat="1" applyFont="1" applyFill="1" applyBorder="1" applyProtection="1">
      <protection locked="0" hidden="1"/>
    </xf>
    <xf numFmtId="0" fontId="0" fillId="4" borderId="5" xfId="0" applyFill="1" applyBorder="1" applyProtection="1">
      <protection hidden="1"/>
    </xf>
    <xf numFmtId="0" fontId="0" fillId="4" borderId="6" xfId="0" applyFill="1" applyBorder="1" applyProtection="1">
      <protection hidden="1"/>
    </xf>
    <xf numFmtId="164" fontId="0" fillId="4" borderId="9" xfId="0" applyNumberFormat="1" applyFill="1" applyBorder="1" applyProtection="1">
      <protection locked="0"/>
    </xf>
    <xf numFmtId="0" fontId="0" fillId="4" borderId="9" xfId="0" applyFill="1" applyBorder="1" applyProtection="1">
      <protection locked="0"/>
    </xf>
    <xf numFmtId="164" fontId="0" fillId="4" borderId="10" xfId="0" applyNumberFormat="1" applyFill="1" applyBorder="1" applyAlignment="1" applyProtection="1">
      <alignment horizontal="right"/>
      <protection hidden="1"/>
    </xf>
    <xf numFmtId="164" fontId="4" fillId="4" borderId="8" xfId="5" applyNumberFormat="1" applyFont="1" applyFill="1" applyBorder="1" applyAlignment="1" applyProtection="1">
      <alignment horizontal="right"/>
      <protection locked="0" hidden="1"/>
    </xf>
    <xf numFmtId="0" fontId="0" fillId="4" borderId="8" xfId="0" applyFill="1" applyBorder="1" applyProtection="1">
      <protection locked="0"/>
    </xf>
    <xf numFmtId="0" fontId="1" fillId="0" borderId="0" xfId="4" applyFont="1" applyAlignment="1" applyProtection="1">
      <alignment horizontal="center"/>
      <protection hidden="1"/>
    </xf>
    <xf numFmtId="0" fontId="0" fillId="0" borderId="1" xfId="0" applyFill="1" applyBorder="1" applyProtection="1">
      <protection hidden="1"/>
    </xf>
    <xf numFmtId="0" fontId="0" fillId="5" borderId="1" xfId="0" applyFill="1" applyBorder="1" applyProtection="1">
      <protection hidden="1"/>
    </xf>
    <xf numFmtId="0" fontId="0" fillId="5" borderId="1" xfId="0" applyFill="1" applyBorder="1" applyProtection="1">
      <protection locked="0"/>
    </xf>
    <xf numFmtId="14" fontId="0" fillId="5" borderId="1" xfId="0" applyNumberFormat="1" applyFill="1" applyBorder="1" applyProtection="1">
      <protection locked="0"/>
    </xf>
    <xf numFmtId="164" fontId="0" fillId="5" borderId="1" xfId="0" applyNumberFormat="1" applyFill="1" applyBorder="1" applyProtection="1">
      <protection locked="0"/>
    </xf>
    <xf numFmtId="0" fontId="4" fillId="3" borderId="1" xfId="0" applyFont="1" applyFill="1" applyBorder="1" applyProtection="1">
      <protection hidden="1"/>
    </xf>
    <xf numFmtId="0" fontId="4" fillId="5" borderId="1" xfId="0" applyFont="1" applyFill="1" applyBorder="1" applyProtection="1">
      <protection hidden="1"/>
    </xf>
    <xf numFmtId="164" fontId="0" fillId="3" borderId="1" xfId="0" applyNumberFormat="1" applyFill="1" applyBorder="1" applyProtection="1">
      <protection hidden="1"/>
    </xf>
    <xf numFmtId="164" fontId="0" fillId="5" borderId="1" xfId="0" applyNumberFormat="1" applyFill="1" applyBorder="1" applyProtection="1">
      <protection hidden="1"/>
    </xf>
    <xf numFmtId="14" fontId="4" fillId="3" borderId="1" xfId="0" applyNumberFormat="1" applyFont="1" applyFill="1" applyBorder="1" applyProtection="1">
      <protection locked="0"/>
    </xf>
    <xf numFmtId="0" fontId="0" fillId="0" borderId="0" xfId="0" applyNumberFormat="1" applyProtection="1">
      <protection locked="0"/>
    </xf>
    <xf numFmtId="164" fontId="4" fillId="4" borderId="1" xfId="5" applyNumberFormat="1" applyFont="1" applyFill="1" applyBorder="1" applyAlignment="1" applyProtection="1">
      <alignment horizontal="right"/>
      <protection locked="0" hidden="1"/>
    </xf>
    <xf numFmtId="164" fontId="0" fillId="4" borderId="1" xfId="0" applyNumberFormat="1" applyFill="1" applyBorder="1" applyAlignment="1" applyProtection="1">
      <alignment horizontal="right"/>
      <protection hidden="1"/>
    </xf>
    <xf numFmtId="164" fontId="0" fillId="0" borderId="1" xfId="0" applyNumberFormat="1" applyFill="1" applyBorder="1" applyProtection="1">
      <protection hidden="1"/>
    </xf>
    <xf numFmtId="164" fontId="4" fillId="4" borderId="1" xfId="5" applyNumberFormat="1" applyFont="1" applyFill="1" applyBorder="1" applyAlignment="1" applyProtection="1">
      <alignment horizontal="right"/>
      <protection locked="0"/>
    </xf>
    <xf numFmtId="164" fontId="2" fillId="0" borderId="0" xfId="4" applyNumberFormat="1" applyBorder="1" applyAlignment="1" applyProtection="1">
      <alignment horizontal="center"/>
      <protection hidden="1"/>
    </xf>
    <xf numFmtId="164" fontId="2" fillId="0" borderId="0" xfId="4" applyNumberFormat="1" applyBorder="1" applyAlignment="1" applyProtection="1">
      <alignment horizontal="center" vertical="center"/>
      <protection hidden="1"/>
    </xf>
    <xf numFmtId="0" fontId="2" fillId="0" borderId="0" xfId="4" applyBorder="1" applyAlignment="1" applyProtection="1">
      <alignment horizontal="center" vertical="center"/>
      <protection hidden="1"/>
    </xf>
    <xf numFmtId="0" fontId="2" fillId="0" borderId="0" xfId="4" applyBorder="1" applyAlignment="1" applyProtection="1">
      <alignment horizontal="center"/>
      <protection hidden="1"/>
    </xf>
    <xf numFmtId="0" fontId="10" fillId="0" borderId="1" xfId="4" applyFont="1" applyBorder="1" applyAlignment="1" applyProtection="1">
      <alignment horizontal="center" vertical="center" wrapText="1"/>
      <protection hidden="1"/>
    </xf>
    <xf numFmtId="164" fontId="13" fillId="0" borderId="0" xfId="4" applyNumberFormat="1" applyFont="1" applyBorder="1" applyAlignment="1" applyProtection="1">
      <alignment horizontal="center" vertical="center"/>
      <protection hidden="1"/>
    </xf>
    <xf numFmtId="0" fontId="8" fillId="0" borderId="0" xfId="4" applyFont="1" applyBorder="1" applyAlignment="1" applyProtection="1">
      <alignment horizontal="center" vertical="center"/>
      <protection hidden="1"/>
    </xf>
    <xf numFmtId="0" fontId="11" fillId="0" borderId="2" xfId="4" applyFont="1" applyBorder="1" applyAlignment="1" applyProtection="1">
      <alignment horizontal="center"/>
      <protection hidden="1"/>
    </xf>
    <xf numFmtId="164" fontId="2" fillId="0" borderId="4" xfId="4" applyNumberFormat="1" applyBorder="1" applyAlignment="1" applyProtection="1">
      <alignment horizontal="center"/>
      <protection hidden="1"/>
    </xf>
    <xf numFmtId="164" fontId="2" fillId="0" borderId="3" xfId="4" applyNumberFormat="1" applyBorder="1" applyAlignment="1" applyProtection="1">
      <alignment horizontal="center"/>
      <protection hidden="1"/>
    </xf>
    <xf numFmtId="164" fontId="2" fillId="0" borderId="1" xfId="4" applyNumberFormat="1" applyBorder="1" applyAlignment="1" applyProtection="1">
      <alignment horizontal="center" vertical="center"/>
      <protection hidden="1"/>
    </xf>
    <xf numFmtId="0" fontId="2" fillId="0" borderId="7" xfId="4" applyBorder="1" applyAlignment="1" applyProtection="1">
      <alignment horizontal="center" vertical="center"/>
      <protection hidden="1"/>
    </xf>
    <xf numFmtId="0" fontId="2" fillId="0" borderId="5" xfId="4" applyBorder="1" applyAlignment="1" applyProtection="1">
      <alignment horizontal="center"/>
      <protection locked="0"/>
    </xf>
    <xf numFmtId="0" fontId="2" fillId="0" borderId="6" xfId="4" applyBorder="1" applyAlignment="1" applyProtection="1">
      <alignment horizontal="center"/>
      <protection locked="0"/>
    </xf>
    <xf numFmtId="164" fontId="2" fillId="0" borderId="5" xfId="4" applyNumberFormat="1" applyBorder="1" applyAlignment="1" applyProtection="1">
      <alignment horizontal="center"/>
      <protection hidden="1"/>
    </xf>
    <xf numFmtId="164" fontId="2" fillId="0" borderId="6" xfId="4" applyNumberFormat="1" applyBorder="1" applyAlignment="1" applyProtection="1">
      <alignment horizontal="center"/>
      <protection hidden="1"/>
    </xf>
    <xf numFmtId="0" fontId="11" fillId="0" borderId="0" xfId="4" applyFont="1" applyAlignment="1" applyProtection="1">
      <alignment horizontal="center"/>
      <protection hidden="1"/>
    </xf>
    <xf numFmtId="0" fontId="2" fillId="0" borderId="1" xfId="4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hidden="1"/>
    </xf>
    <xf numFmtId="0" fontId="8" fillId="0" borderId="0" xfId="4" applyFont="1" applyAlignment="1" applyProtection="1">
      <alignment horizontal="center" vertical="center"/>
      <protection hidden="1"/>
    </xf>
    <xf numFmtId="164" fontId="13" fillId="0" borderId="0" xfId="4" applyNumberFormat="1" applyFont="1" applyAlignment="1" applyProtection="1">
      <alignment horizontal="center" vertical="center"/>
      <protection hidden="1"/>
    </xf>
    <xf numFmtId="0" fontId="2" fillId="0" borderId="0" xfId="4" applyAlignment="1" applyProtection="1">
      <alignment horizontal="center" vertical="center"/>
      <protection hidden="1"/>
    </xf>
    <xf numFmtId="164" fontId="2" fillId="0" borderId="1" xfId="4" applyNumberFormat="1" applyBorder="1" applyAlignment="1" applyProtection="1">
      <alignment horizontal="center" wrapText="1"/>
      <protection hidden="1"/>
    </xf>
    <xf numFmtId="164" fontId="2" fillId="0" borderId="1" xfId="4" applyNumberFormat="1" applyBorder="1" applyAlignment="1" applyProtection="1">
      <alignment horizontal="center"/>
      <protection hidden="1"/>
    </xf>
    <xf numFmtId="0" fontId="2" fillId="0" borderId="1" xfId="4" applyBorder="1" applyAlignment="1" applyProtection="1">
      <alignment horizontal="center" vertical="center"/>
      <protection hidden="1"/>
    </xf>
    <xf numFmtId="164" fontId="13" fillId="0" borderId="0" xfId="4" applyNumberFormat="1" applyFont="1" applyAlignment="1" applyProtection="1">
      <alignment horizontal="center" vertical="center" wrapText="1"/>
      <protection hidden="1"/>
    </xf>
    <xf numFmtId="0" fontId="13" fillId="0" borderId="0" xfId="4" applyFont="1" applyAlignment="1" applyProtection="1">
      <alignment horizontal="center" vertical="center" wrapText="1"/>
      <protection hidden="1"/>
    </xf>
    <xf numFmtId="0" fontId="1" fillId="0" borderId="0" xfId="4" applyFont="1" applyAlignment="1" applyProtection="1">
      <alignment horizontal="center"/>
      <protection hidden="1"/>
    </xf>
    <xf numFmtId="0" fontId="2" fillId="0" borderId="0" xfId="4" applyAlignment="1" applyProtection="1">
      <alignment horizontal="center"/>
      <protection hidden="1"/>
    </xf>
    <xf numFmtId="0" fontId="8" fillId="0" borderId="0" xfId="4" applyFont="1" applyAlignment="1" applyProtection="1">
      <alignment horizontal="center" vertical="center" wrapText="1"/>
      <protection hidden="1"/>
    </xf>
    <xf numFmtId="0" fontId="1" fillId="0" borderId="0" xfId="4" applyFont="1" applyAlignment="1" applyProtection="1">
      <alignment horizontal="right"/>
      <protection hidden="1"/>
    </xf>
  </cellXfs>
  <cellStyles count="6">
    <cellStyle name="60% - Accent4 2" xfId="3" xr:uid="{00000000-0005-0000-0000-000031000000}"/>
    <cellStyle name="Followed Hyperlink" xfId="2" builtinId="9" hidden="1"/>
    <cellStyle name="Hyperlink" xfId="1" builtinId="8" hidden="1"/>
    <cellStyle name="Hyperlink" xfId="5" builtinId="8"/>
    <cellStyle name="Normal" xfId="0" builtinId="0"/>
    <cellStyle name="Normal 2" xfId="4" xr:uid="{6F24F32C-405D-4C5B-9B55-04860B2EB31D}"/>
  </cellStyles>
  <dxfs count="0"/>
  <tableStyles count="0" defaultTableStyle="TableStyleMedium2" defaultPivotStyle="PivotStyleLight16"/>
  <colors>
    <mruColors>
      <color rgb="FFFF2D2D"/>
      <color rgb="FFFF3737"/>
      <color rgb="FFFF3B3B"/>
      <color rgb="FFFF2929"/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IPS-R'!B36"/><Relationship Id="rId1" Type="http://schemas.openxmlformats.org/officeDocument/2006/relationships/hyperlink" Target="#'Pre-Inspection Sheet'!B3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IPS-R'!B1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'RSA Sheet'!B3"/><Relationship Id="rId1" Type="http://schemas.openxmlformats.org/officeDocument/2006/relationships/hyperlink" Target="#'Pre-Inspection Sheet'!B3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IPS-RS'!B1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3</xdr:col>
      <xdr:colOff>12700</xdr:colOff>
      <xdr:row>12</xdr:row>
      <xdr:rowOff>12700</xdr:rowOff>
    </xdr:to>
    <xdr:sp macro="" textlink="">
      <xdr:nvSpPr>
        <xdr:cNvPr id="5" name="Rectangle: Rounded Corners 4">
          <a:hlinkClick xmlns:r="http://schemas.openxmlformats.org/officeDocument/2006/relationships" r:id="rId1" tooltip="Click for Pre-Inspection Sheet"/>
          <a:extLst>
            <a:ext uri="{FF2B5EF4-FFF2-40B4-BE49-F238E27FC236}">
              <a16:creationId xmlns:a16="http://schemas.microsoft.com/office/drawing/2014/main" id="{445735C7-CF5D-4ED6-9477-9080E918B4B7}"/>
            </a:ext>
          </a:extLst>
        </xdr:cNvPr>
        <xdr:cNvSpPr/>
      </xdr:nvSpPr>
      <xdr:spPr>
        <a:xfrm>
          <a:off x="0" y="1587500"/>
          <a:ext cx="4013200" cy="171450"/>
        </a:xfrm>
        <a:prstGeom prst="round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=</a:t>
          </a:r>
        </a:p>
      </xdr:txBody>
    </xdr:sp>
    <xdr:clientData/>
  </xdr:twoCellAnchor>
  <xdr:twoCellAnchor>
    <xdr:from>
      <xdr:col>4</xdr:col>
      <xdr:colOff>356219</xdr:colOff>
      <xdr:row>36</xdr:row>
      <xdr:rowOff>0</xdr:rowOff>
    </xdr:from>
    <xdr:to>
      <xdr:col>8</xdr:col>
      <xdr:colOff>123902</xdr:colOff>
      <xdr:row>38</xdr:row>
      <xdr:rowOff>0</xdr:rowOff>
    </xdr:to>
    <xdr:sp macro="" textlink="#REF!">
      <xdr:nvSpPr>
        <xdr:cNvPr id="4" name="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5A818E9-6B89-4F47-B9FE-BBE43618FE3C}"/>
            </a:ext>
          </a:extLst>
        </xdr:cNvPr>
        <xdr:cNvSpPr/>
      </xdr:nvSpPr>
      <xdr:spPr>
        <a:xfrm>
          <a:off x="6752682" y="5188414"/>
          <a:ext cx="2214757" cy="1781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0B8B9B58-A38E-4EEC-9B47-E351DDBB70AB}" type="TxLink">
            <a:rPr lang="en-US" sz="1000" b="0" i="0" u="sng" strike="noStrike">
              <a:solidFill>
                <a:srgbClr val="0563C1"/>
              </a:solidFill>
              <a:latin typeface="Arial"/>
              <a:cs typeface="Arial"/>
            </a:rPr>
            <a:pPr algn="l"/>
            <a:t> </a:t>
          </a:fld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123472</xdr:rowOff>
    </xdr:from>
    <xdr:to>
      <xdr:col>7</xdr:col>
      <xdr:colOff>79375</xdr:colOff>
      <xdr:row>33</xdr:row>
      <xdr:rowOff>97014</xdr:rowOff>
    </xdr:to>
    <xdr:sp macro="" textlink="">
      <xdr:nvSpPr>
        <xdr:cNvPr id="7" name="Rectangle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82074D-25D0-4727-9870-147609D6E4F3}"/>
            </a:ext>
          </a:extLst>
        </xdr:cNvPr>
        <xdr:cNvSpPr/>
      </xdr:nvSpPr>
      <xdr:spPr>
        <a:xfrm>
          <a:off x="0" y="5653264"/>
          <a:ext cx="4374444" cy="53798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3</xdr:col>
      <xdr:colOff>12700</xdr:colOff>
      <xdr:row>13</xdr:row>
      <xdr:rowOff>12700</xdr:rowOff>
    </xdr:to>
    <xdr:sp macro="" textlink="">
      <xdr:nvSpPr>
        <xdr:cNvPr id="2" name="Rectangle: Rounded Corners 1">
          <a:hlinkClick xmlns:r="http://schemas.openxmlformats.org/officeDocument/2006/relationships" r:id="rId1" tooltip="Click for Pre-Inspection Sheet"/>
          <a:extLst>
            <a:ext uri="{FF2B5EF4-FFF2-40B4-BE49-F238E27FC236}">
              <a16:creationId xmlns:a16="http://schemas.microsoft.com/office/drawing/2014/main" id="{3A7AD6E1-1F1D-4AED-876C-7A2761334236}"/>
            </a:ext>
          </a:extLst>
        </xdr:cNvPr>
        <xdr:cNvSpPr/>
      </xdr:nvSpPr>
      <xdr:spPr>
        <a:xfrm>
          <a:off x="0" y="1587500"/>
          <a:ext cx="4013200" cy="171450"/>
        </a:xfrm>
        <a:prstGeom prst="round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=</a:t>
          </a:r>
        </a:p>
      </xdr:txBody>
    </xdr:sp>
    <xdr:clientData/>
  </xdr:twoCellAnchor>
  <xdr:twoCellAnchor>
    <xdr:from>
      <xdr:col>0</xdr:col>
      <xdr:colOff>0</xdr:colOff>
      <xdr:row>11</xdr:row>
      <xdr:rowOff>0</xdr:rowOff>
    </xdr:from>
    <xdr:to>
      <xdr:col>3</xdr:col>
      <xdr:colOff>12700</xdr:colOff>
      <xdr:row>13</xdr:row>
      <xdr:rowOff>12700</xdr:rowOff>
    </xdr:to>
    <xdr:sp macro="" textlink="">
      <xdr:nvSpPr>
        <xdr:cNvPr id="3" name="Rectangle: Rounded Corners 2">
          <a:hlinkClick xmlns:r="http://schemas.openxmlformats.org/officeDocument/2006/relationships" r:id="rId2" tooltip="Click for RSA Sheet"/>
          <a:extLst>
            <a:ext uri="{FF2B5EF4-FFF2-40B4-BE49-F238E27FC236}">
              <a16:creationId xmlns:a16="http://schemas.microsoft.com/office/drawing/2014/main" id="{1EAB3073-11CE-4199-8E88-DFDC51C7B410}"/>
            </a:ext>
          </a:extLst>
        </xdr:cNvPr>
        <xdr:cNvSpPr/>
      </xdr:nvSpPr>
      <xdr:spPr>
        <a:xfrm>
          <a:off x="0" y="1587500"/>
          <a:ext cx="4013200" cy="171450"/>
        </a:xfrm>
        <a:prstGeom prst="round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=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123472</xdr:rowOff>
    </xdr:from>
    <xdr:to>
      <xdr:col>7</xdr:col>
      <xdr:colOff>79375</xdr:colOff>
      <xdr:row>40</xdr:row>
      <xdr:rowOff>97014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9E6DF-82B4-4E77-8349-21586B457DBC}"/>
            </a:ext>
          </a:extLst>
        </xdr:cNvPr>
        <xdr:cNvSpPr/>
      </xdr:nvSpPr>
      <xdr:spPr>
        <a:xfrm>
          <a:off x="0" y="5876572"/>
          <a:ext cx="4365625" cy="5386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C1C93-1082-4B82-B79C-9C9B5ED36797}">
  <sheetPr codeName="Sheet2"/>
  <dimension ref="A1:G1048574"/>
  <sheetViews>
    <sheetView tabSelected="1" zoomScale="82" workbookViewId="0">
      <selection activeCell="C44" sqref="C44"/>
    </sheetView>
  </sheetViews>
  <sheetFormatPr defaultColWidth="8.77734375" defaultRowHeight="13.2" x14ac:dyDescent="0.25"/>
  <cols>
    <col min="1" max="1" width="30.6640625" style="1" customWidth="1"/>
    <col min="2" max="2" width="25.44140625" style="1" hidden="1" customWidth="1"/>
    <col min="3" max="3" width="30.6640625" style="1" customWidth="1"/>
    <col min="4" max="16384" width="8.77734375" style="1"/>
  </cols>
  <sheetData>
    <row r="1" spans="1:6" x14ac:dyDescent="0.25">
      <c r="A1" s="1" t="s">
        <v>57</v>
      </c>
      <c r="C1" s="45" t="s">
        <v>83</v>
      </c>
    </row>
    <row r="2" spans="1:6" x14ac:dyDescent="0.25">
      <c r="A2" s="1" t="str">
        <f>_xlfn.IFS(C1="","",C1="NWMLS","NWMLS Number:",C1&lt;&gt;"NWMLS","Owner Name:")</f>
        <v>Owner Name:</v>
      </c>
      <c r="C2" s="45"/>
    </row>
    <row r="4" spans="1:6" x14ac:dyDescent="0.25">
      <c r="A4" s="1" t="s">
        <v>0</v>
      </c>
      <c r="C4" s="45"/>
    </row>
    <row r="5" spans="1:6" x14ac:dyDescent="0.25">
      <c r="A5" s="1" t="str">
        <f>IF(C1="Foreclosure","Default Amount","Mortgage Owed")</f>
        <v>Mortgage Owed</v>
      </c>
      <c r="C5" s="4"/>
    </row>
    <row r="6" spans="1:6" x14ac:dyDescent="0.25">
      <c r="A6" s="1" t="s">
        <v>1</v>
      </c>
      <c r="C6" s="37">
        <v>901</v>
      </c>
    </row>
    <row r="7" spans="1:6" ht="12" hidden="1" customHeight="1" x14ac:dyDescent="0.25">
      <c r="C7" s="39" t="str">
        <f>IF(C6&lt;=900,"900-",IF(AND(C6&gt;900,C6&lt;=1200),"900-1200",IF(AND(C6,C6&lt;=1500),"1200-1500",IF(AND(C6&gt;1500,C6&lt;=2000),"1500-2000",IF(AND(C6&gt;2000,C6&lt;=2500),"2000-2500",IF(C6&gt;2500,"2500+",""))))))</f>
        <v>900-1200</v>
      </c>
      <c r="D7" s="13"/>
      <c r="E7" s="13"/>
      <c r="F7" s="13"/>
    </row>
    <row r="8" spans="1:6" x14ac:dyDescent="0.25">
      <c r="C8" s="13"/>
      <c r="D8" s="13"/>
      <c r="E8" s="13"/>
      <c r="F8" s="13"/>
    </row>
    <row r="9" spans="1:6" x14ac:dyDescent="0.25">
      <c r="A9" s="1" t="s">
        <v>2</v>
      </c>
      <c r="C9" s="37"/>
    </row>
    <row r="10" spans="1:6" x14ac:dyDescent="0.25">
      <c r="A10" s="1" t="s">
        <v>3</v>
      </c>
      <c r="C10" s="37"/>
    </row>
    <row r="12" spans="1:6" x14ac:dyDescent="0.25">
      <c r="A12" s="2" t="s">
        <v>70</v>
      </c>
      <c r="C12" s="38">
        <f>'Pre-Inspection Sheet'!D29</f>
        <v>5960</v>
      </c>
    </row>
    <row r="14" spans="1:6" x14ac:dyDescent="0.25">
      <c r="A14" s="1" t="s">
        <v>4</v>
      </c>
      <c r="C14" s="44">
        <v>100</v>
      </c>
    </row>
    <row r="15" spans="1:6" x14ac:dyDescent="0.25">
      <c r="A15" s="1" t="s">
        <v>5</v>
      </c>
      <c r="C15" s="44">
        <v>0</v>
      </c>
    </row>
    <row r="17" spans="1:3" x14ac:dyDescent="0.25">
      <c r="A17" s="40" t="s">
        <v>64</v>
      </c>
      <c r="B17" s="40"/>
      <c r="C17" s="41"/>
    </row>
    <row r="18" spans="1:3" x14ac:dyDescent="0.25">
      <c r="A18" s="40" t="s">
        <v>65</v>
      </c>
      <c r="B18" s="40"/>
      <c r="C18" s="42"/>
    </row>
    <row r="19" spans="1:3" x14ac:dyDescent="0.25">
      <c r="A19" s="40" t="s">
        <v>66</v>
      </c>
      <c r="B19" s="40"/>
      <c r="C19" s="41">
        <v>3</v>
      </c>
    </row>
    <row r="20" spans="1:3" x14ac:dyDescent="0.25">
      <c r="A20" s="40" t="s">
        <v>67</v>
      </c>
      <c r="B20" s="40"/>
      <c r="C20" s="43">
        <v>115</v>
      </c>
    </row>
    <row r="22" spans="1:3" x14ac:dyDescent="0.25">
      <c r="A22" s="40" t="s">
        <v>68</v>
      </c>
      <c r="B22" s="40"/>
      <c r="C22" s="41"/>
    </row>
    <row r="23" spans="1:3" x14ac:dyDescent="0.25">
      <c r="A23" s="40" t="s">
        <v>65</v>
      </c>
      <c r="B23" s="40"/>
      <c r="C23" s="42"/>
    </row>
    <row r="24" spans="1:3" ht="12.6" customHeight="1" x14ac:dyDescent="0.25">
      <c r="A24" s="40" t="s">
        <v>66</v>
      </c>
      <c r="B24" s="40"/>
      <c r="C24" s="41">
        <v>3</v>
      </c>
    </row>
    <row r="25" spans="1:3" ht="12.6" customHeight="1" x14ac:dyDescent="0.25">
      <c r="A25" s="40" t="s">
        <v>67</v>
      </c>
      <c r="B25" s="40"/>
      <c r="C25" s="43">
        <v>100</v>
      </c>
    </row>
    <row r="26" spans="1:3" ht="12.6" customHeight="1" x14ac:dyDescent="0.25"/>
    <row r="27" spans="1:3" ht="12.6" customHeight="1" x14ac:dyDescent="0.25">
      <c r="A27" s="40" t="s">
        <v>69</v>
      </c>
      <c r="B27" s="40"/>
      <c r="C27" s="41"/>
    </row>
    <row r="28" spans="1:3" ht="12.6" customHeight="1" x14ac:dyDescent="0.25">
      <c r="A28" s="40" t="s">
        <v>65</v>
      </c>
      <c r="B28" s="40"/>
      <c r="C28" s="42"/>
    </row>
    <row r="29" spans="1:3" ht="12.6" customHeight="1" x14ac:dyDescent="0.25">
      <c r="A29" s="40" t="s">
        <v>66</v>
      </c>
      <c r="B29" s="40"/>
      <c r="C29" s="41">
        <v>0</v>
      </c>
    </row>
    <row r="30" spans="1:3" ht="12.6" customHeight="1" x14ac:dyDescent="0.25">
      <c r="A30" s="40" t="s">
        <v>67</v>
      </c>
      <c r="B30" s="40"/>
      <c r="C30" s="43">
        <v>109</v>
      </c>
    </row>
    <row r="31" spans="1:3" ht="12.6" customHeight="1" x14ac:dyDescent="0.25"/>
    <row r="32" spans="1:3" ht="13.5" hidden="1" customHeight="1" x14ac:dyDescent="0.25">
      <c r="A32" s="1" t="s">
        <v>71</v>
      </c>
      <c r="C32" s="3">
        <f ca="1">(
$C$20*_xlfn.IFS($C$19&lt;=0.25,1,AND($C$19&lt;=0.5,$C$19&gt;0.25),0.975,AND($C$19&lt;=1,$C$19&gt;0.2),0.95,AND($C$19&lt;=3,$C$19&gt;0.2),0.925)*
_xlfn.IFS(TODAY()-15&lt;=$C$18,1,AND(TODAY()-15&lt;=C18,TODAY()-30&lt;=C18),0.975,AND(TODAY()-30&lt;=$C$18,TODAY()-45&lt;=$C$18),0.95,AND(TODAY()-45&lt;=$C$18,TODAY()-60&gt;$C$18),0.925,AND(TODAY()-60&lt;=$C$18,TODAY()-90&gt;$C$18),0.9,TODAY()-90&lt;=$C$18,0.875,NOT(TODAY()-90&lt;=$C$18),0.85)
+
$C$25*_xlfn.IFS($C$24&lt;=0.25,1,AND($C$24&lt;=0.5,$C$24&gt;0.25),0.975,AND($C$24&lt;=1,$C$24&gt;0.2),0.95,AND($C$24&lt;=3,$C$24&gt;0.2),0.925)*
_xlfn.IFS(TODAY()-15&lt;=$C$23,1,AND(TODAY()-15&lt;=$C$23,TODAY()-30&lt;=$C$23),0.975,AND(TODAY()-30&lt;=$C$23,TODAY()-45&lt;=$C$23),0.95,AND(TODAY()-45&lt;=$C$23,TODAY()-60&gt;$C$23),0.925,AND(TODAY()-60&lt;=$C$23,TODAY()-90&gt;$C$23),0.9,TODAY()-90&lt;=$C$23,0.875,NOT(TODAY()-90&lt;=$C$23),0.85)
+
$C$30*_xlfn.IFS($C$29&lt;=0.25,1,AND($C$29&lt;=0.5,$C$29&gt;0.25),0.975,AND($C$29&lt;=1,$C$29&gt;0.2),0.95,AND($C$29&lt;=3,$C$29&gt;0.2),0.925)*
_xlfn.IFS(TODAY()-15&lt;=$C$28,1,AND(TODAY()-15&lt;=$C$28,TODAY()-30&lt;=$C$28),0.975,AND(TODAY()-30&lt;=$C$28,TODAY()-45&lt;=$C$28),0.95,AND(TODAY()-45&lt;=$C$28,TODAY()-60&gt;$C$28),0.925,AND(TODAY()-60&lt;=$C$28,TODAY()-90&gt;$C$28),0.9,TODAY()-90&lt;=$C$28,0.875,NOT(TODAY()-90&lt;=$C$28),0.85)
)
/3</f>
        <v>87.231249999999989</v>
      </c>
    </row>
    <row r="33" spans="1:7" ht="12.6" customHeight="1" x14ac:dyDescent="0.25">
      <c r="A33" s="2" t="s">
        <v>84</v>
      </c>
      <c r="C33" s="3">
        <f ca="1">ROUNDUP(C6*C32,-3)</f>
        <v>79000</v>
      </c>
    </row>
    <row r="34" spans="1:7" ht="13.5" hidden="1" customHeight="1" x14ac:dyDescent="0.25">
      <c r="A34" s="1" t="s">
        <v>71</v>
      </c>
      <c r="C34" s="3">
        <f ca="1">MAX(C20,C25,C30)*_xlfn.IFS($C$19&lt;=0.25,1,AND($C$19&lt;=0.5,$C$19&gt;0.25),0.975,AND($C$19&lt;=1,$C$19&gt;0.2),0.95,AND($C$19&lt;=3,$C$19&gt;0.2),0.925)*
_xlfn.IFS(TODAY()-15&lt;=$C$18,1,AND(TODAY()-15&lt;=MAX(C20,C25,C30),TODAY()-30&lt;=MAX(C20,C25,C30)),0.975,AND(TODAY()-30&lt;=$C$18,TODAY()-45&lt;=$C$18),0.95,AND(TODAY()-45&lt;=$C$18,TODAY()-60&gt;$C$18),0.925,AND(TODAY()-60&lt;=$C$18,TODAY()-90&gt;$C$18),0.9,TODAY()-90&lt;=$C$18,0.875,NOT(TODAY()-90&lt;=$C$18),0.85)</f>
        <v>90.418750000000003</v>
      </c>
    </row>
    <row r="35" spans="1:7" ht="12.6" customHeight="1" x14ac:dyDescent="0.25">
      <c r="A35" s="2" t="s">
        <v>80</v>
      </c>
      <c r="C35" s="3">
        <f ca="1">ROUNDUP(C6*C34,-3)</f>
        <v>82000</v>
      </c>
    </row>
    <row r="36" spans="1:7" ht="12.6" customHeight="1" x14ac:dyDescent="0.25">
      <c r="A36" s="2"/>
      <c r="C36" s="3"/>
    </row>
    <row r="37" spans="1:7" ht="14.55" hidden="1" customHeight="1" x14ac:dyDescent="0.25">
      <c r="A37" s="2" t="s">
        <v>74</v>
      </c>
      <c r="B37" s="2"/>
      <c r="C37" s="12" t="str">
        <f ca="1" xml:space="preserve">
"$"&amp;ROUNDDOWN((
$C$33-($C$33*0.12)
-(0.0068*-($C$33-($C$33*0.12)-(($C$14/365)*120)-(($C$15/365)*120)-$C$12)+70)
-(($C$14/365)*120)-(($C$15/365)*120)-$C$12)
*(1+(-0.18-0.03)),-2)
&amp;"-$"&amp;
ROUNDDOWN(($C$33-($C$33*0.12)
-(0.0068*-($C$33-($C$33*0.12)-(($C$14/365)*120)-(($C$15/365)*120)-$C$12)+70)
-(($C$14/365)*120)-(($C$15/365)*120)-$C$12)
*(1+(-0.18+0.03)),-2)</f>
        <v>$50400-$54300</v>
      </c>
    </row>
    <row r="38" spans="1:7" ht="13.8" x14ac:dyDescent="0.3">
      <c r="A38" s="2" t="s">
        <v>77</v>
      </c>
      <c r="C38" s="49" t="str">
        <f ca="1">IF($C$33=0,"",
HYPERLINK("mailto:"&amp;"tphommavongsay@hotmail.com"&amp;"?subject="&amp;$C$4&amp;" IPS Summary"&amp;" Delta 18"&amp;"&amp;body="&amp;
"Size:"&amp;$C$6&amp;"          Mortgage Owed:"&amp;$C$5&amp;"          Zip Code:"&amp;$C$10&amp;"          Est ARC:$"&amp;$C$12&amp;"          Est AR2V:$"&amp;$C$33&amp;"          Delta 18:"&amp;$C$37,$C$37))</f>
        <v>$50400-$54300</v>
      </c>
    </row>
    <row r="39" spans="1:7" x14ac:dyDescent="0.25">
      <c r="A39" s="2"/>
      <c r="C39" s="48"/>
    </row>
    <row r="40" spans="1:7" ht="12.6" hidden="1" customHeight="1" x14ac:dyDescent="0.25">
      <c r="A40" s="2" t="s">
        <v>75</v>
      </c>
      <c r="C40" s="12" t="str">
        <f ca="1" xml:space="preserve">
"$"&amp;ROUNDDOWN((
$C$33-($C$33*0.12)
-(0.0068*-($C$33-($C$33*0.12)-(($C$14/365)*120)-(($C$15/365)*120)-$C$12)+70)
-(($C$14/365)*120)-(($C$15/365)*120)-$C$12)
*(1+(-0.24-0.03)),-2)
&amp;"-$"&amp;
ROUNDDOWN(($C$33-($C$33*0.12)
-(0.0068*-($C$33-($C$33*0.12)-(($C$14/365)*120)-(($C$15/365)*120)-$C$12)+70)
-(($C$14/365)*120)-(($C$15/365)*120)-$C$12)
*(1+(-0.24+0.03)),-2)</f>
        <v>$46600-$50400</v>
      </c>
    </row>
    <row r="41" spans="1:7" ht="14.4" x14ac:dyDescent="0.3">
      <c r="A41" s="2" t="s">
        <v>78</v>
      </c>
      <c r="C41" s="49" t="str">
        <f ca="1">IF($C$33=0,"",
HYPERLINK("mailto:"&amp;"tphommavongsay@hotmail.com"&amp;"?subject="&amp;$C$4&amp;" IPS Summary"&amp;" Delta 24"&amp;"&amp;body="&amp;
"Size:"&amp;$C$6&amp;"          Mortgage Owed:"&amp;$C$5&amp;"          Zip Code:"&amp;$C$10&amp;"         Est ARC:$"&amp;$C$12&amp;"          Est AR2V:$"&amp;$C$33&amp;"          Delta 24:"&amp;$C$40,$C$40))</f>
        <v>$46600-$50400</v>
      </c>
      <c r="G41" s="47"/>
    </row>
    <row r="42" spans="1:7" ht="13.8" x14ac:dyDescent="0.25">
      <c r="A42" s="2"/>
      <c r="C42" s="48"/>
      <c r="G42" s="47"/>
    </row>
    <row r="43" spans="1:7" hidden="1" x14ac:dyDescent="0.25">
      <c r="A43" s="2" t="s">
        <v>76</v>
      </c>
      <c r="C43" s="12" t="str">
        <f ca="1" xml:space="preserve">
"$"&amp;ROUNDDOWN((
$C$33-($C$33*0.12)
-(0.0068*-($C$33-($C$33*0.12)-(($C$14/365)*120)-(($C$15/365)*120)-$C$12)+70)
-(($C$14/365)*120)-(($C$15/365)*120)-$C$12)
*(1+(-0.3-0.03)),-2)
&amp;"-$"&amp;
ROUNDDOWN(($C$33-($C$33*0.12)
-(0.0068*-($C$33-($C$33*0.12)-(($C$14/365)*120)-(($C$15/365)*120)-$C$12)+70)
-(($C$14/365)*120)-(($C$15/365)*120)-$C$12)
*(1+(-0.3+0.03)),-2)</f>
        <v>$42800-$46600</v>
      </c>
    </row>
    <row r="44" spans="1:7" ht="13.8" x14ac:dyDescent="0.3">
      <c r="A44" s="2" t="s">
        <v>79</v>
      </c>
      <c r="C44" s="49" t="str">
        <f ca="1">IF($C$33=0,"",
HYPERLINK("mailto:"&amp;"tphommavongsay@hotmail.com"&amp;"?subject="&amp;$C$4&amp;" IPS Summary"&amp;" Delta 30"&amp;"&amp;body="&amp;
"Size:"&amp;$C$6&amp;"          Mortgage Owed:"&amp;$C$5&amp;"          Zip Code:"&amp;$C$10&amp;"          Est ARC:$"&amp;$C$12&amp;"          Est AR2V:$"&amp;$C$33&amp;"          Delta 30:"&amp;$C$43,$C$43))</f>
        <v>$42800-$46600</v>
      </c>
    </row>
    <row r="45" spans="1:7" ht="13.8" thickBot="1" x14ac:dyDescent="0.3">
      <c r="A45" s="46" t="str">
        <f>IF(OR(C12&lt;&gt;98402,C12&lt;&gt;98403,C12&lt;&gt;98404,C12&lt;&gt;98405,C12&lt;&gt;98406,C12&lt;&gt;98465,C12&lt;&gt;98466,C12&lt;&gt;98467,C12&lt;&gt;98498,C12&lt;&gt;98499),"",
IF(AND(C37&lt;&gt;"",OR(C12=98402,C12=98403,C12=98404,C12=98405,C12=98406)),
HYPERLINK("mailto:"&amp;"tphommavongsay@hotmail.com"&amp;"?subject="&amp;C6&amp;" IPS"&amp;"&amp;cc="&amp;"tphommavongsay@hotmail.com","Complete"),
IF(AND(C37&lt;&gt;"",OR(C12=98465,C12=98466,C12=98467,C12=98498,C12=98499)),
HYPERLINK("mailto:"&amp;"Chris@KNRE.com"&amp;"?subject="&amp;C6&amp;" IPS"&amp;"&amp;cc="&amp;"tphommavongsay@hotmail.com","Complete"),
)))</f>
        <v/>
      </c>
      <c r="B45" s="46"/>
    </row>
    <row r="46" spans="1:7" ht="13.05" hidden="1" customHeight="1" x14ac:dyDescent="0.25">
      <c r="A46" s="54" t="str">
        <f ca="1">IF(C47="","Find Delta (True Value):",
IF(1-(C47/($C$33-($C$33*0.12)
-(0.0068*-($C$33-($C$33*0.12)-(($C$14/365)*120)-(($C$15/365)*120)-$C$12)+70)
-(($C$14/365)*120)-(($C$15/365)*120)-$C$12))&lt;0,"ERROR",
"∆ "&amp;
ROUNDUP(1-(C47/($C$33-($C$33*0.12)
-(0.0068*-($C$33-($C$33*0.12)-(($C$14/365)*120)-(($C$15/365)*120)-$C$12)+70)
-(($C$14/365)*120)-(($C$15/365)*120)-$C$12)),2)))</f>
        <v>∆ 0.98</v>
      </c>
      <c r="B46" s="50"/>
      <c r="C46" s="59"/>
    </row>
    <row r="47" spans="1:7" ht="13.8" thickBot="1" x14ac:dyDescent="0.3">
      <c r="A47" s="56" t="str">
        <f ca="1">IF(C47="","Find Delta:",HYPERLINK("mailto:"&amp;"tphommavongsay@hotmail.com"&amp;"?subject="&amp;$C$4&amp;" IPS Summary"&amp;" Delta 30"&amp;"&amp;body="&amp;"Offer Price:"&amp;C47&amp;
"         Size:"&amp;$C$6&amp;"          Mortgage Owed:"&amp;$C$5&amp;"          Zip Code:"&amp;$C$10&amp;"          Est ARC:$"&amp;$C$12&amp;"          Est AR2V:$"&amp;$C$33&amp;"          Custom Delta:"&amp;A46,A46))</f>
        <v>∆ 0.98</v>
      </c>
      <c r="B47" s="57"/>
      <c r="C47" s="62">
        <v>1500</v>
      </c>
    </row>
    <row r="48" spans="1:7" hidden="1" x14ac:dyDescent="0.25">
      <c r="A48" s="60"/>
      <c r="B48" s="50"/>
      <c r="C48" s="61" t="str">
        <f>IF(A49="","Custom Delta:",
"$"&amp;ROUNDDOWN((
$C$33-($C$33*0.12)
-(0.0068*-($C$33-($C$33*0.12)-(($C$14/365)*120)-(($C$15/365)*120)-$C$12)+70)
-(($C$14/365)*120)-(($C$15/365)*120)-$C$12)
*(1+(-(A49/100)-0.03)),-2)
&amp;"-$"&amp;
ROUNDDOWN(($C$33-($C$33*0.12)
-(0.0068*-($C$33-($C$33*0.12)-(($C$14/365)*120)-(($C$15/365)*120)-$C$12)+70)
-(($C$14/365)*120)-(($C$15/365)*120)-$C$12)
*(1+(-(A49/100)+0.03)),-2))</f>
        <v>Custom Delta:</v>
      </c>
    </row>
    <row r="49" spans="1:3" ht="13.8" thickBot="1" x14ac:dyDescent="0.3">
      <c r="A49" s="63"/>
      <c r="B49" s="58"/>
      <c r="C49" s="55" t="str">
        <f>IF(A49="","Custom Delta:",HYPERLINK("mailto:"&amp;"tphommavongsay@hotmail.com"&amp;"?subject="&amp;$C$4&amp;" IPS Summary"&amp;"Delta"&amp;A49&amp;"&amp;body="&amp;"Offer Price:"&amp;E49&amp;
"         Size:"&amp;$C$6&amp;"          Mortgage Owed:"&amp;$C$5&amp;"          Zip Code:"&amp;$C$10&amp;"          Est ARC:$"&amp;$C$12&amp;"          Est AR2V:$"&amp;$C$33&amp;"          Delta"&amp;A49&amp;":"&amp;C48,C48))</f>
        <v>Custom Delta:</v>
      </c>
    </row>
    <row r="1048552" spans="3:3" hidden="1" x14ac:dyDescent="0.25">
      <c r="C1048552" s="1" t="s">
        <v>58</v>
      </c>
    </row>
    <row r="1048553" spans="3:3" hidden="1" x14ac:dyDescent="0.25">
      <c r="C1048553" s="1" t="s">
        <v>59</v>
      </c>
    </row>
    <row r="1048554" spans="3:3" hidden="1" x14ac:dyDescent="0.25">
      <c r="C1048554" s="1" t="s">
        <v>60</v>
      </c>
    </row>
    <row r="1048555" spans="3:3" hidden="1" x14ac:dyDescent="0.25">
      <c r="C1048555" s="1" t="s">
        <v>61</v>
      </c>
    </row>
    <row r="1048556" spans="3:3" hidden="1" x14ac:dyDescent="0.25">
      <c r="C1048556" s="1" t="s">
        <v>62</v>
      </c>
    </row>
    <row r="1048557" spans="3:3" hidden="1" x14ac:dyDescent="0.25">
      <c r="C1048557" s="1" t="s">
        <v>63</v>
      </c>
    </row>
    <row r="1048558" spans="3:3" hidden="1" x14ac:dyDescent="0.25">
      <c r="C1048558" s="1" t="s">
        <v>81</v>
      </c>
    </row>
    <row r="1048559" spans="3:3" hidden="1" x14ac:dyDescent="0.25">
      <c r="C1048559" s="1" t="s">
        <v>82</v>
      </c>
    </row>
    <row r="1048560" spans="3:3" hidden="1" x14ac:dyDescent="0.25">
      <c r="C1048560" s="1" t="s">
        <v>83</v>
      </c>
    </row>
    <row r="1048574" ht="11.55" customHeight="1" x14ac:dyDescent="0.25"/>
  </sheetData>
  <sheetProtection algorithmName="SHA-512" hashValue="cX6Jbj1W02Q6q3aqHpetoEwJYGwJQHnyzYAxK8b+HOByL5QTsB21PMeCgXU6vLiDxmWDHIOfYJ91A1RjOAYBRA==" saltValue="jSCLs1YMxzEhUa8Zn8KZMA==" spinCount="100000" sheet="1" selectLockedCells="1"/>
  <dataValidations count="1">
    <dataValidation type="list" allowBlank="1" showInputMessage="1" showErrorMessage="1" sqref="C1" xr:uid="{AA02C960-FEDD-48C2-A423-A8A1D8144AA5}">
      <formula1>$C$1048552:$C$1048560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99308-CD45-4F06-A947-C1E0027E3CF9}">
  <sheetPr codeName="Sheet1"/>
  <dimension ref="A1:I81"/>
  <sheetViews>
    <sheetView zoomScale="72" workbookViewId="0">
      <selection activeCell="B3" sqref="B3:C3"/>
    </sheetView>
  </sheetViews>
  <sheetFormatPr defaultRowHeight="13.2" x14ac:dyDescent="0.25"/>
  <cols>
    <col min="1" max="1" width="17.44140625" style="1" customWidth="1"/>
    <col min="2" max="2" width="8.77734375" style="1"/>
    <col min="3" max="3" width="8.5546875" style="1" customWidth="1"/>
    <col min="4" max="4" width="8.77734375" style="1" hidden="1" customWidth="1"/>
    <col min="5" max="5" width="9.77734375" style="1" hidden="1" customWidth="1"/>
    <col min="6" max="6" width="10.21875" style="1" customWidth="1"/>
    <col min="7" max="7" width="16.44140625" style="1" customWidth="1"/>
  </cols>
  <sheetData>
    <row r="1" spans="1:9" ht="14.4" x14ac:dyDescent="0.3">
      <c r="A1" s="26"/>
      <c r="B1" s="26"/>
      <c r="C1" s="26"/>
      <c r="D1" s="26"/>
      <c r="E1" s="26"/>
      <c r="F1" s="26"/>
      <c r="G1" s="26"/>
      <c r="H1" s="15"/>
      <c r="I1" s="15"/>
    </row>
    <row r="2" spans="1:9" ht="15.6" customHeight="1" x14ac:dyDescent="0.3">
      <c r="A2" s="28" t="s">
        <v>28</v>
      </c>
      <c r="B2" s="96" t="s">
        <v>29</v>
      </c>
      <c r="C2" s="96"/>
      <c r="D2" s="96" t="s">
        <v>30</v>
      </c>
      <c r="E2" s="96"/>
      <c r="F2" s="87" t="s">
        <v>31</v>
      </c>
      <c r="G2" s="87"/>
    </row>
    <row r="3" spans="1:9" ht="15.6" customHeight="1" x14ac:dyDescent="0.3">
      <c r="A3" s="29" t="s">
        <v>32</v>
      </c>
      <c r="B3" s="97">
        <v>2</v>
      </c>
      <c r="C3" s="97"/>
      <c r="D3" s="102">
        <f>IF(B3=1,(IF('IPS-R'!$C$7="","",IF('IPS-R'!$C$7="900-",200,IF('IPS-R'!$C$7="900-1200",250,IF('IPS-R'!$C$7="1200-1500",300,IF('IPS-R'!$C$7="1500-2000",350,IF('IPS-R'!$C$7="2000-2500",400,IF('IPS-R'!$C$7="2500+",500,"")))))))
+IF('IPS-R'!$C$7="","",IF('IPS-R'!$C$7="900-",1200,IF('IPS-R'!$C$7="900-1200",1800,IF('IPS-R'!$C$7="1200-1500",2400,IF('IPS-R'!$C$7="1500-2000",3000,IF('IPS-R'!$C$7="2000-2500",3600,IF('IPS-R'!$C$7="2500+",4200,"")))))))
+IF('IPS-R'!$C$7="","",IF('IPS-R'!$C$7="900-",250,IF('IPS-R'!$C$7="900-1200",275,IF('IPS-R'!$C$7="1200-1500",300,IF('IPS-R'!$C$7="1500-2000",325,IF('IPS-R'!$C$7="2000-2500",350,IF('IPS-R'!$C$7="2500+",400,"")))))))
+IF('IPS-R'!$C$7="","",IF('IPS-R'!$C$7="900-",100,IF('IPS-R'!$C$7="900-1200",125,IF('IPS-R'!$C$7="1200-1500",150,IF('IPS-R'!$C$7="1500-2000",175,IF('IPS-R'!$C$7="2000-2500",200,IF('IPS-R'!$C$7="2500+",250,"")))))))
+IF('IPS-R'!$C$7="","",IF('IPS-R'!$C$7="900-",3500,IF('IPS-R'!$C$7="900-1200",3750,IF('IPS-R'!$C$7="1200-1500",4000,IF('IPS-R'!$C$7="1500-2000",4250,IF('IPS-R'!$C$7="2000-2500",4500,IF('IPS-R'!$C$7="2500+",4750,"")))))))
+IF('IPS-R'!$C$7="","",IF('IPS-R'!$C$7="900-",1000,IF('IPS-R'!$C$7="900-1200",1250,IF('IPS-R'!$C$7="1200-1500",1500,IF('IPS-R'!$C$7="1500-2000",1750,IF('IPS-R'!$C$7="2000-2500",2000,IF('IPS-R'!$C$7="2500+",2250,""))))))))*0.6,
IF(B3=2,(IF('IPS-R'!$C$7="","",IF('IPS-R'!$C$7="900-",200,IF('IPS-R'!$C$7="900-1200",250,IF('IPS-R'!$C$7="1200-1500",300,IF('IPS-R'!$C$7="1500-2000",350,IF('IPS-R'!$C$7="2000-2500",400,IF('IPS-R'!$C$7="2500+",500,"")))))))
+IF('IPS-R'!$C$7="","",IF('IPS-R'!$C$7="900-",1200,IF('IPS-R'!$C$7="900-1200",1800,IF('IPS-R'!$C$7="1200-1500",2400,IF('IPS-R'!$C$7="1500-2000",3000,IF('IPS-R'!$C$7="2000-2500",3600,IF('IPS-R'!$C$7="2500+",4200,"")))))))
+IF('IPS-R'!$C$7="","",IF('IPS-R'!$C$7="900-",250,IF('IPS-R'!$C$7="900-1200",275,IF('IPS-R'!$C$7="1200-1500",300,IF('IPS-R'!$C$7="1500-2000",325,IF('IPS-R'!$C$7="2000-2500",350,IF('IPS-R'!$C$7="2500+",400,"")))))))
+IF('IPS-R'!$C$7="","",IF('IPS-R'!$C$7="900-",100,IF('IPS-R'!$C$7="900-1200",125,IF('IPS-R'!$C$7="1200-1500",150,IF('IPS-R'!$C$7="1500-2000",175,IF('IPS-R'!$C$7="2000-2500",200,IF('IPS-R'!$C$7="2500+",250,"")))))))
+IF('IPS-R'!$C$7="","",IF('IPS-R'!$C$7="900-",3500,IF('IPS-R'!$C$7="900-1200",3750,IF('IPS-R'!$C$7="1200-1500",4000,IF('IPS-R'!$C$7="1500-2000",4250,IF('IPS-R'!$C$7="2000-2500",4500,IF('IPS-R'!$C$7="2500+",4750,"")))))))
+IF('IPS-R'!$C$7="","",IF('IPS-R'!$C$7="900-",1000,IF('IPS-R'!$C$7="900-1200",1250,IF('IPS-R'!$C$7="1200-1500",1500,IF('IPS-R'!$C$7="1500-2000",1750,IF('IPS-R'!$C$7="2000-2500",2000,IF('IPS-R'!$C$7="2500+",2250,""))))))))*0.8,
IF(B3=3,(IF('IPS-R'!$C$7="","",IF('IPS-R'!$C$7="900-",200,IF('IPS-R'!$C$7="900-1200",250,IF('IPS-R'!$C$7="1200-1500",300,IF('IPS-R'!$C$7="1500-2000",350,IF('IPS-R'!$C$7="2000-2500",400,IF('IPS-R'!$C$7="2500+",500,"")))))))
+IF('IPS-R'!$C$7="","",IF('IPS-R'!$C$7="900-",1200,IF('IPS-R'!$C$7="900-1200",1800,IF('IPS-R'!$C$7="1200-1500",2400,IF('IPS-R'!$C$7="1500-2000",3000,IF('IPS-R'!$C$7="2000-2500",3600,IF('IPS-R'!$C$7="2500+",4200,"")))))))
+IF('IPS-R'!$C$7="","",IF('IPS-R'!$C$7="900-",250,IF('IPS-R'!$C$7="900-1200",275,IF('IPS-R'!$C$7="1200-1500",300,IF('IPS-R'!$C$7="1500-2000",325,IF('IPS-R'!$C$7="2000-2500",350,IF('IPS-R'!$C$7="2500+",400,"")))))))
+IF('IPS-R'!$C$7="","",IF('IPS-R'!$C$7="900-",100,IF('IPS-R'!$C$7="900-1200",125,IF('IPS-R'!$C$7="1200-1500",150,IF('IPS-R'!$C$7="1500-2000",175,IF('IPS-R'!$C$7="2000-2500",200,IF('IPS-R'!$C$7="2500+",250,"")))))))
+IF('IPS-R'!$C$7="","",IF('IPS-R'!$C$7="900-",3500,IF('IPS-R'!$C$7="900-1200",3750,IF('IPS-R'!$C$7="1200-1500",4000,IF('IPS-R'!$C$7="1500-2000",4250,IF('IPS-R'!$C$7="2000-2500",4500,IF('IPS-R'!$C$7="2500+",4750,"")))))))
+IF('IPS-R'!$C$7="","",IF('IPS-R'!$C$7="900-",1000,IF('IPS-R'!$C$7="900-1200",1250,IF('IPS-R'!$C$7="1200-1500",1500,IF('IPS-R'!$C$7="1500-2000",1750,IF('IPS-R'!$C$7="2000-2500",2000,IF('IPS-R'!$C$7="2500+",2250,"")))))))),0)))</f>
        <v>5960</v>
      </c>
      <c r="E3" s="103"/>
      <c r="F3" s="88">
        <f t="shared" ref="F3:F16" si="0">D3</f>
        <v>5960</v>
      </c>
      <c r="G3" s="89"/>
      <c r="H3" s="16"/>
      <c r="I3" s="16"/>
    </row>
    <row r="4" spans="1:9" ht="15.6" customHeight="1" x14ac:dyDescent="0.3">
      <c r="A4" s="29" t="s">
        <v>34</v>
      </c>
      <c r="B4" s="92"/>
      <c r="C4" s="93"/>
      <c r="D4" s="94">
        <f>IF(B4=1,IF('IPS-R'!$C$7="","",IF('IPS-R'!$C$7="900-",500,IF('IPS-R'!$C$7="900-1200",750,IF('IPS-R'!$C$7="1200-1500",1000,IF('IPS-R'!$C$7="1500-2000",1250,IF('IPS-R'!$C$7="2000-2500",1500,IF('IPS-R'!$C$7="2500+",3250,"")))))))+IF('IPS-R'!$C$7="","",IF('IPS-R'!$C$7="900-",100,IF('IPS-R'!$C$7="900-1200",150,IF('IPS-R'!$C$7="1200-1500",200,IF('IPS-R'!$C$7="1500-2000",250,IF('IPS-R'!$C$7="2000-2500",300,IF('IPS-R'!$C$7="2500+",350,"")))))))+IF('IPS-R'!$C$7="","",IF('IPS-R'!$C$7="900-",1000,IF('IPS-R'!$C$7="900-1200",1250,IF('IPS-R'!$C$7="1200-1500",1500,IF('IPS-R'!$C$7="1500-2000",1750,IF('IPS-R'!$C$7="2000-2500",2000,IF('IPS-R'!$C$7="2500+",2750,"")))))))+IF('IPS-R'!$C$7="","",IF('IPS-R'!$C$7="900-",500,IF('IPS-R'!$C$7="900-1200",600,IF('IPS-R'!$C$7="1200-1500",700,IF('IPS-R'!$C$7="1500-2000",800,IF('IPS-R'!$C$7="2000-2500",900,IF('IPS-R'!$C$7="2500+",1000,"")))))))*0.6,
IF(B4=2,IF('IPS-R'!$C$7="","",IF('IPS-R'!$C$7="900-",500,IF('IPS-R'!$C$7="900-1200",750,IF('IPS-R'!$C$7="1200-1500",1000,IF('IPS-R'!$C$7="1500-2000",1250,IF('IPS-R'!$C$7="2000-2500",1500,IF('IPS-R'!$C$7="2500+",3250,"")))))))+IF('IPS-R'!$C$7="","",IF('IPS-R'!$C$7="900-",100,IF('IPS-R'!$C$7="900-1200",150,IF('IPS-R'!$C$7="1200-1500",200,IF('IPS-R'!$C$7="1500-2000",250,IF('IPS-R'!$C$7="2000-2500",300,IF('IPS-R'!$C$7="2500+",350,"")))))))+IF('IPS-R'!$C$7="","",IF('IPS-R'!$C$7="900-",1000,IF('IPS-R'!$C$7="900-1200",1250,IF('IPS-R'!$C$7="1200-1500",1500,IF('IPS-R'!$C$7="1500-2000",1750,IF('IPS-R'!$C$7="2000-2500",2000,IF('IPS-R'!$C$7="2500+",2750,"")))))))+IF('IPS-R'!$C$7="","",IF('IPS-R'!$C$7="900-",500,IF('IPS-R'!$C$7="900-1200",600,IF('IPS-R'!$C$7="1200-1500",700,IF('IPS-R'!$C$7="1500-2000",800,IF('IPS-R'!$C$7="2000-2500",900,IF('IPS-R'!$C$7="2500+",1000,"")))))))*0.8,
IF(B4=3,IF('IPS-R'!$C$7="","",IF('IPS-R'!$C$7="900-",500,IF('IPS-R'!$C$7="900-1200",750,IF('IPS-R'!$C$7="1200-1500",1000,IF('IPS-R'!$C$7="1500-2000",1250,IF('IPS-R'!$C$7="2000-2500",1500,IF('IPS-R'!$C$7="2500+",3250,"")))))))+IF('IPS-R'!$C$7="","",IF('IPS-R'!$C$7="900-",100,IF('IPS-R'!$C$7="900-1200",150,IF('IPS-R'!$C$7="1200-1500",200,IF('IPS-R'!$C$7="1500-2000",250,IF('IPS-R'!$C$7="2000-2500",300,IF('IPS-R'!$C$7="2500+",350,"")))))))+IF('IPS-R'!$C$7="","",IF('IPS-R'!$C$7="900-",1000,IF('IPS-R'!$C$7="900-1200",1250,IF('IPS-R'!$C$7="1200-1500",1500,IF('IPS-R'!$C$7="1500-2000",1750,IF('IPS-R'!$C$7="2000-2500",2000,IF('IPS-R'!$C$7="2500+",2750,"")))))))+IF('IPS-R'!$C$7="","",IF('IPS-R'!$C$7="900-",500,IF('IPS-R'!$C$7="900-1200",600,IF('IPS-R'!$C$7="1200-1500",700,IF('IPS-R'!$C$7="1500-2000",800,IF('IPS-R'!$C$7="2000-2500",900,IF('IPS-R'!$C$7="2500+",1000,""))))))),0)))</f>
        <v>0</v>
      </c>
      <c r="E4" s="95"/>
      <c r="F4" s="88">
        <f t="shared" si="0"/>
        <v>0</v>
      </c>
      <c r="G4" s="89"/>
      <c r="H4" s="16"/>
      <c r="I4" s="16"/>
    </row>
    <row r="5" spans="1:9" ht="15.6" customHeight="1" x14ac:dyDescent="0.3">
      <c r="A5" s="29" t="s">
        <v>35</v>
      </c>
      <c r="B5" s="92"/>
      <c r="C5" s="93"/>
      <c r="D5" s="94">
        <f>IF(B5=1,IF('IPS-R'!$C$7="","",IF('IPS-R'!$C$7="900-",500,IF('IPS-R'!$C$7="900-1200",750,IF('IPS-R'!$C$7="1200-1500",1000,IF('IPS-R'!$C$7="1500-2000",1250,IF('IPS-R'!$C$7="2000-2500",1500,IF('IPS-R'!$C$7="2500+",3250,"")))))))+IF('IPS-R'!$C$7="","",IF('IPS-R'!$C$7="900-",100,IF('IPS-R'!$C$7="900-1200",150,IF('IPS-R'!$C$7="1200-1500",200,IF('IPS-R'!$C$7="1500-2000",250,IF('IPS-R'!$C$7="2000-2500",300,IF('IPS-R'!$C$7="2500+",350,"")))))))+IF('IPS-R'!$C$7="","",IF('IPS-R'!$C$7="900-",1000,IF('IPS-R'!$C$7="900-1200",1250,IF('IPS-R'!$C$7="1200-1500",1500,IF('IPS-R'!$C$7="1500-2000",1750,IF('IPS-R'!$C$7="2000-2500",2000,IF('IPS-R'!$C$7="2500+",2750,"")))))))+IF('IPS-R'!$C$7="","",IF('IPS-R'!$C$7="900-",500,IF('IPS-R'!$C$7="900-1200",600,IF('IPS-R'!$C$7="1200-1500",700,IF('IPS-R'!$C$7="1500-2000",800,IF('IPS-R'!$C$7="2000-2500",900,IF('IPS-R'!$C$7="2500+",1000,"")))))))*0.6,
IF(B5=2,IF('IPS-R'!$C$7="","",IF('IPS-R'!$C$7="900-",500,IF('IPS-R'!$C$7="900-1200",750,IF('IPS-R'!$C$7="1200-1500",1000,IF('IPS-R'!$C$7="1500-2000",1250,IF('IPS-R'!$C$7="2000-2500",1500,IF('IPS-R'!$C$7="2500+",3250,"")))))))+IF('IPS-R'!$C$7="","",IF('IPS-R'!$C$7="900-",100,IF('IPS-R'!$C$7="900-1200",150,IF('IPS-R'!$C$7="1200-1500",200,IF('IPS-R'!$C$7="1500-2000",250,IF('IPS-R'!$C$7="2000-2500",300,IF('IPS-R'!$C$7="2500+",350,"")))))))+IF('IPS-R'!$C$7="","",IF('IPS-R'!$C$7="900-",1000,IF('IPS-R'!$C$7="900-1200",1250,IF('IPS-R'!$C$7="1200-1500",1500,IF('IPS-R'!$C$7="1500-2000",1750,IF('IPS-R'!$C$7="2000-2500",2000,IF('IPS-R'!$C$7="2500+",2750,"")))))))+IF('IPS-R'!$C$7="","",IF('IPS-R'!$C$7="900-",500,IF('IPS-R'!$C$7="900-1200",600,IF('IPS-R'!$C$7="1200-1500",700,IF('IPS-R'!$C$7="1500-2000",800,IF('IPS-R'!$C$7="2000-2500",900,IF('IPS-R'!$C$7="2500+",1000,"")))))))*0.8,
IF(B5=3,IF('IPS-R'!$C$7="","",IF('IPS-R'!$C$7="900-",500,IF('IPS-R'!$C$7="900-1200",750,IF('IPS-R'!$C$7="1200-1500",1000,IF('IPS-R'!$C$7="1500-2000",1250,IF('IPS-R'!$C$7="2000-2500",1500,IF('IPS-R'!$C$7="2500+",3250,"")))))))+IF('IPS-R'!$C$7="","",IF('IPS-R'!$C$7="900-",100,IF('IPS-R'!$C$7="900-1200",150,IF('IPS-R'!$C$7="1200-1500",200,IF('IPS-R'!$C$7="1500-2000",250,IF('IPS-R'!$C$7="2000-2500",300,IF('IPS-R'!$C$7="2500+",350,"")))))))+IF('IPS-R'!$C$7="","",IF('IPS-R'!$C$7="900-",1000,IF('IPS-R'!$C$7="900-1200",1250,IF('IPS-R'!$C$7="1200-1500",1500,IF('IPS-R'!$C$7="1500-2000",1750,IF('IPS-R'!$C$7="2000-2500",2000,IF('IPS-R'!$C$7="2500+",2750,"")))))))+IF('IPS-R'!$C$7="","",IF('IPS-R'!$C$7="900-",500,IF('IPS-R'!$C$7="900-1200",600,IF('IPS-R'!$C$7="1200-1500",700,IF('IPS-R'!$C$7="1500-2000",800,IF('IPS-R'!$C$7="2000-2500",900,IF('IPS-R'!$C$7="2500+",1000,""))))))),0)))</f>
        <v>0</v>
      </c>
      <c r="E5" s="95"/>
      <c r="F5" s="88">
        <f t="shared" si="0"/>
        <v>0</v>
      </c>
      <c r="G5" s="89"/>
      <c r="H5" s="15"/>
      <c r="I5" s="15"/>
    </row>
    <row r="6" spans="1:9" ht="15.6" customHeight="1" x14ac:dyDescent="0.3">
      <c r="A6" s="29" t="s">
        <v>36</v>
      </c>
      <c r="B6" s="92"/>
      <c r="C6" s="93"/>
      <c r="D6" s="94">
        <f>IF(B6=1,IF('IPS-R'!$C$7="","",IF('IPS-R'!$C$7="900-",500,IF('IPS-R'!$C$7="900-1200",750,IF('IPS-R'!$C$7="1200-1500",1000,IF('IPS-R'!$C$7="1500-2000",1250,IF('IPS-R'!$C$7="2000-2500",1500,IF('IPS-R'!$C$7="2500+",3250,"")))))))+IF('IPS-R'!$C$7="","",IF('IPS-R'!$C$7="900-",100,IF('IPS-R'!$C$7="900-1200",150,IF('IPS-R'!$C$7="1200-1500",200,IF('IPS-R'!$C$7="1500-2000",250,IF('IPS-R'!$C$7="2000-2500",300,IF('IPS-R'!$C$7="2500+",350,"")))))))+IF('IPS-R'!$C$7="","",IF('IPS-R'!$C$7="900-",1000,IF('IPS-R'!$C$7="900-1200",1250,IF('IPS-R'!$C$7="1200-1500",1500,IF('IPS-R'!$C$7="1500-2000",1750,IF('IPS-R'!$C$7="2000-2500",2000,IF('IPS-R'!$C$7="2500+",2750,"")))))))+IF('IPS-R'!$C$7="","",IF('IPS-R'!$C$7="900-",500,IF('IPS-R'!$C$7="900-1200",600,IF('IPS-R'!$C$7="1200-1500",700,IF('IPS-R'!$C$7="1500-2000",800,IF('IPS-R'!$C$7="2000-2500",900,IF('IPS-R'!$C$7="2500+",1000,"")))))))*0.6,
IF(B6=2,IF('IPS-R'!$C$7="","",IF('IPS-R'!$C$7="900-",500,IF('IPS-R'!$C$7="900-1200",750,IF('IPS-R'!$C$7="1200-1500",1000,IF('IPS-R'!$C$7="1500-2000",1250,IF('IPS-R'!$C$7="2000-2500",1500,IF('IPS-R'!$C$7="2500+",3250,"")))))))+IF('IPS-R'!$C$7="","",IF('IPS-R'!$C$7="900-",100,IF('IPS-R'!$C$7="900-1200",150,IF('IPS-R'!$C$7="1200-1500",200,IF('IPS-R'!$C$7="1500-2000",250,IF('IPS-R'!$C$7="2000-2500",300,IF('IPS-R'!$C$7="2500+",350,"")))))))+IF('IPS-R'!$C$7="","",IF('IPS-R'!$C$7="900-",1000,IF('IPS-R'!$C$7="900-1200",1250,IF('IPS-R'!$C$7="1200-1500",1500,IF('IPS-R'!$C$7="1500-2000",1750,IF('IPS-R'!$C$7="2000-2500",2000,IF('IPS-R'!$C$7="2500+",2750,"")))))))+IF('IPS-R'!$C$7="","",IF('IPS-R'!$C$7="900-",500,IF('IPS-R'!$C$7="900-1200",600,IF('IPS-R'!$C$7="1200-1500",700,IF('IPS-R'!$C$7="1500-2000",800,IF('IPS-R'!$C$7="2000-2500",900,IF('IPS-R'!$C$7="2500+",1000,"")))))))*0.8,
IF(B6=3,IF('IPS-R'!$C$7="","",IF('IPS-R'!$C$7="900-",500,IF('IPS-R'!$C$7="900-1200",750,IF('IPS-R'!$C$7="1200-1500",1000,IF('IPS-R'!$C$7="1500-2000",1250,IF('IPS-R'!$C$7="2000-2500",1500,IF('IPS-R'!$C$7="2500+",3250,"")))))))+IF('IPS-R'!$C$7="","",IF('IPS-R'!$C$7="900-",100,IF('IPS-R'!$C$7="900-1200",150,IF('IPS-R'!$C$7="1200-1500",200,IF('IPS-R'!$C$7="1500-2000",250,IF('IPS-R'!$C$7="2000-2500",300,IF('IPS-R'!$C$7="2500+",350,"")))))))+IF('IPS-R'!$C$7="","",IF('IPS-R'!$C$7="900-",1000,IF('IPS-R'!$C$7="900-1200",1250,IF('IPS-R'!$C$7="1200-1500",1500,IF('IPS-R'!$C$7="1500-2000",1750,IF('IPS-R'!$C$7="2000-2500",2000,IF('IPS-R'!$C$7="2500+",2750,"")))))))+IF('IPS-R'!$C$7="","",IF('IPS-R'!$C$7="900-",500,IF('IPS-R'!$C$7="900-1200",600,IF('IPS-R'!$C$7="1200-1500",700,IF('IPS-R'!$C$7="1500-2000",800,IF('IPS-R'!$C$7="2000-2500",900,IF('IPS-R'!$C$7="2500+",1000,""))))))),0)))</f>
        <v>0</v>
      </c>
      <c r="E6" s="95"/>
      <c r="F6" s="88">
        <f t="shared" si="0"/>
        <v>0</v>
      </c>
      <c r="G6" s="89"/>
      <c r="H6" s="15"/>
      <c r="I6" s="15"/>
    </row>
    <row r="7" spans="1:9" ht="15.6" customHeight="1" x14ac:dyDescent="0.3">
      <c r="A7" s="29" t="s">
        <v>37</v>
      </c>
      <c r="B7" s="92"/>
      <c r="C7" s="93"/>
      <c r="D7" s="98">
        <f>IF(B7=1,IF('IPS-R'!$C$7="","",IF('IPS-R'!$C$7="900-",200,IF('IPS-R'!$C$7="900-1200",250,IF('IPS-R'!$C$7="1200-1500",300,IF('IPS-R'!$C$7="1500-2000",350,IF('IPS-R'!$C$7="2000-2500",400,IF('IPS-R'!$C$7="2500+",500,"")))))))+IF('IPS-R'!$C$7="","",IF('IPS-R'!$C$7="900-",500,IF('IPS-R'!$C$7="900-1200",750,IF('IPS-R'!$C$7="1200-1500",1000,IF('IPS-R'!$C$7="1500-2000",1250,IF('IPS-R'!$C$7="2000-2500",1500,IF('IPS-R'!$C$7="2500+",1750,"")))))))+IF('IPS-R'!$C$7="","",IF('IPS-R'!$C$7="900-",250,IF('IPS-R'!$C$7="900-1200",275,IF('IPS-R'!$C$7="1200-1500",300,IF('IPS-R'!$C$7="1500-2000",325,IF('IPS-R'!$C$7="2000-2500",350,IF('IPS-R'!$C$7="2500+",400,"")))))))+IF('IPS-R'!$C$7="","",IF('IPS-R'!$C$7="900-",2000,IF('IPS-R'!$C$7="900-1200",2250,IF('IPS-R'!$C$7="1200-1500",2500,IF('IPS-R'!$C$7="1500-2000",2750,IF('IPS-R'!$C$7="2000-2500",3000,IF('IPS-R'!$C$7="2500+",3750,"")))))))+IF('IPS-R'!$C$7="","",IF('IPS-R'!$C$7="900-",3000,IF('IPS-R'!$C$7="900-1200",3000,IF('IPS-R'!$C$7="1200-1500",3000,IF('IPS-R'!$C$7="1500-2000",3000,IF('IPS-R'!$C$7="2000-2500",3000,IF('IPS-R'!$C$7="2500+",3000,"")))))))+IF('IPS-R'!$C$7="","",IF('IPS-R'!$C$7="900-",1000,IF('IPS-R'!$C$7="900-1200",1250,IF('IPS-R'!$C$7="1200-1500",1500,IF('IPS-R'!$C$7="1500-2000",1750,IF('IPS-R'!$C$7="2000-2500",2000,IF('IPS-R'!$C$7="2500+",2250,"")))))))*0.6,
IF(B7=2,IF('IPS-R'!$C$7="","",IF('IPS-R'!$C$7="900-",200,IF('IPS-R'!$C$7="900-1200",250,IF('IPS-R'!$C$7="1200-1500",300,IF('IPS-R'!$C$7="1500-2000",350,IF('IPS-R'!$C$7="2000-2500",400,IF('IPS-R'!$C$7="2500+",500,"")))))))+IF('IPS-R'!$C$7="","",IF('IPS-R'!$C$7="900-",500,IF('IPS-R'!$C$7="900-1200",750,IF('IPS-R'!$C$7="1200-1500",1000,IF('IPS-R'!$C$7="1500-2000",1250,IF('IPS-R'!$C$7="2000-2500",1500,IF('IPS-R'!$C$7="2500+",1750,"")))))))+IF('IPS-R'!$C$7="","",IF('IPS-R'!$C$7="900-",250,IF('IPS-R'!$C$7="900-1200",275,IF('IPS-R'!$C$7="1200-1500",300,IF('IPS-R'!$C$7="1500-2000",325,IF('IPS-R'!$C$7="2000-2500",350,IF('IPS-R'!$C$7="2500+",400,"")))))))+IF('IPS-R'!$C$7="","",IF('IPS-R'!$C$7="900-",2000,IF('IPS-R'!$C$7="900-1200",2250,IF('IPS-R'!$C$7="1200-1500",2500,IF('IPS-R'!$C$7="1500-2000",2750,IF('IPS-R'!$C$7="2000-2500",3000,IF('IPS-R'!$C$7="2500+",3750,"")))))))+IF('IPS-R'!$C$7="","",IF('IPS-R'!$C$7="900-",3000,IF('IPS-R'!$C$7="900-1200",3000,IF('IPS-R'!$C$7="1200-1500",3000,IF('IPS-R'!$C$7="1500-2000",3000,IF('IPS-R'!$C$7="2000-2500",3000,IF('IPS-R'!$C$7="2500+",3000,"")))))))+IF('IPS-R'!$C$7="","",IF('IPS-R'!$C$7="900-",1000,IF('IPS-R'!$C$7="900-1200",1250,IF('IPS-R'!$C$7="1200-1500",1500,IF('IPS-R'!$C$7="1500-2000",1750,IF('IPS-R'!$C$7="2000-2500",2000,IF('IPS-R'!$C$7="2500+",2250,"")))))))*0.8,
IF(B7=3,IF('IPS-R'!$C$7="","",IF('IPS-R'!$C$7="900-",200,IF('IPS-R'!$C$7="900-1200",250,IF('IPS-R'!$C$7="1200-1500",300,IF('IPS-R'!$C$7="1500-2000",350,IF('IPS-R'!$C$7="2000-2500",400,IF('IPS-R'!$C$7="2500+",500,"")))))))+IF('IPS-R'!$C$7="","",IF('IPS-R'!$C$7="900-",500,IF('IPS-R'!$C$7="900-1200",750,IF('IPS-R'!$C$7="1200-1500",1000,IF('IPS-R'!$C$7="1500-2000",1250,IF('IPS-R'!$C$7="2000-2500",1500,IF('IPS-R'!$C$7="2500+",1750,"")))))))+IF('IPS-R'!$C$7="","",IF('IPS-R'!$C$7="900-",250,IF('IPS-R'!$C$7="900-1200",275,IF('IPS-R'!$C$7="1200-1500",300,IF('IPS-R'!$C$7="1500-2000",325,IF('IPS-R'!$C$7="2000-2500",350,IF('IPS-R'!$C$7="2500+",400,"")))))))+IF('IPS-R'!$C$7="","",IF('IPS-R'!$C$7="900-",2000,IF('IPS-R'!$C$7="900-1200",2250,IF('IPS-R'!$C$7="1200-1500",2500,IF('IPS-R'!$C$7="1500-2000",2750,IF('IPS-R'!$C$7="2000-2500",3000,IF('IPS-R'!$C$7="2500+",3750,"")))))))+IF('IPS-R'!$C$7="","",IF('IPS-R'!$C$7="900-",3000,IF('IPS-R'!$C$7="900-1200",3000,IF('IPS-R'!$C$7="1200-1500",3000,IF('IPS-R'!$C$7="1500-2000",3000,IF('IPS-R'!$C$7="2000-2500",3000,IF('IPS-R'!$C$7="2500+",3000,"")))))))+IF('IPS-R'!$C$7="","",IF('IPS-R'!$C$7="900-",1000,IF('IPS-R'!$C$7="900-1200",1250,IF('IPS-R'!$C$7="1200-1500",1500,IF('IPS-R'!$C$7="1500-2000",1750,IF('IPS-R'!$C$7="2000-2500",2000,IF('IPS-R'!$C$7="2500+",2250,""))))))),0)))</f>
        <v>0</v>
      </c>
      <c r="E7" s="98"/>
      <c r="F7" s="88">
        <f t="shared" si="0"/>
        <v>0</v>
      </c>
      <c r="G7" s="89"/>
      <c r="H7" s="15"/>
      <c r="I7" s="15"/>
    </row>
    <row r="8" spans="1:9" ht="15.6" customHeight="1" x14ac:dyDescent="0.3">
      <c r="A8" s="29" t="s">
        <v>38</v>
      </c>
      <c r="B8" s="92"/>
      <c r="C8" s="93"/>
      <c r="D8" s="94">
        <f>IF(B8=1,IF('IPS-R'!$C$7="","",IF('IPS-R'!$C$7="900-",500,IF('IPS-R'!$C$7="900-1200",750,IF('IPS-R'!$C$7="1200-1500",1000,IF('IPS-R'!$C$7="1500-2000",1250,IF('IPS-R'!$C$7="2000-2500",1500,IF('IPS-R'!$C$7="2500+",1750,"")))))))+IF('IPS-R'!$C$7="","",IF('IPS-R'!$C$7="900-",1000,IF('IPS-R'!$C$7="900-1200",1250,IF('IPS-R'!$C$7="1200-1500",1500,IF('IPS-R'!$C$7="1500-2000",1750,IF('IPS-R'!$C$7="2000-2500",2000,IF('IPS-R'!$C$7="2500+",2250,"")))))))*0.6,
IF(B8=2,IF('IPS-R'!$C$7="","",IF('IPS-R'!$C$7="900-",500,IF('IPS-R'!$C$7="900-1200",750,IF('IPS-R'!$C$7="1200-1500",1000,IF('IPS-R'!$C$7="1500-2000",1250,IF('IPS-R'!$C$7="2000-2500",1500,IF('IPS-R'!$C$7="2500+",1750,"")))))))+IF('IPS-R'!$C$7="","",IF('IPS-R'!$C$7="900-",1000,IF('IPS-R'!$C$7="900-1200",1250,IF('IPS-R'!$C$7="1200-1500",1500,IF('IPS-R'!$C$7="1500-2000",1750,IF('IPS-R'!$C$7="2000-2500",2000,IF('IPS-R'!$C$7="2500+",2250,"")))))))*0.8,
IF(B8=3,IF('IPS-R'!$C$7="","",IF('IPS-R'!$C$7="900-",500,IF('IPS-R'!$C$7="900-1200",750,IF('IPS-R'!$C$7="1200-1500",1000,IF('IPS-R'!$C$7="1500-2000",1250,IF('IPS-R'!$C$7="2000-2500",1500,IF('IPS-R'!$C$7="2500+",1750,"")))))))+IF('IPS-R'!$C$7="","",IF('IPS-R'!$C$7="900-",1000,IF('IPS-R'!$C$7="900-1200",1250,IF('IPS-R'!$C$7="1200-1500",1500,IF('IPS-R'!$C$7="1500-2000",1750,IF('IPS-R'!$C$7="2000-2500",2000,IF('IPS-R'!$C$7="2500+",2250,""))))))),0)))</f>
        <v>0</v>
      </c>
      <c r="E8" s="95"/>
      <c r="F8" s="88">
        <f t="shared" si="0"/>
        <v>0</v>
      </c>
      <c r="G8" s="89"/>
      <c r="H8" s="15"/>
      <c r="I8" s="15"/>
    </row>
    <row r="9" spans="1:9" ht="15.6" customHeight="1" x14ac:dyDescent="0.3">
      <c r="A9" s="29" t="s">
        <v>39</v>
      </c>
      <c r="B9" s="92"/>
      <c r="C9" s="93"/>
      <c r="D9" s="94">
        <f>IF(B9=1,IF('IPS-R'!$C$7="","",IF('IPS-R'!$C$7="900-",500,IF('IPS-R'!$C$7="900-1200",750,IF('IPS-R'!$C$7="1200-1500",1000,IF('IPS-R'!$C$7="1500-2000",1250,IF('IPS-R'!$C$7="2000-2500",1500,IF('IPS-R'!$C$7="2500+",1750,"")))))))+IF('IPS-R'!$C$7="","",IF('IPS-R'!$C$7="900-",1000,IF('IPS-R'!$C$7="900-1200",1250,IF('IPS-R'!$C$7="1200-1500",1500,IF('IPS-R'!$C$7="1500-2000",1750,IF('IPS-R'!$C$7="2000-2500",2000,IF('IPS-R'!$C$7="2500+",2250,"")))))))*0.6,
IF(B9=2,IF('IPS-R'!$C$7="","",IF('IPS-R'!$C$7="900-",500,IF('IPS-R'!$C$7="900-1200",750,IF('IPS-R'!$C$7="1200-1500",1000,IF('IPS-R'!$C$7="1500-2000",1250,IF('IPS-R'!$C$7="2000-2500",1500,IF('IPS-R'!$C$7="2500+",1750,"")))))))+IF('IPS-R'!$C$7="","",IF('IPS-R'!$C$7="900-",1000,IF('IPS-R'!$C$7="900-1200",1250,IF('IPS-R'!$C$7="1200-1500",1500,IF('IPS-R'!$C$7="1500-2000",1750,IF('IPS-R'!$C$7="2000-2500",2000,IF('IPS-R'!$C$7="2500+",2250,"")))))))*0.8,
IF(B9=3,IF('IPS-R'!$C$7="","",IF('IPS-R'!$C$7="900-",500,IF('IPS-R'!$C$7="900-1200",750,IF('IPS-R'!$C$7="1200-1500",1000,IF('IPS-R'!$C$7="1500-2000",1250,IF('IPS-R'!$C$7="2000-2500",1500,IF('IPS-R'!$C$7="2500+",1750,"")))))))+IF('IPS-R'!$C$7="","",IF('IPS-R'!$C$7="900-",1000,IF('IPS-R'!$C$7="900-1200",1250,IF('IPS-R'!$C$7="1200-1500",1500,IF('IPS-R'!$C$7="1500-2000",1750,IF('IPS-R'!$C$7="2000-2500",2000,IF('IPS-R'!$C$7="2500+",2250,""))))))),0)))</f>
        <v>0</v>
      </c>
      <c r="E9" s="95"/>
      <c r="F9" s="88">
        <f t="shared" si="0"/>
        <v>0</v>
      </c>
      <c r="G9" s="89"/>
      <c r="H9" s="15"/>
      <c r="I9" s="15"/>
    </row>
    <row r="10" spans="1:9" ht="15.6" customHeight="1" x14ac:dyDescent="0.3">
      <c r="A10" s="29" t="s">
        <v>40</v>
      </c>
      <c r="B10" s="92"/>
      <c r="C10" s="93"/>
      <c r="D10" s="94">
        <f>IF(B10=1,IF('IPS-R'!$C$7="","",IF('IPS-R'!$C$7="900-",500,IF('IPS-R'!$C$7="900-1200",750,IF('IPS-R'!$C$7="1200-1500",1000,IF('IPS-R'!$C$7="1500-2000",1250,IF('IPS-R'!$C$7="2000-2500",1500,IF('IPS-R'!$C$7="2500+",1750,"")))))))+IF('IPS-R'!$C$7="","",IF('IPS-R'!$C$7="900-",1000,IF('IPS-R'!$C$7="900-1200",1250,IF('IPS-R'!$C$7="1200-1500",1500,IF('IPS-R'!$C$7="1500-2000",1750,IF('IPS-R'!$C$7="2000-2500",2000,IF('IPS-R'!$C$7="2500+",2250,"")))))))*0.6,
IF(B10=2,IF('IPS-R'!$C$7="","",IF('IPS-R'!$C$7="900-",500,IF('IPS-R'!$C$7="900-1200",750,IF('IPS-R'!$C$7="1200-1500",1000,IF('IPS-R'!$C$7="1500-2000",1250,IF('IPS-R'!$C$7="2000-2500",1500,IF('IPS-R'!$C$7="2500+",1750,"")))))))+IF('IPS-R'!$C$7="","",IF('IPS-R'!$C$7="900-",1000,IF('IPS-R'!$C$7="900-1200",1250,IF('IPS-R'!$C$7="1200-1500",1500,IF('IPS-R'!$C$7="1500-2000",1750,IF('IPS-R'!$C$7="2000-2500",2000,IF('IPS-R'!$C$7="2500+",2250,"")))))))*0.8,
IF(B10=3,IF('IPS-R'!$C$7="","",IF('IPS-R'!$C$7="900-",500,IF('IPS-R'!$C$7="900-1200",750,IF('IPS-R'!$C$7="1200-1500",1000,IF('IPS-R'!$C$7="1500-2000",1250,IF('IPS-R'!$C$7="2000-2500",1500,IF('IPS-R'!$C$7="2500+",1750,"")))))))+IF('IPS-R'!$C$7="","",IF('IPS-R'!$C$7="900-",1000,IF('IPS-R'!$C$7="900-1200",1250,IF('IPS-R'!$C$7="1200-1500",1500,IF('IPS-R'!$C$7="1500-2000",1750,IF('IPS-R'!$C$7="2000-2500",2000,IF('IPS-R'!$C$7="2500+",2250,""))))))),0)))</f>
        <v>0</v>
      </c>
      <c r="E10" s="95"/>
      <c r="F10" s="88">
        <f t="shared" si="0"/>
        <v>0</v>
      </c>
      <c r="G10" s="89"/>
      <c r="H10" s="15"/>
      <c r="I10" s="15"/>
    </row>
    <row r="11" spans="1:9" ht="15.6" customHeight="1" x14ac:dyDescent="0.3">
      <c r="A11" s="29" t="s">
        <v>41</v>
      </c>
      <c r="B11" s="92"/>
      <c r="C11" s="93"/>
      <c r="D11" s="94">
        <f>IF(B11=1,IF('IPS-R'!$C$7="","",IF('IPS-R'!$C$7="900-",500,IF('IPS-R'!$C$7="900-1200",750,IF('IPS-R'!$C$7="1200-1500",1000,IF('IPS-R'!$C$7="1500-2000",1250,IF('IPS-R'!$C$7="2000-2500",1500,IF('IPS-R'!$C$7="2500+",1750,"")))))))+IF('IPS-R'!$C$7="","",IF('IPS-R'!$C$7="900-",1000,IF('IPS-R'!$C$7="900-1200",1250,IF('IPS-R'!$C$7="1200-1500",1500,IF('IPS-R'!$C$7="1500-2000",1750,IF('IPS-R'!$C$7="2000-2500",2000,IF('IPS-R'!$C$7="2500+",2250,"")))))))*0.6,
IF(B11=2,IF('IPS-R'!$C$7="","",IF('IPS-R'!$C$7="900-",500,IF('IPS-R'!$C$7="900-1200",750,IF('IPS-R'!$C$7="1200-1500",1000,IF('IPS-R'!$C$7="1500-2000",1250,IF('IPS-R'!$C$7="2000-2500",1500,IF('IPS-R'!$C$7="2500+",1750,"")))))))+IF('IPS-R'!$C$7="","",IF('IPS-R'!$C$7="900-",1000,IF('IPS-R'!$C$7="900-1200",1250,IF('IPS-R'!$C$7="1200-1500",1500,IF('IPS-R'!$C$7="1500-2000",1750,IF('IPS-R'!$C$7="2000-2500",2000,IF('IPS-R'!$C$7="2500+",2250,"")))))))*0.8,
IF(B11=3,IF('IPS-R'!$C$7="","",IF('IPS-R'!$C$7="900-",500,IF('IPS-R'!$C$7="900-1200",750,IF('IPS-R'!$C$7="1200-1500",1000,IF('IPS-R'!$C$7="1500-2000",1250,IF('IPS-R'!$C$7="2000-2500",1500,IF('IPS-R'!$C$7="2500+",1750,"")))))))+IF('IPS-R'!$C$7="","",IF('IPS-R'!$C$7="900-",1000,IF('IPS-R'!$C$7="900-1200",1250,IF('IPS-R'!$C$7="1200-1500",1500,IF('IPS-R'!$C$7="1500-2000",1750,IF('IPS-R'!$C$7="2000-2500",2000,IF('IPS-R'!$C$7="2500+",2250,""))))))),0)))</f>
        <v>0</v>
      </c>
      <c r="E11" s="95"/>
      <c r="F11" s="88">
        <f t="shared" si="0"/>
        <v>0</v>
      </c>
      <c r="G11" s="89"/>
      <c r="H11" s="15"/>
      <c r="I11" s="15"/>
    </row>
    <row r="12" spans="1:9" ht="15.6" customHeight="1" x14ac:dyDescent="0.3">
      <c r="A12" s="29" t="s">
        <v>42</v>
      </c>
      <c r="B12" s="92"/>
      <c r="C12" s="93"/>
      <c r="D12" s="94">
        <f>IF(B12=1,IF('IPS-R'!$C$7="","",IF('IPS-R'!$C$7="900-",500,IF('IPS-R'!$C$7="900-1200",750,IF('IPS-R'!$C$7="1200-1500",1000,IF('IPS-R'!$C$7="1500-2000",1250,IF('IPS-R'!$C$7="2000-2500",1500,IF('IPS-R'!$C$7="2500+",1750,"")))))))+IF('IPS-R'!$C$7="","",IF('IPS-R'!$C$7="900-",1000,IF('IPS-R'!$C$7="900-1200",1250,IF('IPS-R'!$C$7="1200-1500",1500,IF('IPS-R'!$C$7="1500-2000",1750,IF('IPS-R'!$C$7="2000-2500",2000,IF('IPS-R'!$C$7="2500+",2250,"")))))))*0.6,
IF(B12=2,IF('IPS-R'!$C$7="","",IF('IPS-R'!$C$7="900-",500,IF('IPS-R'!$C$7="900-1200",750,IF('IPS-R'!$C$7="1200-1500",1000,IF('IPS-R'!$C$7="1500-2000",1250,IF('IPS-R'!$C$7="2000-2500",1500,IF('IPS-R'!$C$7="2500+",1750,"")))))))+IF('IPS-R'!$C$7="","",IF('IPS-R'!$C$7="900-",1000,IF('IPS-R'!$C$7="900-1200",1250,IF('IPS-R'!$C$7="1200-1500",1500,IF('IPS-R'!$C$7="1500-2000",1750,IF('IPS-R'!$C$7="2000-2500",2000,IF('IPS-R'!$C$7="2500+",2250,"")))))))*0.8,
IF(B12=3,IF('IPS-R'!$C$7="","",IF('IPS-R'!$C$7="900-",500,IF('IPS-R'!$C$7="900-1200",750,IF('IPS-R'!$C$7="1200-1500",1000,IF('IPS-R'!$C$7="1500-2000",1250,IF('IPS-R'!$C$7="2000-2500",1500,IF('IPS-R'!$C$7="2500+",1750,"")))))))+IF('IPS-R'!$C$7="","",IF('IPS-R'!$C$7="900-",1000,IF('IPS-R'!$C$7="900-1200",1250,IF('IPS-R'!$C$7="1200-1500",1500,IF('IPS-R'!$C$7="1500-2000",1750,IF('IPS-R'!$C$7="2000-2500",2000,IF('IPS-R'!$C$7="2500+",2250,""))))))),0)))</f>
        <v>0</v>
      </c>
      <c r="E12" s="95"/>
      <c r="F12" s="88">
        <f t="shared" si="0"/>
        <v>0</v>
      </c>
      <c r="G12" s="89"/>
      <c r="H12" s="15"/>
      <c r="I12" s="15"/>
    </row>
    <row r="13" spans="1:9" ht="15.6" customHeight="1" x14ac:dyDescent="0.3">
      <c r="A13" s="29" t="s">
        <v>43</v>
      </c>
      <c r="B13" s="92"/>
      <c r="C13" s="93"/>
      <c r="D13" s="94">
        <f>IF(B13=1,IF('IPS-R'!$C$7="","",IF('IPS-R'!$C$7="900-",200,IF('IPS-R'!$C$7="900-1200",250,IF('IPS-R'!$C$7="1200-1500",300,IF('IPS-R'!$C$7="1500-2000",350,IF('IPS-R'!$C$7="2000-2500",400,IF('IPS-R'!$C$7="2500+",500,"")))))))+IF('IPS-R'!$C$7="","",IF('IPS-R'!$C$7="900-",1200,IF('IPS-R'!$C$7="900-1200",1800,IF('IPS-R'!$C$7="1200-1500",2400,IF('IPS-R'!$C$7="1500-2000",3000,IF('IPS-R'!$C$7="2000-2500",3600,IF('IPS-R'!$C$7="2500+",4200,"")))))))+IF('IPS-R'!$C$7="","",IF('IPS-R'!$C$7="900-",250,IF('IPS-R'!$C$7="900-1200",275,IF('IPS-R'!$C$7="1200-1500",300,IF('IPS-R'!$C$7="1500-2000",325,IF('IPS-R'!$C$7="2000-2500",350,IF('IPS-R'!$C$7="2500+",400,"")))))))*0.6,
IF(B13=2,IF('IPS-R'!$C$7="","",IF('IPS-R'!$C$7="900-",200,IF('IPS-R'!$C$7="900-1200",250,IF('IPS-R'!$C$7="1200-1500",300,IF('IPS-R'!$C$7="1500-2000",350,IF('IPS-R'!$C$7="2000-2500",400,IF('IPS-R'!$C$7="2500+",500,"")))))))+IF('IPS-R'!$C$7="","",IF('IPS-R'!$C$7="900-",1200,IF('IPS-R'!$C$7="900-1200",1800,IF('IPS-R'!$C$7="1200-1500",2400,IF('IPS-R'!$C$7="1500-2000",3000,IF('IPS-R'!$C$7="2000-2500",3600,IF('IPS-R'!$C$7="2500+",4200,"")))))))+IF('IPS-R'!$C$7="","",IF('IPS-R'!$C$7="900-",250,IF('IPS-R'!$C$7="900-1200",275,IF('IPS-R'!$C$7="1200-1500",300,IF('IPS-R'!$C$7="1500-2000",325,IF('IPS-R'!$C$7="2000-2500",350,IF('IPS-R'!$C$7="2500+",400,"")))))))*0.8,
IF(B13=3,IF('IPS-R'!$C$7="","",IF('IPS-R'!$C$7="900-",200,IF('IPS-R'!$C$7="900-1200",250,IF('IPS-R'!$C$7="1200-1500",300,IF('IPS-R'!$C$7="1500-2000",350,IF('IPS-R'!$C$7="2000-2500",400,IF('IPS-R'!$C$7="2500+",500,"")))))))+IF('IPS-R'!$C$7="","",IF('IPS-R'!$C$7="900-",1200,IF('IPS-R'!$C$7="900-1200",1800,IF('IPS-R'!$C$7="1200-1500",2400,IF('IPS-R'!$C$7="1500-2000",3000,IF('IPS-R'!$C$7="2000-2500",3600,IF('IPS-R'!$C$7="2500+",4200,"")))))))+IF('IPS-R'!$C$7="","",IF('IPS-R'!$C$7="900-",250,IF('IPS-R'!$C$7="900-1200",275,IF('IPS-R'!$C$7="1200-1500",300,IF('IPS-R'!$C$7="1500-2000",325,IF('IPS-R'!$C$7="2000-2500",350,IF('IPS-R'!$C$7="2500+",400,""))))))),0)))</f>
        <v>0</v>
      </c>
      <c r="E13" s="95"/>
      <c r="F13" s="88">
        <f t="shared" si="0"/>
        <v>0</v>
      </c>
      <c r="G13" s="89"/>
      <c r="H13" s="15"/>
      <c r="I13" s="15"/>
    </row>
    <row r="14" spans="1:9" ht="15.6" customHeight="1" x14ac:dyDescent="0.3">
      <c r="A14" s="29" t="s">
        <v>44</v>
      </c>
      <c r="B14" s="92"/>
      <c r="C14" s="93"/>
      <c r="D14" s="94">
        <f>IF(B14=1,IF('IPS-R'!$C$7="","",IF('IPS-R'!$C$7="900-",200,IF('IPS-R'!$C$7="900-1200",250,IF('IPS-R'!$C$7="1200-1500",300,IF('IPS-R'!$C$7="1500-2000",350,IF('IPS-R'!$C$7="2000-2500",400,IF('IPS-R'!$C$7="2500+",500,"")))))))+IF('IPS-R'!$C$7="","",IF('IPS-R'!$C$7="900-",1200,IF('IPS-R'!$C$7="900-1200",1800,IF('IPS-R'!$C$7="1200-1500",2400,IF('IPS-R'!$C$7="1500-2000",3000,IF('IPS-R'!$C$7="2000-2500",3600,IF('IPS-R'!$C$7="2500+",4200,"")))))))+IF('IPS-R'!$C$7="","",IF('IPS-R'!$C$7="900-",250,IF('IPS-R'!$C$7="900-1200",275,IF('IPS-R'!$C$7="1200-1500",300,IF('IPS-R'!$C$7="1500-2000",325,IF('IPS-R'!$C$7="2000-2500",350,IF('IPS-R'!$C$7="2500+",400,"")))))))*0.6,
IF(B14=2,IF('IPS-R'!$C$7="","",IF('IPS-R'!$C$7="900-",200,IF('IPS-R'!$C$7="900-1200",250,IF('IPS-R'!$C$7="1200-1500",300,IF('IPS-R'!$C$7="1500-2000",350,IF('IPS-R'!$C$7="2000-2500",400,IF('IPS-R'!$C$7="2500+",500,"")))))))+IF('IPS-R'!$C$7="","",IF('IPS-R'!$C$7="900-",1200,IF('IPS-R'!$C$7="900-1200",1800,IF('IPS-R'!$C$7="1200-1500",2400,IF('IPS-R'!$C$7="1500-2000",3000,IF('IPS-R'!$C$7="2000-2500",3600,IF('IPS-R'!$C$7="2500+",4200,"")))))))+IF('IPS-R'!$C$7="","",IF('IPS-R'!$C$7="900-",250,IF('IPS-R'!$C$7="900-1200",275,IF('IPS-R'!$C$7="1200-1500",300,IF('IPS-R'!$C$7="1500-2000",325,IF('IPS-R'!$C$7="2000-2500",350,IF('IPS-R'!$C$7="2500+",400,"")))))))*0.8,
IF(B14=3,IF('IPS-R'!$C$7="","",IF('IPS-R'!$C$7="900-",200,IF('IPS-R'!$C$7="900-1200",250,IF('IPS-R'!$C$7="1200-1500",300,IF('IPS-R'!$C$7="1500-2000",350,IF('IPS-R'!$C$7="2000-2500",400,IF('IPS-R'!$C$7="2500+",500,"")))))))+IF('IPS-R'!$C$7="","",IF('IPS-R'!$C$7="900-",1200,IF('IPS-R'!$C$7="900-1200",1800,IF('IPS-R'!$C$7="1200-1500",2400,IF('IPS-R'!$C$7="1500-2000",3000,IF('IPS-R'!$C$7="2000-2500",3600,IF('IPS-R'!$C$7="2500+",4200,"")))))))+IF('IPS-R'!$C$7="","",IF('IPS-R'!$C$7="900-",250,IF('IPS-R'!$C$7="900-1200",275,IF('IPS-R'!$C$7="1200-1500",300,IF('IPS-R'!$C$7="1500-2000",325,IF('IPS-R'!$C$7="2000-2500",350,IF('IPS-R'!$C$7="2500+",400,""))))))),0)))</f>
        <v>0</v>
      </c>
      <c r="E14" s="95"/>
      <c r="F14" s="88">
        <f t="shared" si="0"/>
        <v>0</v>
      </c>
      <c r="G14" s="89"/>
      <c r="H14" s="15"/>
      <c r="I14" s="15"/>
    </row>
    <row r="15" spans="1:9" ht="15.6" customHeight="1" x14ac:dyDescent="0.3">
      <c r="A15" s="29" t="s">
        <v>45</v>
      </c>
      <c r="B15" s="92"/>
      <c r="C15" s="93"/>
      <c r="D15" s="94">
        <f>IF(B15=1,IF('IPS-R'!$C$7="","",IF('IPS-R'!$C$7="900-",200,IF('IPS-R'!$C$7="900-1200",250,IF('IPS-R'!$C$7="1200-1500",300,IF('IPS-R'!$C$7="1500-2000",350,IF('IPS-R'!$C$7="2000-2500",400,IF('IPS-R'!$C$7="2500+",500,"")))))))+IF('IPS-R'!$C$7="","",IF('IPS-R'!$C$7="900-",1200,IF('IPS-R'!$C$7="900-1200",1800,IF('IPS-R'!$C$7="1200-1500",2400,IF('IPS-R'!$C$7="1500-2000",3000,IF('IPS-R'!$C$7="2000-2500",3600,IF('IPS-R'!$C$7="2500+",4200,"")))))))+IF('IPS-R'!$C$7="","",IF('IPS-R'!$C$7="900-",250,IF('IPS-R'!$C$7="900-1200",275,IF('IPS-R'!$C$7="1200-1500",300,IF('IPS-R'!$C$7="1500-2000",325,IF('IPS-R'!$C$7="2000-2500",350,IF('IPS-R'!$C$7="2500+",400,"")))))))*0.6,
IF(B15=2,IF('IPS-R'!$C$7="","",IF('IPS-R'!$C$7="900-",200,IF('IPS-R'!$C$7="900-1200",250,IF('IPS-R'!$C$7="1200-1500",300,IF('IPS-R'!$C$7="1500-2000",350,IF('IPS-R'!$C$7="2000-2500",400,IF('IPS-R'!$C$7="2500+",500,"")))))))+IF('IPS-R'!$C$7="","",IF('IPS-R'!$C$7="900-",1200,IF('IPS-R'!$C$7="900-1200",1800,IF('IPS-R'!$C$7="1200-1500",2400,IF('IPS-R'!$C$7="1500-2000",3000,IF('IPS-R'!$C$7="2000-2500",3600,IF('IPS-R'!$C$7="2500+",4200,"")))))))+IF('IPS-R'!$C$7="","",IF('IPS-R'!$C$7="900-",250,IF('IPS-R'!$C$7="900-1200",275,IF('IPS-R'!$C$7="1200-1500",300,IF('IPS-R'!$C$7="1500-2000",325,IF('IPS-R'!$C$7="2000-2500",350,IF('IPS-R'!$C$7="2500+",400,"")))))))*0.8,
IF(B15=3,IF('IPS-R'!$C$7="","",IF('IPS-R'!$C$7="900-",200,IF('IPS-R'!$C$7="900-1200",250,IF('IPS-R'!$C$7="1200-1500",300,IF('IPS-R'!$C$7="1500-2000",350,IF('IPS-R'!$C$7="2000-2500",400,IF('IPS-R'!$C$7="2500+",500,"")))))))+IF('IPS-R'!$C$7="","",IF('IPS-R'!$C$7="900-",1200,IF('IPS-R'!$C$7="900-1200",1800,IF('IPS-R'!$C$7="1200-1500",2400,IF('IPS-R'!$C$7="1500-2000",3000,IF('IPS-R'!$C$7="2000-2500",3600,IF('IPS-R'!$C$7="2500+",4200,"")))))))+IF('IPS-R'!$C$7="","",IF('IPS-R'!$C$7="900-",250,IF('IPS-R'!$C$7="900-1200",275,IF('IPS-R'!$C$7="1200-1500",300,IF('IPS-R'!$C$7="1500-2000",325,IF('IPS-R'!$C$7="2000-2500",350,IF('IPS-R'!$C$7="2500+",400,""))))))),0)))</f>
        <v>0</v>
      </c>
      <c r="E15" s="95"/>
      <c r="F15" s="88">
        <f t="shared" si="0"/>
        <v>0</v>
      </c>
      <c r="G15" s="89"/>
      <c r="H15" s="15"/>
      <c r="I15" s="15"/>
    </row>
    <row r="16" spans="1:9" ht="15.6" customHeight="1" x14ac:dyDescent="0.3">
      <c r="A16" s="29" t="s">
        <v>46</v>
      </c>
      <c r="B16" s="92"/>
      <c r="C16" s="93"/>
      <c r="D16" s="94">
        <f>IF(B16=1,IF('IPS-R'!$C$7="","",IF('IPS-R'!$C$7="900-",200,IF('IPS-R'!$C$7="900-1200",250,IF('IPS-R'!$C$7="1200-1500",300,IF('IPS-R'!$C$7="1500-2000",350,IF('IPS-R'!$C$7="2000-2500",400,IF('IPS-R'!$C$7="2500+",500,"")))))))+IF('IPS-R'!$C$7="","",IF('IPS-R'!$C$7="900-",1200,IF('IPS-R'!$C$7="900-1200",1800,IF('IPS-R'!$C$7="1200-1500",2400,IF('IPS-R'!$C$7="1500-2000",3000,IF('IPS-R'!$C$7="2000-2500",3600,IF('IPS-R'!$C$7="2500+",4200,"")))))))+IF('IPS-R'!$C$7="","",IF('IPS-R'!$C$7="900-",250,IF('IPS-R'!$C$7="900-1200",275,IF('IPS-R'!$C$7="1200-1500",300,IF('IPS-R'!$C$7="1500-2000",325,IF('IPS-R'!$C$7="2000-2500",350,IF('IPS-R'!$C$7="2500+",400,"")))))))*0.6,
IF(B16=2,IF('IPS-R'!$C$7="","",IF('IPS-R'!$C$7="900-",200,IF('IPS-R'!$C$7="900-1200",250,IF('IPS-R'!$C$7="1200-1500",300,IF('IPS-R'!$C$7="1500-2000",350,IF('IPS-R'!$C$7="2000-2500",400,IF('IPS-R'!$C$7="2500+",500,"")))))))+IF('IPS-R'!$C$7="","",IF('IPS-R'!$C$7="900-",1200,IF('IPS-R'!$C$7="900-1200",1800,IF('IPS-R'!$C$7="1200-1500",2400,IF('IPS-R'!$C$7="1500-2000",3000,IF('IPS-R'!$C$7="2000-2500",3600,IF('IPS-R'!$C$7="2500+",4200,"")))))))+IF('IPS-R'!$C$7="","",IF('IPS-R'!$C$7="900-",250,IF('IPS-R'!$C$7="900-1200",275,IF('IPS-R'!$C$7="1200-1500",300,IF('IPS-R'!$C$7="1500-2000",325,IF('IPS-R'!$C$7="2000-2500",350,IF('IPS-R'!$C$7="2500+",400,"")))))))*0.8,
IF(B16=3,IF('IPS-R'!$C$7="","",IF('IPS-R'!$C$7="900-",200,IF('IPS-R'!$C$7="900-1200",250,IF('IPS-R'!$C$7="1200-1500",300,IF('IPS-R'!$C$7="1500-2000",350,IF('IPS-R'!$C$7="2000-2500",400,IF('IPS-R'!$C$7="2500+",500,"")))))))+IF('IPS-R'!$C$7="","",IF('IPS-R'!$C$7="900-",1200,IF('IPS-R'!$C$7="900-1200",1800,IF('IPS-R'!$C$7="1200-1500",2400,IF('IPS-R'!$C$7="1500-2000",3000,IF('IPS-R'!$C$7="2000-2500",3600,IF('IPS-R'!$C$7="2500+",4200,"")))))))+IF('IPS-R'!$C$7="","",IF('IPS-R'!$C$7="900-",250,IF('IPS-R'!$C$7="900-1200",275,IF('IPS-R'!$C$7="1200-1500",300,IF('IPS-R'!$C$7="1500-2000",325,IF('IPS-R'!$C$7="2000-2500",350,IF('IPS-R'!$C$7="2500+",400,""))))))),0)))</f>
        <v>0</v>
      </c>
      <c r="E16" s="95"/>
      <c r="F16" s="88">
        <f t="shared" si="0"/>
        <v>0</v>
      </c>
      <c r="G16" s="89"/>
      <c r="H16" s="15"/>
      <c r="I16" s="15"/>
    </row>
    <row r="17" spans="1:9" ht="15.6" customHeight="1" x14ac:dyDescent="0.3">
      <c r="A17" s="30" t="s">
        <v>48</v>
      </c>
      <c r="B17" s="92"/>
      <c r="C17" s="93"/>
      <c r="D17" s="94">
        <f>IF(B17=1,IF('IPS-R'!$C$7="","",IF('IPS-R'!$C$7="900-",2000,IF('IPS-R'!$C$7="900-1200",2150,IF('IPS-R'!$C$7="1200-1500",2300,IF('IPS-R'!$C$7="1500-2000",2450,IF('IPS-R'!$C$7="2000-2500",2600,IF('IPS-R'!$C$7="2500+",3250,"")))))))+IF('IPS-R'!$C$7="","",IF('IPS-R'!$C$7="900-",1000,IF('IPS-R'!$C$7="900-1200",1050,IF('IPS-R'!$C$7="1200-1500",1100,IF('IPS-R'!$C$7="1500-2000",1150,IF('IPS-R'!$C$7="2000-2500",1200,IF('IPS-R'!$C$7="2500+",1250,"")))))))+IF('IPS-R'!$C$7="","",IF('IPS-R'!$C$7="900-",7000,IF('IPS-R'!$C$7="900-1200",8500,IF('IPS-R'!$C$7="1200-1500",10000,IF('IPS-R'!$C$7="1500-2000",11500,IF('IPS-R'!$C$7="2000-2500",13000,IF('IPS-R'!$C$7="2500+",14500,"")))))))+IF('IPS-R'!$C$7="","",IF('IPS-R'!$C$7="900-",1000,IF('IPS-R'!$C$7="900-1200",2000,IF('IPS-R'!$C$7="1200-1500",3000,IF('IPS-R'!$C$7="1500-2000",4000,IF('IPS-R'!$C$7="2000-2500",5000,IF('IPS-R'!$C$7="2500+",6000,"")))))))+IF('IPS-R'!$C$7="","",IF('IPS-R'!$C$7="900-",1000,IF('IPS-R'!$C$7="900-1200",1500,IF('IPS-R'!$C$7="1200-1500",2000,IF('IPS-R'!$C$7="1500-2000",2500,IF('IPS-R'!$C$7="2000-2500",3000,IF('IPS-R'!$C$7="2500+",9000,"")))))))*0.1,
IF(B17=2,IF('IPS-R'!$C$7="","",IF('IPS-R'!$C$7="900-",2000,IF('IPS-R'!$C$7="900-1200",2150,IF('IPS-R'!$C$7="1200-1500",2300,IF('IPS-R'!$C$7="1500-2000",2450,IF('IPS-R'!$C$7="2000-2500",2600,IF('IPS-R'!$C$7="2500+",3250,"")))))))+IF('IPS-R'!$C$7="","",IF('IPS-R'!$C$7="900-",1000,IF('IPS-R'!$C$7="900-1200",1050,IF('IPS-R'!$C$7="1200-1500",1100,IF('IPS-R'!$C$7="1500-2000",1150,IF('IPS-R'!$C$7="2000-2500",1200,IF('IPS-R'!$C$7="2500+",1250,"")))))))+IF('IPS-R'!$C$7="","",IF('IPS-R'!$C$7="900-",7000,IF('IPS-R'!$C$7="900-1200",8500,IF('IPS-R'!$C$7="1200-1500",10000,IF('IPS-R'!$C$7="1500-2000",11500,IF('IPS-R'!$C$7="2000-2500",13000,IF('IPS-R'!$C$7="2500+",14500,"")))))))+IF('IPS-R'!$C$7="","",IF('IPS-R'!$C$7="900-",1000,IF('IPS-R'!$C$7="900-1200",2000,IF('IPS-R'!$C$7="1200-1500",3000,IF('IPS-R'!$C$7="1500-2000",4000,IF('IPS-R'!$C$7="2000-2500",5000,IF('IPS-R'!$C$7="2500+",6000,"")))))))+IF('IPS-R'!$C$7="","",IF('IPS-R'!$C$7="900-",1000,IF('IPS-R'!$C$7="900-1200",1500,IF('IPS-R'!$C$7="1200-1500",2000,IF('IPS-R'!$C$7="1500-2000",2500,IF('IPS-R'!$C$7="2000-2500",3000,IF('IPS-R'!$C$7="2500+",9000,"")))))))*0.5,
IF(B17=3,IF('IPS-R'!$C$7="","",IF('IPS-R'!$C$7="900-",2000,IF('IPS-R'!$C$7="900-1200",2150,IF('IPS-R'!$C$7="1200-1500",2300,IF('IPS-R'!$C$7="1500-2000",2450,IF('IPS-R'!$C$7="2000-2500",2600,IF('IPS-R'!$C$7="2500+",3250,"")))))))+IF('IPS-R'!$C$7="","",IF('IPS-R'!$C$7="900-",1000,IF('IPS-R'!$C$7="900-1200",1050,IF('IPS-R'!$C$7="1200-1500",1100,IF('IPS-R'!$C$7="1500-2000",1150,IF('IPS-R'!$C$7="2000-2500",1200,IF('IPS-R'!$C$7="2500+",1250,"")))))))+IF('IPS-R'!$C$7="","",IF('IPS-R'!$C$7="900-",7000,IF('IPS-R'!$C$7="900-1200",8500,IF('IPS-R'!$C$7="1200-1500",10000,IF('IPS-R'!$C$7="1500-2000",11500,IF('IPS-R'!$C$7="2000-2500",13000,IF('IPS-R'!$C$7="2500+",14500,"")))))))+IF('IPS-R'!$C$7="","",IF('IPS-R'!$C$7="900-",1000,IF('IPS-R'!$C$7="900-1200",2000,IF('IPS-R'!$C$7="1200-1500",3000,IF('IPS-R'!$C$7="1500-2000",4000,IF('IPS-R'!$C$7="2000-2500",5000,IF('IPS-R'!$C$7="2500+",6000,"")))))))+IF('IPS-R'!$C$7="","",IF('IPS-R'!$C$7="900-",1000,IF('IPS-R'!$C$7="900-1200",1500,IF('IPS-R'!$C$7="1200-1500",2000,IF('IPS-R'!$C$7="1500-2000",2500,IF('IPS-R'!$C$7="2000-2500",3000,IF('IPS-R'!$C$7="2500+",9000,""))))))),0)))</f>
        <v>0</v>
      </c>
      <c r="E17" s="95"/>
      <c r="F17" s="88">
        <f>D17</f>
        <v>0</v>
      </c>
      <c r="G17" s="89"/>
    </row>
    <row r="18" spans="1:9" ht="15.6" customHeight="1" x14ac:dyDescent="0.25">
      <c r="A18" s="91" t="s">
        <v>50</v>
      </c>
      <c r="B18" s="91"/>
      <c r="C18" s="91"/>
      <c r="D18" s="91"/>
      <c r="E18" s="91"/>
      <c r="F18" s="91"/>
      <c r="G18" s="91"/>
    </row>
    <row r="19" spans="1:9" ht="15.6" customHeight="1" x14ac:dyDescent="0.25">
      <c r="A19" s="101" t="s">
        <v>51</v>
      </c>
      <c r="B19" s="101"/>
      <c r="C19" s="101"/>
      <c r="D19" s="101"/>
      <c r="E19" s="101"/>
      <c r="F19" s="101"/>
      <c r="G19" s="101"/>
    </row>
    <row r="20" spans="1:9" ht="14.4" x14ac:dyDescent="0.25">
      <c r="A20" s="31"/>
      <c r="B20" s="36" t="s">
        <v>52</v>
      </c>
      <c r="C20" s="36" t="s">
        <v>53</v>
      </c>
      <c r="D20" s="36"/>
      <c r="E20" s="36"/>
      <c r="F20" s="104"/>
      <c r="G20" s="104"/>
    </row>
    <row r="21" spans="1:9" ht="14.4" x14ac:dyDescent="0.3">
      <c r="A21" s="32" t="s">
        <v>47</v>
      </c>
      <c r="B21" s="34"/>
      <c r="C21" s="36"/>
      <c r="D21" s="36"/>
      <c r="E21" s="35" t="str">
        <f>IF(B21="","",IF(AND(B21&lt;&gt;"",'IPS-R'!$C$7="900-"),7500,IF(AND(B21&lt;&gt;"",'IPS-R'!$C$7="900-1200"),9500,IF(AND(B21&lt;&gt;"",'IPS-R'!$C$7="1200-1500"),11000,IF(AND(B21&lt;&gt;"",'IPS-R'!$C$7="1500-2000"),13000,IF(AND(B21&lt;&gt;"",'IPS-R'!$C$7="2000-2500"),15000,IF(AND(B21&lt;&gt;"",'IPS-R'!$C$7="2500+"),20000)))))))</f>
        <v/>
      </c>
      <c r="F21" s="90" t="str">
        <f t="shared" ref="F21:F27" si="1">E21</f>
        <v/>
      </c>
      <c r="G21" s="90"/>
    </row>
    <row r="22" spans="1:9" ht="14.4" x14ac:dyDescent="0.3">
      <c r="A22" s="32" t="s">
        <v>54</v>
      </c>
      <c r="B22" s="34"/>
      <c r="C22" s="36"/>
      <c r="D22" s="36"/>
      <c r="E22" s="35" t="str">
        <f>IF(B22="","",IF(AND(B22&lt;&gt;"",'IPS-R'!$C$7="900-"),5000,IF(AND(B22&lt;&gt;"",'IPS-R'!$C$7="900-1200"),7500,IF(AND(B22&lt;&gt;"",'IPS-R'!$C$7="1200-1500"),9000,IF(AND(B22&lt;&gt;"",'IPS-R'!$C$7="1500-2000"),11000,IF(AND(B22&lt;&gt;"",'IPS-R'!$C$7="2000-2500"),12500,IF(AND(B22&lt;&gt;"",'IPS-R'!$C$7="2500+"),14000,)))))))</f>
        <v/>
      </c>
      <c r="F22" s="90" t="str">
        <f t="shared" si="1"/>
        <v/>
      </c>
      <c r="G22" s="90"/>
    </row>
    <row r="23" spans="1:9" ht="14.4" x14ac:dyDescent="0.3">
      <c r="A23" s="32" t="s">
        <v>73</v>
      </c>
      <c r="B23" s="34"/>
      <c r="C23" s="36"/>
      <c r="D23" s="36"/>
      <c r="E23" s="35" t="str">
        <f>IF(B23="","",IF(B23&lt;&gt;"",20000))</f>
        <v/>
      </c>
      <c r="F23" s="90" t="str">
        <f t="shared" si="1"/>
        <v/>
      </c>
      <c r="G23" s="90"/>
    </row>
    <row r="24" spans="1:9" ht="14.4" x14ac:dyDescent="0.3">
      <c r="A24" s="32" t="s">
        <v>55</v>
      </c>
      <c r="B24" s="34"/>
      <c r="C24" s="36"/>
      <c r="D24" s="36"/>
      <c r="E24" s="35" t="str">
        <f>IF(B24="","",IF(AND(B24&lt;&gt;"",'IPS-R'!$C$7="900-"),5000,IF(AND(B24&lt;&gt;"",'IPS-R'!$C$7="900-1200"),7500,IF(AND(B24&lt;&gt;"",'IPS-R'!$C$7="1200-1500"),9000,IF(AND(B24&lt;&gt;"",'IPS-R'!$C$7="1500-2000"),10500,IF(AND(B24&lt;&gt;"",'IPS-R'!$C$7="2000-2500"),13000,IF(AND(B24&lt;&gt;"",'IPS-R'!$C$7="2500+"),15000)))))))</f>
        <v/>
      </c>
      <c r="F24" s="90" t="str">
        <f t="shared" si="1"/>
        <v/>
      </c>
      <c r="G24" s="90"/>
    </row>
    <row r="25" spans="1:9" ht="14.4" x14ac:dyDescent="0.3">
      <c r="A25" s="32" t="s">
        <v>49</v>
      </c>
      <c r="B25" s="34"/>
      <c r="C25" s="36"/>
      <c r="D25" s="36"/>
      <c r="E25" s="35" t="str">
        <f>IF(B25="","",IF(AND(B25&lt;&gt;"",'IPS-R'!$C$7="900-"),10000,IF(AND(B25&lt;&gt;"",'IPS-R'!$C$7="900-1200"),14000,IF(AND(B25&lt;&gt;"",'IPS-R'!$C$7="1200-1500"),16000,IF(AND(B25&lt;&gt;"",'IPS-R'!$C$7="1500-2000"),10500,IF(AND(B25&lt;&gt;"",'IPS-R'!$C$7="2000-2500"),1900,IF(AND(B25&lt;&gt;"",'IPS-R'!$C$7="2500+"),22000)))))))</f>
        <v/>
      </c>
      <c r="F25" s="90" t="str">
        <f t="shared" si="1"/>
        <v/>
      </c>
      <c r="G25" s="90"/>
    </row>
    <row r="26" spans="1:9" ht="14.4" x14ac:dyDescent="0.3">
      <c r="A26" s="32" t="s">
        <v>22</v>
      </c>
      <c r="B26" s="34"/>
      <c r="C26" s="36"/>
      <c r="D26" s="36"/>
      <c r="E26" s="35" t="str">
        <f>IF(B26="","",IF(AND(B26&lt;&gt;"",'IPS-R'!$C$7="900-"),6000,IF(AND(B26&lt;&gt;"",'IPS-R'!$C$7="900-1200"),800,IF(AND(B26&lt;&gt;"",'IPS-R'!$C$7="1200-1500"),9000,IF(AND(B26&lt;&gt;"",'IPS-R'!$C$7="1500-2000"),10500,IF(AND(B26&lt;&gt;"",'IPS-R'!$C$7="2000-2500"),13500,IF(AND(B26&lt;&gt;"",'IPS-R'!$C$7="2500+"),14500)))))))</f>
        <v/>
      </c>
      <c r="F26" s="90" t="str">
        <f t="shared" si="1"/>
        <v/>
      </c>
      <c r="G26" s="90"/>
    </row>
    <row r="27" spans="1:9" ht="14.4" x14ac:dyDescent="0.3">
      <c r="A27" s="32" t="s">
        <v>33</v>
      </c>
      <c r="B27" s="34"/>
      <c r="C27" s="36"/>
      <c r="D27" s="36"/>
      <c r="E27" s="35" t="str">
        <f>IF(B27="","",IF(AND(B27&lt;&gt;"",'IPS-R'!$C$7="900-"),6000,IF(AND(B27&lt;&gt;"",'IPS-R'!$C$7="900-1200"),8000,IF(AND(B27&lt;&gt;"",'IPS-R'!$C$7="1200-1500"),9000,IF(AND(B27&lt;&gt;"",'IPS-R'!$C$7="1500-2000"),10500,IF(AND(B27&lt;&gt;"",'IPS-R'!$C$7="2000-2500"),13500,IF(AND(B27&lt;&gt;"",'IPS-R'!$C$7="2500+"),14500)))))))</f>
        <v/>
      </c>
      <c r="F27" s="90" t="str">
        <f t="shared" si="1"/>
        <v/>
      </c>
      <c r="G27" s="90"/>
    </row>
    <row r="28" spans="1:9" ht="14.4" x14ac:dyDescent="0.3">
      <c r="A28" s="27"/>
      <c r="B28" s="26"/>
      <c r="C28" s="26"/>
      <c r="D28" s="26"/>
      <c r="E28" s="33"/>
      <c r="F28" s="26"/>
      <c r="G28" s="26"/>
    </row>
    <row r="29" spans="1:9" ht="14.4" x14ac:dyDescent="0.3">
      <c r="A29" s="23"/>
      <c r="B29" s="99" t="s">
        <v>56</v>
      </c>
      <c r="C29" s="99"/>
      <c r="D29" s="100">
        <f>SUM(F3:G17)+SUM(F21:G27)</f>
        <v>5960</v>
      </c>
      <c r="E29" s="100"/>
      <c r="F29" s="100"/>
      <c r="G29" s="100"/>
    </row>
    <row r="30" spans="1:9" ht="14.4" x14ac:dyDescent="0.3">
      <c r="A30" s="19"/>
      <c r="B30" s="99"/>
      <c r="C30" s="99"/>
      <c r="D30" s="100"/>
      <c r="E30" s="100"/>
      <c r="F30" s="100"/>
      <c r="G30" s="100"/>
    </row>
    <row r="31" spans="1:9" ht="15.6" x14ac:dyDescent="0.3">
      <c r="A31" s="17"/>
      <c r="B31" s="83"/>
      <c r="C31" s="83"/>
      <c r="D31" s="80"/>
      <c r="E31" s="80"/>
      <c r="F31" s="80"/>
      <c r="G31" s="80"/>
      <c r="H31" s="18"/>
      <c r="I31" s="18"/>
    </row>
    <row r="32" spans="1:9" ht="14.55" customHeight="1" x14ac:dyDescent="0.25">
      <c r="A32" s="84" t="s">
        <v>72</v>
      </c>
      <c r="B32" s="84"/>
      <c r="C32" s="84"/>
      <c r="D32" s="84"/>
      <c r="E32" s="84"/>
      <c r="F32" s="84"/>
      <c r="G32" s="84"/>
      <c r="H32" s="18"/>
      <c r="I32" s="18"/>
    </row>
    <row r="33" spans="1:9" ht="14.55" customHeight="1" x14ac:dyDescent="0.25">
      <c r="A33" s="84"/>
      <c r="B33" s="84"/>
      <c r="C33" s="84"/>
      <c r="D33" s="84"/>
      <c r="E33" s="84"/>
      <c r="F33" s="84"/>
      <c r="G33" s="84"/>
      <c r="H33" s="18"/>
      <c r="I33" s="18"/>
    </row>
    <row r="34" spans="1:9" ht="15.6" x14ac:dyDescent="0.3">
      <c r="A34" s="17"/>
      <c r="B34" s="83"/>
      <c r="C34" s="83"/>
      <c r="D34" s="80"/>
      <c r="E34" s="80"/>
      <c r="F34" s="80"/>
      <c r="G34" s="80"/>
      <c r="H34" s="18"/>
      <c r="I34" s="18"/>
    </row>
    <row r="35" spans="1:9" ht="14.4" x14ac:dyDescent="0.3">
      <c r="A35" s="19"/>
      <c r="B35" s="83"/>
      <c r="C35" s="83"/>
      <c r="D35" s="80"/>
      <c r="E35" s="80"/>
      <c r="F35" s="80"/>
      <c r="G35" s="80"/>
      <c r="H35" s="18"/>
      <c r="I35" s="18"/>
    </row>
    <row r="36" spans="1:9" ht="14.4" x14ac:dyDescent="0.3">
      <c r="A36" s="19"/>
      <c r="B36" s="83"/>
      <c r="C36" s="83"/>
      <c r="D36" s="80"/>
      <c r="E36" s="80"/>
      <c r="F36" s="80"/>
      <c r="G36" s="80"/>
      <c r="H36" s="18"/>
      <c r="I36" s="18"/>
    </row>
    <row r="37" spans="1:9" ht="15.6" x14ac:dyDescent="0.3">
      <c r="A37" s="17"/>
      <c r="B37" s="83"/>
      <c r="C37" s="83"/>
      <c r="D37" s="80"/>
      <c r="E37" s="80"/>
      <c r="F37" s="80"/>
      <c r="G37" s="80"/>
      <c r="H37" s="18"/>
      <c r="I37" s="18"/>
    </row>
    <row r="38" spans="1:9" ht="14.4" x14ac:dyDescent="0.3">
      <c r="A38" s="19"/>
      <c r="B38" s="83"/>
      <c r="C38" s="83"/>
      <c r="D38" s="80"/>
      <c r="E38" s="80"/>
      <c r="F38" s="80"/>
      <c r="G38" s="80"/>
      <c r="H38" s="18"/>
      <c r="I38" s="18"/>
    </row>
    <row r="39" spans="1:9" ht="14.4" x14ac:dyDescent="0.3">
      <c r="A39" s="19"/>
      <c r="B39" s="83"/>
      <c r="C39" s="83"/>
      <c r="D39" s="80"/>
      <c r="E39" s="80"/>
      <c r="F39" s="80"/>
      <c r="G39" s="80"/>
      <c r="H39" s="18"/>
      <c r="I39" s="18"/>
    </row>
    <row r="40" spans="1:9" ht="15.6" x14ac:dyDescent="0.3">
      <c r="A40" s="17"/>
      <c r="B40" s="83"/>
      <c r="C40" s="83"/>
      <c r="D40" s="80"/>
      <c r="E40" s="80"/>
      <c r="F40" s="80"/>
      <c r="G40" s="80"/>
      <c r="H40" s="18"/>
      <c r="I40" s="18"/>
    </row>
    <row r="41" spans="1:9" ht="15.6" x14ac:dyDescent="0.3">
      <c r="A41" s="17"/>
      <c r="B41" s="83"/>
      <c r="C41" s="83"/>
      <c r="D41" s="80"/>
      <c r="E41" s="80"/>
      <c r="F41" s="80"/>
      <c r="G41" s="80"/>
      <c r="H41" s="18"/>
      <c r="I41" s="18"/>
    </row>
    <row r="42" spans="1:9" ht="15.6" x14ac:dyDescent="0.3">
      <c r="A42" s="17"/>
      <c r="B42" s="83"/>
      <c r="C42" s="83"/>
      <c r="D42" s="80"/>
      <c r="E42" s="80"/>
      <c r="F42" s="80"/>
      <c r="G42" s="80"/>
      <c r="H42" s="18"/>
      <c r="I42" s="18"/>
    </row>
    <row r="43" spans="1:9" ht="15.6" x14ac:dyDescent="0.3">
      <c r="A43" s="17"/>
      <c r="B43" s="83"/>
      <c r="C43" s="83"/>
      <c r="D43" s="80"/>
      <c r="E43" s="80"/>
      <c r="F43" s="80"/>
      <c r="G43" s="80"/>
      <c r="H43" s="18"/>
      <c r="I43" s="18"/>
    </row>
    <row r="44" spans="1:9" ht="15.6" x14ac:dyDescent="0.3">
      <c r="A44" s="17"/>
      <c r="B44" s="83"/>
      <c r="C44" s="83"/>
      <c r="D44" s="80"/>
      <c r="E44" s="80"/>
      <c r="F44" s="80"/>
      <c r="G44" s="80"/>
      <c r="H44" s="18"/>
      <c r="I44" s="18"/>
    </row>
    <row r="45" spans="1:9" ht="15.6" x14ac:dyDescent="0.3">
      <c r="A45" s="17"/>
      <c r="B45" s="83"/>
      <c r="C45" s="83"/>
      <c r="D45" s="80"/>
      <c r="E45" s="80"/>
      <c r="F45" s="80"/>
      <c r="G45" s="80"/>
      <c r="H45" s="18"/>
      <c r="I45" s="18"/>
    </row>
    <row r="46" spans="1:9" ht="14.4" x14ac:dyDescent="0.3">
      <c r="A46" s="19"/>
      <c r="B46" s="83"/>
      <c r="C46" s="83"/>
      <c r="D46" s="80"/>
      <c r="E46" s="80"/>
      <c r="F46" s="80"/>
      <c r="G46" s="80"/>
      <c r="H46" s="18"/>
      <c r="I46" s="18"/>
    </row>
    <row r="47" spans="1:9" ht="14.4" x14ac:dyDescent="0.3">
      <c r="A47" s="19"/>
      <c r="B47" s="83"/>
      <c r="C47" s="83"/>
      <c r="D47" s="80"/>
      <c r="E47" s="80"/>
      <c r="F47" s="80"/>
      <c r="G47" s="80"/>
      <c r="H47" s="18"/>
      <c r="I47" s="18"/>
    </row>
    <row r="48" spans="1:9" ht="14.4" x14ac:dyDescent="0.3">
      <c r="A48" s="19"/>
      <c r="B48" s="83"/>
      <c r="C48" s="83"/>
      <c r="D48" s="80"/>
      <c r="E48" s="80"/>
      <c r="F48" s="80"/>
      <c r="G48" s="80"/>
      <c r="H48" s="18"/>
      <c r="I48" s="18"/>
    </row>
    <row r="49" spans="1:9" ht="14.4" x14ac:dyDescent="0.3">
      <c r="A49" s="19"/>
      <c r="B49" s="83"/>
      <c r="C49" s="83"/>
      <c r="D49" s="80"/>
      <c r="E49" s="80"/>
      <c r="F49" s="80"/>
      <c r="G49" s="80"/>
      <c r="H49" s="18"/>
      <c r="I49" s="18"/>
    </row>
    <row r="50" spans="1:9" ht="14.4" x14ac:dyDescent="0.3">
      <c r="A50" s="19"/>
      <c r="B50" s="83"/>
      <c r="C50" s="83"/>
      <c r="D50" s="80"/>
      <c r="E50" s="80"/>
      <c r="F50" s="80"/>
      <c r="G50" s="80"/>
      <c r="H50" s="18"/>
      <c r="I50" s="18"/>
    </row>
    <row r="51" spans="1:9" ht="14.4" x14ac:dyDescent="0.3">
      <c r="A51" s="19"/>
      <c r="B51" s="83"/>
      <c r="C51" s="83"/>
      <c r="D51" s="80"/>
      <c r="E51" s="80"/>
      <c r="F51" s="80"/>
      <c r="G51" s="80"/>
      <c r="H51" s="18"/>
      <c r="I51" s="18"/>
    </row>
    <row r="52" spans="1:9" ht="14.4" x14ac:dyDescent="0.3">
      <c r="A52" s="19"/>
      <c r="B52" s="83"/>
      <c r="C52" s="83"/>
      <c r="D52" s="80"/>
      <c r="E52" s="80"/>
      <c r="F52" s="80"/>
      <c r="G52" s="80"/>
      <c r="H52" s="18"/>
      <c r="I52" s="18"/>
    </row>
    <row r="53" spans="1:9" ht="14.4" x14ac:dyDescent="0.3">
      <c r="A53" s="19"/>
      <c r="B53" s="83"/>
      <c r="C53" s="83"/>
      <c r="D53" s="80"/>
      <c r="E53" s="80"/>
      <c r="F53" s="80"/>
      <c r="G53" s="80"/>
      <c r="H53" s="18"/>
      <c r="I53" s="18"/>
    </row>
    <row r="54" spans="1:9" ht="15.6" x14ac:dyDescent="0.3">
      <c r="A54" s="17"/>
      <c r="B54" s="83"/>
      <c r="C54" s="83"/>
      <c r="D54" s="80"/>
      <c r="E54" s="80"/>
      <c r="F54" s="80"/>
      <c r="G54" s="80"/>
      <c r="H54" s="18"/>
      <c r="I54" s="18"/>
    </row>
    <row r="55" spans="1:9" ht="14.4" x14ac:dyDescent="0.3">
      <c r="A55" s="19"/>
      <c r="B55" s="83"/>
      <c r="C55" s="83"/>
      <c r="D55" s="80"/>
      <c r="E55" s="80"/>
      <c r="F55" s="80"/>
      <c r="G55" s="80"/>
      <c r="H55" s="18"/>
      <c r="I55" s="18"/>
    </row>
    <row r="56" spans="1:9" ht="14.4" x14ac:dyDescent="0.3">
      <c r="A56" s="19"/>
      <c r="B56" s="83"/>
      <c r="C56" s="83"/>
      <c r="D56" s="80"/>
      <c r="E56" s="80"/>
      <c r="F56" s="80"/>
      <c r="G56" s="80"/>
      <c r="H56" s="18"/>
      <c r="I56" s="18"/>
    </row>
    <row r="57" spans="1:9" ht="14.4" x14ac:dyDescent="0.3">
      <c r="A57" s="19"/>
      <c r="B57" s="83"/>
      <c r="C57" s="83"/>
      <c r="D57" s="80"/>
      <c r="E57" s="80"/>
      <c r="F57" s="80"/>
      <c r="G57" s="80"/>
      <c r="H57" s="18"/>
      <c r="I57" s="18"/>
    </row>
    <row r="58" spans="1:9" ht="14.4" x14ac:dyDescent="0.3">
      <c r="A58" s="19"/>
      <c r="B58" s="83"/>
      <c r="C58" s="83"/>
      <c r="D58" s="80"/>
      <c r="E58" s="80"/>
      <c r="F58" s="80"/>
      <c r="G58" s="80"/>
      <c r="H58" s="18"/>
      <c r="I58" s="18"/>
    </row>
    <row r="59" spans="1:9" ht="14.4" x14ac:dyDescent="0.3">
      <c r="A59" s="19"/>
      <c r="B59" s="83"/>
      <c r="C59" s="83"/>
      <c r="D59" s="80"/>
      <c r="E59" s="80"/>
      <c r="F59" s="80"/>
      <c r="G59" s="80"/>
      <c r="H59" s="18"/>
      <c r="I59" s="18"/>
    </row>
    <row r="60" spans="1:9" ht="14.4" x14ac:dyDescent="0.3">
      <c r="A60" s="19"/>
      <c r="B60" s="83"/>
      <c r="C60" s="83"/>
      <c r="D60" s="80"/>
      <c r="E60" s="80"/>
      <c r="F60" s="80"/>
      <c r="G60" s="80"/>
      <c r="H60" s="18"/>
      <c r="I60" s="18"/>
    </row>
    <row r="61" spans="1:9" ht="14.4" x14ac:dyDescent="0.3">
      <c r="A61" s="19"/>
      <c r="B61" s="83"/>
      <c r="C61" s="83"/>
      <c r="D61" s="80"/>
      <c r="E61" s="80"/>
      <c r="F61" s="80"/>
      <c r="G61" s="80"/>
      <c r="H61" s="18"/>
      <c r="I61" s="18"/>
    </row>
    <row r="62" spans="1:9" ht="14.4" x14ac:dyDescent="0.3">
      <c r="A62" s="19"/>
      <c r="B62" s="83"/>
      <c r="C62" s="83"/>
      <c r="D62" s="80"/>
      <c r="E62" s="80"/>
      <c r="F62" s="80"/>
      <c r="G62" s="80"/>
      <c r="H62" s="18"/>
      <c r="I62" s="18"/>
    </row>
    <row r="63" spans="1:9" ht="14.4" x14ac:dyDescent="0.3">
      <c r="A63" s="20"/>
      <c r="B63" s="83"/>
      <c r="C63" s="83"/>
      <c r="D63" s="80"/>
      <c r="E63" s="80"/>
      <c r="F63" s="80"/>
      <c r="G63" s="80"/>
      <c r="H63" s="18"/>
      <c r="I63" s="18"/>
    </row>
    <row r="64" spans="1:9" ht="14.4" x14ac:dyDescent="0.3">
      <c r="A64" s="19"/>
      <c r="B64" s="83"/>
      <c r="C64" s="83"/>
      <c r="D64" s="80"/>
      <c r="E64" s="80"/>
      <c r="F64" s="80"/>
      <c r="G64" s="80"/>
      <c r="H64" s="18"/>
      <c r="I64" s="18"/>
    </row>
    <row r="65" spans="1:9" ht="14.4" x14ac:dyDescent="0.3">
      <c r="A65" s="19"/>
      <c r="B65" s="83"/>
      <c r="C65" s="83"/>
      <c r="D65" s="80"/>
      <c r="E65" s="80"/>
      <c r="F65" s="80"/>
      <c r="G65" s="80"/>
      <c r="H65" s="18"/>
      <c r="I65" s="18"/>
    </row>
    <row r="66" spans="1:9" ht="14.4" x14ac:dyDescent="0.3">
      <c r="A66" s="19"/>
      <c r="B66" s="83"/>
      <c r="C66" s="83"/>
      <c r="D66" s="80"/>
      <c r="E66" s="80"/>
      <c r="F66" s="80"/>
      <c r="G66" s="80"/>
      <c r="H66" s="18"/>
      <c r="I66" s="18"/>
    </row>
    <row r="67" spans="1:9" ht="14.4" x14ac:dyDescent="0.3">
      <c r="A67" s="19"/>
      <c r="B67" s="83"/>
      <c r="C67" s="83"/>
      <c r="D67" s="80"/>
      <c r="E67" s="80"/>
      <c r="F67" s="80"/>
      <c r="G67" s="80"/>
      <c r="H67" s="18"/>
      <c r="I67" s="18"/>
    </row>
    <row r="68" spans="1:9" ht="14.4" x14ac:dyDescent="0.25">
      <c r="A68" s="82"/>
      <c r="B68" s="82"/>
      <c r="C68" s="82"/>
      <c r="D68" s="82"/>
      <c r="E68" s="82"/>
      <c r="F68" s="82"/>
      <c r="G68" s="82"/>
      <c r="H68" s="18"/>
      <c r="I68" s="18"/>
    </row>
    <row r="69" spans="1:9" ht="14.4" x14ac:dyDescent="0.25">
      <c r="A69" s="82"/>
      <c r="B69" s="82"/>
      <c r="C69" s="82"/>
      <c r="D69" s="82"/>
      <c r="E69" s="82"/>
      <c r="F69" s="82"/>
      <c r="G69" s="82"/>
      <c r="H69" s="18"/>
      <c r="I69" s="18"/>
    </row>
    <row r="70" spans="1:9" ht="14.4" x14ac:dyDescent="0.25">
      <c r="A70" s="21"/>
      <c r="B70" s="22"/>
      <c r="C70" s="22"/>
      <c r="D70" s="22"/>
      <c r="E70" s="22"/>
      <c r="F70" s="82"/>
      <c r="G70" s="82"/>
      <c r="H70" s="18"/>
      <c r="I70" s="18"/>
    </row>
    <row r="71" spans="1:9" ht="14.4" x14ac:dyDescent="0.3">
      <c r="A71" s="23"/>
      <c r="B71" s="23"/>
      <c r="C71" s="22"/>
      <c r="D71" s="22"/>
      <c r="E71" s="24"/>
      <c r="F71" s="81"/>
      <c r="G71" s="81"/>
      <c r="H71" s="18"/>
      <c r="I71" s="18"/>
    </row>
    <row r="72" spans="1:9" ht="14.4" x14ac:dyDescent="0.3">
      <c r="A72" s="23"/>
      <c r="B72" s="23"/>
      <c r="C72" s="22"/>
      <c r="D72" s="22"/>
      <c r="E72" s="24"/>
      <c r="F72" s="81"/>
      <c r="G72" s="81"/>
      <c r="H72" s="18"/>
      <c r="I72" s="18"/>
    </row>
    <row r="73" spans="1:9" ht="14.4" x14ac:dyDescent="0.3">
      <c r="A73" s="23"/>
      <c r="B73" s="23"/>
      <c r="C73" s="22"/>
      <c r="D73" s="22"/>
      <c r="E73" s="24"/>
      <c r="F73" s="81"/>
      <c r="G73" s="81"/>
      <c r="H73" s="18"/>
      <c r="I73" s="18"/>
    </row>
    <row r="74" spans="1:9" ht="14.55" customHeight="1" x14ac:dyDescent="0.3">
      <c r="A74" s="23"/>
      <c r="B74" s="23"/>
      <c r="C74" s="22"/>
      <c r="D74" s="22"/>
      <c r="E74" s="24"/>
      <c r="F74" s="81"/>
      <c r="G74" s="81"/>
      <c r="H74" s="18"/>
      <c r="I74" s="18"/>
    </row>
    <row r="75" spans="1:9" ht="14.55" customHeight="1" x14ac:dyDescent="0.3">
      <c r="A75" s="23"/>
      <c r="B75" s="23"/>
      <c r="C75" s="22"/>
      <c r="D75" s="22"/>
      <c r="E75" s="24"/>
      <c r="F75" s="81"/>
      <c r="G75" s="81"/>
      <c r="H75" s="18"/>
      <c r="I75" s="18"/>
    </row>
    <row r="76" spans="1:9" ht="14.4" x14ac:dyDescent="0.3">
      <c r="A76" s="23"/>
      <c r="B76" s="23"/>
      <c r="C76" s="22"/>
      <c r="D76" s="22"/>
      <c r="E76" s="24"/>
      <c r="F76" s="81"/>
      <c r="G76" s="81"/>
      <c r="H76" s="18"/>
      <c r="I76" s="18"/>
    </row>
    <row r="77" spans="1:9" ht="14.4" x14ac:dyDescent="0.3">
      <c r="A77" s="19"/>
      <c r="B77" s="23"/>
      <c r="C77" s="23"/>
      <c r="D77" s="23"/>
      <c r="E77" s="25"/>
      <c r="F77" s="23"/>
      <c r="G77" s="23"/>
      <c r="H77" s="18"/>
      <c r="I77" s="18"/>
    </row>
    <row r="78" spans="1:9" ht="14.4" x14ac:dyDescent="0.3">
      <c r="A78" s="23"/>
      <c r="B78" s="86"/>
      <c r="C78" s="86"/>
      <c r="D78" s="85"/>
      <c r="E78" s="85"/>
      <c r="F78" s="85"/>
      <c r="G78" s="85"/>
      <c r="H78" s="18"/>
      <c r="I78" s="18"/>
    </row>
    <row r="79" spans="1:9" ht="14.4" x14ac:dyDescent="0.3">
      <c r="A79" s="23"/>
      <c r="B79" s="86"/>
      <c r="C79" s="86"/>
      <c r="D79" s="85"/>
      <c r="E79" s="85"/>
      <c r="F79" s="85"/>
      <c r="G79" s="85"/>
      <c r="H79" s="18"/>
      <c r="I79" s="18"/>
    </row>
    <row r="80" spans="1:9" x14ac:dyDescent="0.25">
      <c r="A80" s="14"/>
      <c r="B80" s="14"/>
      <c r="C80" s="14"/>
      <c r="D80" s="14"/>
      <c r="E80" s="14"/>
      <c r="F80" s="14"/>
      <c r="G80" s="14"/>
      <c r="H80" s="18"/>
      <c r="I80" s="18"/>
    </row>
    <row r="81" spans="1:9" x14ac:dyDescent="0.25">
      <c r="A81" s="14"/>
      <c r="B81" s="14"/>
      <c r="C81" s="14"/>
      <c r="D81" s="14"/>
      <c r="E81" s="14"/>
      <c r="F81" s="14"/>
      <c r="G81" s="14"/>
      <c r="H81" s="18"/>
      <c r="I81" s="18"/>
    </row>
  </sheetData>
  <sheetProtection algorithmName="SHA-512" hashValue="KyrxJl/jT3GVth2Oaz8DmNZjpw1KjdWX70lxkEAAKdIjz6toRBSX2QITQl3aMlthaiM9Xf0hhtrhNF5ioixyfw==" saltValue="4QNDgcMQOzWCnwMVNMNfEQ==" spinCount="100000" sheet="1" selectLockedCells="1"/>
  <mergeCells count="177">
    <mergeCell ref="D29:G30"/>
    <mergeCell ref="D15:E15"/>
    <mergeCell ref="D12:E12"/>
    <mergeCell ref="B13:C13"/>
    <mergeCell ref="D13:E13"/>
    <mergeCell ref="A19:G19"/>
    <mergeCell ref="F11:G11"/>
    <mergeCell ref="F16:G16"/>
    <mergeCell ref="D3:E3"/>
    <mergeCell ref="F9:G9"/>
    <mergeCell ref="F26:G26"/>
    <mergeCell ref="F27:G27"/>
    <mergeCell ref="F20:G20"/>
    <mergeCell ref="D31:E31"/>
    <mergeCell ref="D2:E2"/>
    <mergeCell ref="B17:C17"/>
    <mergeCell ref="B9:C9"/>
    <mergeCell ref="B10:C10"/>
    <mergeCell ref="B2:C2"/>
    <mergeCell ref="B8:C8"/>
    <mergeCell ref="B3:C3"/>
    <mergeCell ref="B4:C4"/>
    <mergeCell ref="B5:C5"/>
    <mergeCell ref="B16:C16"/>
    <mergeCell ref="B6:C6"/>
    <mergeCell ref="B11:C11"/>
    <mergeCell ref="D17:E17"/>
    <mergeCell ref="B15:C15"/>
    <mergeCell ref="B12:C12"/>
    <mergeCell ref="D10:E10"/>
    <mergeCell ref="D8:E8"/>
    <mergeCell ref="D9:E9"/>
    <mergeCell ref="D7:E7"/>
    <mergeCell ref="B7:C7"/>
    <mergeCell ref="D11:E11"/>
    <mergeCell ref="D14:E14"/>
    <mergeCell ref="B29:C30"/>
    <mergeCell ref="F2:G2"/>
    <mergeCell ref="F17:G17"/>
    <mergeCell ref="F13:G13"/>
    <mergeCell ref="F5:G5"/>
    <mergeCell ref="F6:G6"/>
    <mergeCell ref="F10:G10"/>
    <mergeCell ref="F8:G8"/>
    <mergeCell ref="F7:G7"/>
    <mergeCell ref="F25:G25"/>
    <mergeCell ref="F21:G21"/>
    <mergeCell ref="F22:G22"/>
    <mergeCell ref="F24:G24"/>
    <mergeCell ref="F14:G14"/>
    <mergeCell ref="F15:G15"/>
    <mergeCell ref="F12:G12"/>
    <mergeCell ref="A18:G18"/>
    <mergeCell ref="F23:G23"/>
    <mergeCell ref="B14:C14"/>
    <mergeCell ref="F3:G3"/>
    <mergeCell ref="F4:G4"/>
    <mergeCell ref="D16:E16"/>
    <mergeCell ref="D4:E4"/>
    <mergeCell ref="D5:E5"/>
    <mergeCell ref="D6:E6"/>
    <mergeCell ref="D78:G79"/>
    <mergeCell ref="B40:C40"/>
    <mergeCell ref="D40:E40"/>
    <mergeCell ref="F40:G40"/>
    <mergeCell ref="A68:G68"/>
    <mergeCell ref="A69:G69"/>
    <mergeCell ref="B78:C79"/>
    <mergeCell ref="B64:C64"/>
    <mergeCell ref="B65:C65"/>
    <mergeCell ref="B66:C66"/>
    <mergeCell ref="D50:E50"/>
    <mergeCell ref="D51:E51"/>
    <mergeCell ref="D52:E52"/>
    <mergeCell ref="D53:E53"/>
    <mergeCell ref="D54:E54"/>
    <mergeCell ref="D46:E46"/>
    <mergeCell ref="B47:C47"/>
    <mergeCell ref="B48:C48"/>
    <mergeCell ref="B49:C49"/>
    <mergeCell ref="B50:C50"/>
    <mergeCell ref="B51:C51"/>
    <mergeCell ref="D49:E49"/>
    <mergeCell ref="D66:E66"/>
    <mergeCell ref="F53:G53"/>
    <mergeCell ref="B31:C31"/>
    <mergeCell ref="B35:C35"/>
    <mergeCell ref="B56:C56"/>
    <mergeCell ref="B36:C36"/>
    <mergeCell ref="B38:C38"/>
    <mergeCell ref="B39:C39"/>
    <mergeCell ref="B45:C45"/>
    <mergeCell ref="B42:C42"/>
    <mergeCell ref="B34:C34"/>
    <mergeCell ref="B37:C37"/>
    <mergeCell ref="B43:C43"/>
    <mergeCell ref="B44:C44"/>
    <mergeCell ref="B41:C41"/>
    <mergeCell ref="A32:G33"/>
    <mergeCell ref="D34:E34"/>
    <mergeCell ref="F44:G44"/>
    <mergeCell ref="D35:E35"/>
    <mergeCell ref="D45:E45"/>
    <mergeCell ref="D47:E47"/>
    <mergeCell ref="D48:E48"/>
    <mergeCell ref="D42:E42"/>
    <mergeCell ref="D36:E36"/>
    <mergeCell ref="D37:E37"/>
    <mergeCell ref="F31:G31"/>
    <mergeCell ref="F36:G36"/>
    <mergeCell ref="F34:G34"/>
    <mergeCell ref="F35:G35"/>
    <mergeCell ref="F45:G45"/>
    <mergeCell ref="F41:G41"/>
    <mergeCell ref="F39:G39"/>
    <mergeCell ref="F43:G43"/>
    <mergeCell ref="B67:C67"/>
    <mergeCell ref="B60:C60"/>
    <mergeCell ref="B63:C63"/>
    <mergeCell ref="B52:C52"/>
    <mergeCell ref="B53:C53"/>
    <mergeCell ref="B55:C55"/>
    <mergeCell ref="B62:C62"/>
    <mergeCell ref="B58:C58"/>
    <mergeCell ref="B54:C54"/>
    <mergeCell ref="B57:C57"/>
    <mergeCell ref="B59:C59"/>
    <mergeCell ref="B61:C61"/>
    <mergeCell ref="B46:C46"/>
    <mergeCell ref="F46:G46"/>
    <mergeCell ref="F47:G47"/>
    <mergeCell ref="F48:G48"/>
    <mergeCell ref="F49:G49"/>
    <mergeCell ref="D38:E38"/>
    <mergeCell ref="D41:E41"/>
    <mergeCell ref="D39:E39"/>
    <mergeCell ref="D43:E43"/>
    <mergeCell ref="D44:E44"/>
    <mergeCell ref="F75:G75"/>
    <mergeCell ref="F76:G76"/>
    <mergeCell ref="F70:G70"/>
    <mergeCell ref="F63:G63"/>
    <mergeCell ref="F64:G64"/>
    <mergeCell ref="F65:G65"/>
    <mergeCell ref="F66:G66"/>
    <mergeCell ref="F67:G67"/>
    <mergeCell ref="F60:G60"/>
    <mergeCell ref="F61:G61"/>
    <mergeCell ref="F62:G62"/>
    <mergeCell ref="F74:G74"/>
    <mergeCell ref="F71:G71"/>
    <mergeCell ref="F72:G72"/>
    <mergeCell ref="F73:G73"/>
    <mergeCell ref="D67:E67"/>
    <mergeCell ref="D60:E60"/>
    <mergeCell ref="D61:E61"/>
    <mergeCell ref="D62:E62"/>
    <mergeCell ref="F42:G42"/>
    <mergeCell ref="F37:G37"/>
    <mergeCell ref="F38:G38"/>
    <mergeCell ref="F51:G51"/>
    <mergeCell ref="F52:G52"/>
    <mergeCell ref="F58:G58"/>
    <mergeCell ref="F59:G59"/>
    <mergeCell ref="F50:G50"/>
    <mergeCell ref="F54:G54"/>
    <mergeCell ref="D63:E63"/>
    <mergeCell ref="D64:E64"/>
    <mergeCell ref="D65:E65"/>
    <mergeCell ref="D58:E58"/>
    <mergeCell ref="D59:E59"/>
    <mergeCell ref="D57:E57"/>
    <mergeCell ref="F55:G55"/>
    <mergeCell ref="F56:G56"/>
    <mergeCell ref="F57:G57"/>
    <mergeCell ref="D55:E55"/>
    <mergeCell ref="D56:E5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BA881-2088-4549-8F64-03CD927118F4}">
  <dimension ref="A1:C1048553"/>
  <sheetViews>
    <sheetView topLeftCell="A39" zoomScale="65" workbookViewId="0">
      <selection activeCell="A68" sqref="A68"/>
    </sheetView>
  </sheetViews>
  <sheetFormatPr defaultRowHeight="13.2" x14ac:dyDescent="0.25"/>
  <cols>
    <col min="1" max="1" width="30.6640625" customWidth="1"/>
    <col min="2" max="2" width="30.6640625" hidden="1" customWidth="1"/>
    <col min="3" max="3" width="30.6640625" customWidth="1"/>
  </cols>
  <sheetData>
    <row r="1" spans="1:3" x14ac:dyDescent="0.25">
      <c r="A1" s="1" t="s">
        <v>57</v>
      </c>
      <c r="B1" s="1"/>
      <c r="C1" s="45" t="s">
        <v>81</v>
      </c>
    </row>
    <row r="2" spans="1:3" x14ac:dyDescent="0.25">
      <c r="A2" s="1" t="str">
        <f>_xlfn.IFS(C1="","",C1="NWMLS","NWMLS Number:",C1&lt;&gt;"NWMLS","Owner Name:")</f>
        <v>Owner Name:</v>
      </c>
      <c r="B2" s="1"/>
      <c r="C2" s="45" t="s">
        <v>113</v>
      </c>
    </row>
    <row r="3" spans="1:3" x14ac:dyDescent="0.25">
      <c r="A3" s="1"/>
      <c r="B3" s="1"/>
      <c r="C3" s="1"/>
    </row>
    <row r="4" spans="1:3" x14ac:dyDescent="0.25">
      <c r="A4" s="1" t="s">
        <v>0</v>
      </c>
      <c r="B4" s="1"/>
      <c r="C4" s="45" t="s">
        <v>114</v>
      </c>
    </row>
    <row r="5" spans="1:3" x14ac:dyDescent="0.25">
      <c r="A5" s="1" t="str">
        <f>IF(C1="Foreclosure","Default Amount","Mortgage Owed")</f>
        <v>Mortgage Owed</v>
      </c>
      <c r="B5" s="1"/>
      <c r="C5" s="4">
        <v>250000</v>
      </c>
    </row>
    <row r="6" spans="1:3" x14ac:dyDescent="0.25">
      <c r="A6" s="2" t="s">
        <v>115</v>
      </c>
      <c r="B6" s="1"/>
      <c r="C6" s="75">
        <v>1443</v>
      </c>
    </row>
    <row r="7" spans="1:3" hidden="1" x14ac:dyDescent="0.25">
      <c r="A7" s="1"/>
      <c r="B7" s="1"/>
      <c r="C7" s="39" t="str">
        <f>IF(C6+'RSA Sheet'!C2:G2+'RSA Sheet'!C4:G4+'RSA Sheet'!C6:G6&lt;=900,"900-",
IF(AND(C6+'RSA Sheet'!C2:G2+'RSA Sheet'!C4:G4+'RSA Sheet'!C6:G6&gt;900,C6+'RSA Sheet'!C2:G2+'RSA Sheet'!C4:G4+'RSA Sheet'!C6:G6&lt;=1200),
"900-1200",IF(AND(C6+'RSA Sheet'!C2:G2+'RSA Sheet'!C4:G4+'RSA Sheet'!C6:G6,C6+'RSA Sheet'!C2:G2+'RSA Sheet'!C4:G4+'RSA Sheet'!C6:G6&lt;=1500),"1200-1500",
IF(AND(C6+'RSA Sheet'!C2:G2+'RSA Sheet'!C4:G4+'RSA Sheet'!C6:G6&gt;1500,C6+'RSA Sheet'!C2:G2+'RSA Sheet'!C4:G4+'RSA Sheet'!C6:G6&lt;=2000),
"1500-2000",IF(AND(C6+'RSA Sheet'!C2:G2+'RSA Sheet'!C4:G4+'RSA Sheet'!C6:G6&gt;2000,C6+'RSA Sheet'!C2:G2+'RSA Sheet'!C4:G4+'RSA Sheet'!C6:G6&lt;=2500),"2000-2500",IF(C6+'RSA Sheet'!C2:G2+'RSA Sheet'!C4:G4+'RSA Sheet'!C6:G6&gt;2500,"2500+",""))))))</f>
        <v>2000-2500</v>
      </c>
    </row>
    <row r="8" spans="1:3" x14ac:dyDescent="0.25">
      <c r="A8" s="1"/>
      <c r="B8" s="1"/>
      <c r="C8" s="13"/>
    </row>
    <row r="9" spans="1:3" x14ac:dyDescent="0.25">
      <c r="A9" s="1" t="s">
        <v>2</v>
      </c>
      <c r="B9" s="1"/>
      <c r="C9" s="37">
        <v>310</v>
      </c>
    </row>
    <row r="10" spans="1:3" x14ac:dyDescent="0.25">
      <c r="A10" s="1" t="s">
        <v>3</v>
      </c>
      <c r="B10" s="1"/>
      <c r="C10" s="37">
        <v>98003</v>
      </c>
    </row>
    <row r="11" spans="1:3" x14ac:dyDescent="0.25">
      <c r="A11" s="1"/>
      <c r="B11" s="1"/>
      <c r="C11" s="1"/>
    </row>
    <row r="12" spans="1:3" x14ac:dyDescent="0.25">
      <c r="A12" s="2" t="s">
        <v>70</v>
      </c>
      <c r="B12" s="1"/>
      <c r="C12" s="38">
        <f>'RSA Sheet'!F34</f>
        <v>39880</v>
      </c>
    </row>
    <row r="13" spans="1:3" x14ac:dyDescent="0.25">
      <c r="A13" s="2" t="s">
        <v>98</v>
      </c>
      <c r="B13" s="1"/>
      <c r="C13" s="38">
        <f>'RSA Sheet'!D36</f>
        <v>63880</v>
      </c>
    </row>
    <row r="14" spans="1:3" x14ac:dyDescent="0.25">
      <c r="A14" s="1"/>
      <c r="B14" s="1"/>
      <c r="C14" s="1"/>
    </row>
    <row r="15" spans="1:3" x14ac:dyDescent="0.25">
      <c r="A15" s="1" t="s">
        <v>4</v>
      </c>
      <c r="B15" s="1"/>
      <c r="C15" s="44">
        <v>3449</v>
      </c>
    </row>
    <row r="16" spans="1:3" x14ac:dyDescent="0.25">
      <c r="A16" s="1" t="s">
        <v>5</v>
      </c>
      <c r="B16" s="1"/>
      <c r="C16" s="44">
        <v>0</v>
      </c>
    </row>
    <row r="17" spans="1:3" x14ac:dyDescent="0.25">
      <c r="A17" s="1"/>
      <c r="B17" s="1"/>
      <c r="C17" s="1"/>
    </row>
    <row r="18" spans="1:3" x14ac:dyDescent="0.25">
      <c r="A18" s="70" t="s">
        <v>99</v>
      </c>
      <c r="B18" s="40"/>
      <c r="C18" s="41">
        <v>1536980</v>
      </c>
    </row>
    <row r="19" spans="1:3" x14ac:dyDescent="0.25">
      <c r="A19" s="40" t="s">
        <v>65</v>
      </c>
      <c r="B19" s="40"/>
      <c r="C19" s="42">
        <v>43777</v>
      </c>
    </row>
    <row r="20" spans="1:3" x14ac:dyDescent="0.25">
      <c r="A20" s="40" t="s">
        <v>66</v>
      </c>
      <c r="B20" s="40"/>
      <c r="C20" s="41">
        <v>0.3</v>
      </c>
    </row>
    <row r="21" spans="1:3" x14ac:dyDescent="0.25">
      <c r="A21" s="40" t="s">
        <v>67</v>
      </c>
      <c r="B21" s="40"/>
      <c r="C21" s="43">
        <v>302.01</v>
      </c>
    </row>
    <row r="22" spans="1:3" x14ac:dyDescent="0.25">
      <c r="A22" s="1"/>
      <c r="B22" s="1"/>
      <c r="C22" s="1"/>
    </row>
    <row r="23" spans="1:3" x14ac:dyDescent="0.25">
      <c r="A23" s="70" t="s">
        <v>100</v>
      </c>
      <c r="B23" s="40"/>
      <c r="C23" s="74">
        <v>1470432</v>
      </c>
    </row>
    <row r="24" spans="1:3" x14ac:dyDescent="0.25">
      <c r="A24" s="40" t="s">
        <v>65</v>
      </c>
      <c r="B24" s="40"/>
      <c r="C24" s="74">
        <v>43692</v>
      </c>
    </row>
    <row r="25" spans="1:3" x14ac:dyDescent="0.25">
      <c r="A25" s="40" t="s">
        <v>66</v>
      </c>
      <c r="B25" s="40"/>
      <c r="C25" s="41">
        <v>1.1000000000000001</v>
      </c>
    </row>
    <row r="26" spans="1:3" x14ac:dyDescent="0.25">
      <c r="A26" s="40" t="s">
        <v>67</v>
      </c>
      <c r="B26" s="40"/>
      <c r="C26" s="43">
        <v>293.5</v>
      </c>
    </row>
    <row r="27" spans="1:3" x14ac:dyDescent="0.25">
      <c r="A27" s="1"/>
      <c r="B27" s="1"/>
      <c r="C27" s="1"/>
    </row>
    <row r="28" spans="1:3" x14ac:dyDescent="0.25">
      <c r="A28" s="70" t="s">
        <v>101</v>
      </c>
      <c r="B28" s="40"/>
      <c r="C28" s="41">
        <v>1485722</v>
      </c>
    </row>
    <row r="29" spans="1:3" x14ac:dyDescent="0.25">
      <c r="A29" s="40" t="s">
        <v>65</v>
      </c>
      <c r="B29" s="40"/>
      <c r="C29" s="42">
        <v>43701</v>
      </c>
    </row>
    <row r="30" spans="1:3" x14ac:dyDescent="0.25">
      <c r="A30" s="40" t="s">
        <v>66</v>
      </c>
      <c r="B30" s="40"/>
      <c r="C30" s="41">
        <v>0.5</v>
      </c>
    </row>
    <row r="31" spans="1:3" x14ac:dyDescent="0.25">
      <c r="A31" s="40" t="s">
        <v>67</v>
      </c>
      <c r="B31" s="40"/>
      <c r="C31" s="43">
        <v>287.39999999999998</v>
      </c>
    </row>
    <row r="32" spans="1:3" x14ac:dyDescent="0.25">
      <c r="A32" s="65"/>
      <c r="B32" s="65"/>
      <c r="C32" s="78"/>
    </row>
    <row r="33" spans="1:3" x14ac:dyDescent="0.25">
      <c r="A33" s="71" t="s">
        <v>102</v>
      </c>
      <c r="B33" s="66"/>
      <c r="C33" s="67">
        <v>1470652</v>
      </c>
    </row>
    <row r="34" spans="1:3" x14ac:dyDescent="0.25">
      <c r="A34" s="66" t="s">
        <v>65</v>
      </c>
      <c r="B34" s="66"/>
      <c r="C34" s="68">
        <v>43669</v>
      </c>
    </row>
    <row r="35" spans="1:3" x14ac:dyDescent="0.25">
      <c r="A35" s="66" t="s">
        <v>66</v>
      </c>
      <c r="B35" s="66"/>
      <c r="C35" s="67">
        <v>1.5</v>
      </c>
    </row>
    <row r="36" spans="1:3" x14ac:dyDescent="0.25">
      <c r="A36" s="66" t="s">
        <v>67</v>
      </c>
      <c r="B36" s="66"/>
      <c r="C36" s="69">
        <v>236.45</v>
      </c>
    </row>
    <row r="37" spans="1:3" x14ac:dyDescent="0.25">
      <c r="A37" s="1"/>
      <c r="B37" s="1"/>
      <c r="C37" s="1"/>
    </row>
    <row r="38" spans="1:3" x14ac:dyDescent="0.25">
      <c r="A38" s="71" t="s">
        <v>103</v>
      </c>
      <c r="B38" s="66"/>
      <c r="C38" s="67">
        <v>1456066</v>
      </c>
    </row>
    <row r="39" spans="1:3" x14ac:dyDescent="0.25">
      <c r="A39" s="66" t="s">
        <v>65</v>
      </c>
      <c r="B39" s="66"/>
      <c r="C39" s="68">
        <v>43640</v>
      </c>
    </row>
    <row r="40" spans="1:3" x14ac:dyDescent="0.25">
      <c r="A40" s="66" t="s">
        <v>66</v>
      </c>
      <c r="B40" s="66"/>
      <c r="C40" s="67">
        <v>1.1000000000000001</v>
      </c>
    </row>
    <row r="41" spans="1:3" x14ac:dyDescent="0.25">
      <c r="A41" s="66" t="s">
        <v>67</v>
      </c>
      <c r="B41" s="66"/>
      <c r="C41" s="69">
        <v>223.76</v>
      </c>
    </row>
    <row r="42" spans="1:3" x14ac:dyDescent="0.25">
      <c r="A42" s="1"/>
      <c r="B42" s="1"/>
      <c r="C42" s="1"/>
    </row>
    <row r="43" spans="1:3" x14ac:dyDescent="0.25">
      <c r="A43" s="71" t="s">
        <v>104</v>
      </c>
      <c r="B43" s="66"/>
      <c r="C43" s="67">
        <v>1507306</v>
      </c>
    </row>
    <row r="44" spans="1:3" x14ac:dyDescent="0.25">
      <c r="A44" s="66" t="s">
        <v>65</v>
      </c>
      <c r="B44" s="66"/>
      <c r="C44" s="68">
        <v>43732</v>
      </c>
    </row>
    <row r="45" spans="1:3" x14ac:dyDescent="0.25">
      <c r="A45" s="66" t="s">
        <v>66</v>
      </c>
      <c r="B45" s="66"/>
      <c r="C45" s="67">
        <v>0.9</v>
      </c>
    </row>
    <row r="46" spans="1:3" x14ac:dyDescent="0.25">
      <c r="A46" s="66" t="s">
        <v>67</v>
      </c>
      <c r="B46" s="66"/>
      <c r="C46" s="69">
        <v>210.91</v>
      </c>
    </row>
    <row r="47" spans="1:3" x14ac:dyDescent="0.25">
      <c r="A47" s="1"/>
      <c r="B47" s="1"/>
      <c r="C47" s="1"/>
    </row>
    <row r="48" spans="1:3" s="1" customFormat="1" ht="12.6" hidden="1" customHeight="1" x14ac:dyDescent="0.25">
      <c r="A48" s="1" t="s">
        <v>71</v>
      </c>
      <c r="C48" s="3">
        <f ca="1">(
$C$21*_xlfn.IFS($C$20&lt;=0.25,1,AND($C$20&lt;=0.5,$C$20&gt;0.25),0.975,AND($C$20&lt;=1,$C$20&gt;0.2),0.95,AND($C$20&lt;=3,$C$20&gt;0.2),0.925)*
_xlfn.IFS(TODAY()-15&lt;=$C$19,1,AND(TODAY()-15&lt;=C19,TODAY()-30&lt;=C19),0.975,AND(TODAY()-30&lt;=$C$19,TODAY()-45&lt;=$C$19),0.95,AND(TODAY()-45&lt;=$C$19,TODAY()-60&gt;$C$19),0.925,AND(TODAY()-60&lt;=$C$19,TODAY()-90&gt;$C$19),0.9,TODAY()-90&lt;=$C$19,0.875,NOT(TODAY()-90&lt;=$C$19),0.85)
+
$C$26*_xlfn.IFS($C$25&lt;=0.25,1,AND($C$25&lt;=0.5,$C$25&gt;0.25),0.975,AND($C$25&lt;=1,$C$25&gt;0.2),0.95,AND($C$25&lt;=3,$C$25&gt;0.2),0.925)*
_xlfn.IFS(TODAY()-15&lt;=$C$24,1,AND(TODAY()-15&lt;=$C$24,TODAY()-30&lt;=$C$24),0.975,AND(TODAY()-30&lt;=$C$24,TODAY()-45&lt;=$C$24),0.95,AND(TODAY()-45&lt;=$C$24,TODAY()-60&gt;$C$24),0.925,AND(TODAY()-60&lt;=$C$24,TODAY()-90&gt;$C$24),0.9,TODAY()-90&lt;=$C$24,0.875,NOT(TODAY()-90&lt;=$C$24),0.85)
+
$C$31*_xlfn.IFS($C$30&lt;=0.25,1,AND($C$30&lt;=0.5,$C$30&gt;0.25),0.975,AND($C$30&lt;=1,$C$30&gt;0.2),0.95,AND($C$30&lt;=3,$C$30&gt;0.2),0.925)*
_xlfn.IFS(TODAY()-15&lt;=$C$29,1,AND(TODAY()-15&lt;=$C$29,TODAY()-30&lt;=$C$29),0.975,AND(TODAY()-30&lt;=$C$29,TODAY()-45&lt;=$C$29),0.95,AND(TODAY()-45&lt;=$C$29,TODAY()-60&gt;$C$29),0.925,AND(TODAY()-60&lt;=$C$29,TODAY()-90&gt;$C$29),0.9,TODAY()-90&lt;=$C$29,0.875,NOT(TODAY()-90&lt;=$C$29),0.85)
)
/3</f>
        <v>239.74597083333333</v>
      </c>
    </row>
    <row r="49" spans="1:3" s="1" customFormat="1" ht="13.05" customHeight="1" x14ac:dyDescent="0.25">
      <c r="A49" s="70" t="s">
        <v>105</v>
      </c>
      <c r="B49" s="40"/>
      <c r="C49" s="72">
        <f ca="1">ROUNDUP(C6*C48,-3)</f>
        <v>346000</v>
      </c>
    </row>
    <row r="50" spans="1:3" s="1" customFormat="1" ht="13.05" hidden="1" customHeight="1" x14ac:dyDescent="0.25">
      <c r="A50" s="1" t="s">
        <v>71</v>
      </c>
      <c r="C50" s="3">
        <f ca="1">(
$C$36*_xlfn.IFS($C$35&lt;=0.25,1,AND($C$35&lt;=0.5,$C$35&gt;0.25),0.975,AND($C$35&lt;=1,$C$20&gt;0.2),0.95,AND($C$35&lt;=3,$C$35&gt;0.2),0.925)*
_xlfn.IFS(TODAY()-15&lt;=$C$34,1,AND(TODAY()-15&lt;=C34,TODAY()-30&lt;=C34),0.975,AND(TODAY()-30&lt;=$C34,TODAY()-45&lt;=$C34),0.95,AND(TODAY()-45&lt;=$C$34,TODAY()-60&gt;$C$34),0.925,AND(TODAY()-60&lt;=$C$34,TODAY()-90&gt;$C$34),0.9,TODAY()-90&lt;=$C$34,0.875,NOT(TODAY()-90&lt;=$C$34),0.85)
+
$C$41*_xlfn.IFS($C$40&lt;=0.25,1,AND($C$40&lt;=0.5,$C$40&gt;0.25),0.975,AND($C$40&lt;=1,$C$40&gt;0.2),0.95,AND($C$40&lt;=3,$C$40&gt;0.2),0.925)*
_xlfn.IFS(TODAY()-15&lt;=$C$39,1,AND(TODAY()-15&lt;=$C$39,TODAY()-30&lt;=$C$39),0.975,AND(TODAY()-30&lt;=$C$39,TODAY()-45&lt;=$C$39),0.95,AND(TODAY()-45&lt;=$C$39,TODAY()-60&gt;$C$39),0.925,AND(TODAY()-60&lt;=$C$39,TODAY()-90&gt;$C$39),0.9,TODAY()-90&lt;=$C$39,0.875,NOT(TODAY()-90&lt;=$C$39),0.85)
+
$C$46*_xlfn.IFS($C$45&lt;=0.25,1,AND($C$45&lt;=0.5,$C$45&gt;0.25),0.975,AND($C$45&lt;=1,$C$45&gt;0.2),0.95,AND($C$45&lt;=3,$C$45&gt;0.2),0.925)*
_xlfn.IFS(TODAY()-15&lt;=$C$44,1,AND(TODAY()-15&lt;=$C$44,TODAY()-30&lt;=$C$44),0.975,AND(TODAY()-30&lt;=$C$44,TODAY()-45&lt;=$C$44),0.95,AND(TODAY()-45&lt;=$C$44,TODAY()-60&gt;$C$44),0.925,AND(TODAY()-60&lt;=$C$44,TODAY()-90&gt;$C$44),0.9,TODAY()-90&lt;=$C$44,0.875,NOT(TODAY()-90&lt;=$C$44),0.85)
)
/3</f>
        <v>177.38331250000002</v>
      </c>
    </row>
    <row r="51" spans="1:3" s="1" customFormat="1" ht="13.05" customHeight="1" x14ac:dyDescent="0.25">
      <c r="A51" s="71" t="s">
        <v>106</v>
      </c>
      <c r="B51" s="66"/>
      <c r="C51" s="73">
        <f ca="1">ROUNDUP((C6+'RSA Sheet'!C2+'RSA Sheet'!C4+'RSA Sheet'!C6)*C50,-3)</f>
        <v>416000</v>
      </c>
    </row>
    <row r="52" spans="1:3" s="1" customFormat="1" ht="12.6" customHeight="1" x14ac:dyDescent="0.25">
      <c r="A52" s="2"/>
      <c r="C52" s="3"/>
    </row>
    <row r="53" spans="1:3" hidden="1" x14ac:dyDescent="0.25">
      <c r="A53" s="2" t="s">
        <v>74</v>
      </c>
      <c r="B53" s="2"/>
      <c r="C53" s="12" t="str">
        <f ca="1" xml:space="preserve">
"$"&amp;ROUNDDOWN((
$C$49-($C$49*0.12)
-(0.0068*-($C$49-($C$49*0.12)-(($C$15/365)*120)-(($C$16/365)*120)-$C$12)+70)
-(($C$15/365)*120)-(($C$16/365)*120)-$C$12)
*(1+(-0.18-0.03)),-2)
&amp;"-$"&amp;
ROUNDDOWN(($C$49-($C$49*0.12)
-(0.0068*-($C$49-($C$49*0.12)-(($C$15/365)*120)-(($C$16/365)*120)-$C$12)+70)
-(($C$15/365)*120)-(($C$16/365)*120)-$C$12)
*(1+(-0.18+0.03)),-2)</f>
        <v>$209400-$225400</v>
      </c>
    </row>
    <row r="54" spans="1:3" ht="13.8" x14ac:dyDescent="0.3">
      <c r="A54" s="2" t="s">
        <v>77</v>
      </c>
      <c r="B54" s="1"/>
      <c r="C54" s="49" t="str">
        <f ca="1">IF($C$49=0,"",
HYPERLINK("mailto:"&amp;"tphommavongsay@hotmail.com"&amp;"?subject="&amp;$C$4&amp;" IPS Summary"&amp;" Delta 18"&amp;"&amp;body="&amp;
"Size:"&amp;C6&amp;"          Mortgage Owed:"&amp;$C$5&amp;"          Zip Code:"&amp;$C$10&amp;"          Est ARC:$"&amp;$C$12&amp;"          Est AR2V:$"&amp;$C$49&amp;"          Delta 18:"&amp;$C$53,$C$53))</f>
        <v>$209400-$225400</v>
      </c>
    </row>
    <row r="55" spans="1:3" hidden="1" x14ac:dyDescent="0.25">
      <c r="A55" s="2" t="s">
        <v>107</v>
      </c>
      <c r="B55" s="1"/>
      <c r="C55" s="12" t="str">
        <f ca="1" xml:space="preserve">
"$"&amp;ROUNDDOWN((
$C$51-($C$51*0.12)
-(0.0068*-($C$51-($C$51*0.12)-(($C$15/365)*120)-(($C$16/365)*120)-$C$13)+70)
-(($C$15/365)*120)-(($C$16/365)*120)-$C$13)
*(1+(-0.18-0.03)),-2)
&amp;"-$"&amp;
ROUNDDOWN(($C$51-($C$51*0.12)
-(0.0068*-($C$51-($C$51*0.12)-(($C$15/365)*120)-(($C$16/365)*120)-$C$13)+70)
-(($C$15/365)*120)-(($C$16/365)*120)-$C$13)
*(1+(-0.18+0.03)),-2)</f>
        <v>$239400-$257500</v>
      </c>
    </row>
    <row r="56" spans="1:3" ht="13.8" x14ac:dyDescent="0.3">
      <c r="A56" s="2" t="s">
        <v>108</v>
      </c>
      <c r="B56" s="1"/>
      <c r="C56" s="49" t="str">
        <f ca="1">IF($C$51=0,"",
HYPERLINK("mailto:"&amp;"tphommavongsay@hotmail.com"&amp;"?subject="&amp;$C$4&amp;" IPS Summary"&amp;" Delta 18"&amp;"&amp;body="&amp;
"Size:"&amp;$C$7&amp;"          Mortgage Owed:"&amp;$C$5&amp;"          Zip Code:"&amp;$C$10&amp;"          Est ARC:$"&amp;$C$13&amp;"          Est AR2V:$"&amp;$C$51&amp;"          Delta 18:"&amp;$C$55,$C$55))</f>
        <v>$239400-$257500</v>
      </c>
    </row>
    <row r="57" spans="1:3" hidden="1" x14ac:dyDescent="0.25">
      <c r="A57" s="2" t="s">
        <v>75</v>
      </c>
      <c r="B57" s="1"/>
      <c r="C57" s="12" t="str">
        <f ca="1" xml:space="preserve">
"$"&amp;ROUNDDOWN((
$C$49-($C$49*0.12)
-(0.0068*-($C$49-($C$49*0.12)-(($C$15/365)*120)-(($C$16/365)*120)-$C$12)+70)
-(($C$15/365)*120)-(($C$16/365)*120)-$C$12)
*(1+(-0.24-0.03)),-2)
&amp;"-$"&amp;
ROUNDDOWN(($C$49-($C$49*0.12)
-(0.0068*-($C$49-($C$49*0.12)-(($C$15/365)*120)-(($C$16/365)*120)-$C$12)+70)
-(($C$15/365)*120)-(($C$16/365)*120)-$C$12)
*(1+(-0.24+0.03)),-2)</f>
        <v>$193500-$209400</v>
      </c>
    </row>
    <row r="58" spans="1:3" x14ac:dyDescent="0.25">
      <c r="A58" s="2"/>
      <c r="B58" s="1"/>
      <c r="C58" s="12"/>
    </row>
    <row r="59" spans="1:3" ht="13.8" x14ac:dyDescent="0.3">
      <c r="A59" s="2" t="s">
        <v>78</v>
      </c>
      <c r="B59" s="1"/>
      <c r="C59" s="49" t="str">
        <f ca="1">IF($C$49=0,"",
HYPERLINK("mailto:"&amp;"tphommavongsay@hotmail.com"&amp;"?subject="&amp;$C$4&amp;" IPS Summary"&amp;" Delta 24"&amp;"&amp;body="&amp;
"Size:"&amp;C6&amp;"          Mortgage Owed:"&amp;$C$5&amp;"          Zip Code:"&amp;$C$10&amp;"         Est ARC:$"&amp;$C$12&amp;"          Est AR2V:$"&amp;$C$49&amp;"          Delta 24:"&amp;$C$57,$C$57))</f>
        <v>$193500-$209400</v>
      </c>
    </row>
    <row r="60" spans="1:3" hidden="1" x14ac:dyDescent="0.25">
      <c r="A60" s="2" t="s">
        <v>109</v>
      </c>
      <c r="B60" s="1"/>
      <c r="C60" s="12" t="str">
        <f ca="1" xml:space="preserve">
"$"&amp;ROUNDDOWN((
$C$51-($C$51*0.12)
-(0.0068*-($C$51-($C$51*0.12)-(($C$15/365)*120)-(($C$16/365)*120)-$C$13)+70)
-(($C$15/365)*120)-(($C$16/365)*120)-$C$13)
*(1+(-0.24-0.03)),-2)
&amp;"-$"&amp;
ROUNDDOWN(($C$51-($C$51*0.12)
-(0.0068*-($C$51-($C$51*0.12)-(($C$15/365)*120)-(($C$16/365)*120)-$C$13)+70)
-(($C$15/365)*120)-(($C$16/365)*120)-$C$13)
*(1+(-0.24+0.03)),-2)</f>
        <v>$221200-$239400</v>
      </c>
    </row>
    <row r="61" spans="1:3" ht="13.8" x14ac:dyDescent="0.3">
      <c r="A61" s="2" t="s">
        <v>110</v>
      </c>
      <c r="B61" s="1"/>
      <c r="C61" s="49" t="str">
        <f ca="1">IF($C$51=0,"",
HYPERLINK("mailto:"&amp;"tphommavongsay@hotmail.com"&amp;"?subject="&amp;$C$4&amp;" IPS Summary"&amp;" Delta 18"&amp;"&amp;body="&amp;
"Size:"&amp;$C$7&amp;"          Mortgage Owed:"&amp;$C$5&amp;"          Zip Code:"&amp;$C$10&amp;"          Est ARC:$"&amp;$C$13&amp;"          Est AR2V:$"&amp;$C$51&amp;"          Delta 24:"&amp;$C$60,$C$60))</f>
        <v>$221200-$239400</v>
      </c>
    </row>
    <row r="62" spans="1:3" hidden="1" x14ac:dyDescent="0.25">
      <c r="A62" s="2" t="s">
        <v>76</v>
      </c>
      <c r="B62" s="1"/>
      <c r="C62" s="12" t="str">
        <f ca="1" xml:space="preserve">
"$"&amp;ROUNDDOWN((
$C$49-($C$49*0.12)
-(0.0068*-($C$49-($C$49*0.12)-(($C$15/365)*120)-(($C$16/365)*120)-$C$12)+70)
-(($C$15/365)*120)-(($C$16/365)*120)-$C$12)
*(1+(-0.3-0.03)),-2)
&amp;"-$"&amp;
ROUNDDOWN(($C$49-($C$49*0.12)
-(0.0068*-($C$49-($C$49*0.12)-(($C$15/365)*120)-(($C$16/365)*120)-$C$12)+70)
-(($C$15/365)*120)-(($C$16/365)*120)-$C$12)
*(1+(-0.3+0.03)),-2)</f>
        <v>$177600-$193500</v>
      </c>
    </row>
    <row r="63" spans="1:3" x14ac:dyDescent="0.25">
      <c r="A63" s="2"/>
      <c r="B63" s="1"/>
      <c r="C63" s="12"/>
    </row>
    <row r="64" spans="1:3" ht="13.8" x14ac:dyDescent="0.3">
      <c r="A64" s="2" t="s">
        <v>79</v>
      </c>
      <c r="B64" s="1"/>
      <c r="C64" s="49" t="str">
        <f ca="1">IF($C$49=0,"",
HYPERLINK("mailto:"&amp;"tphommavongsay@hotmail.com"&amp;"?subject="&amp;$C$4&amp;" IPS Summary"&amp;" Delta 30"&amp;"&amp;body="&amp;
"Size:"&amp;C6&amp;"          Mortgage Owed:"&amp;$C$5&amp;"          Zip Code:"&amp;$C$10&amp;"          Est ARC:$"&amp;$C$12&amp;"          Est AR2V:$"&amp;$C$49&amp;"          Delta 30:"&amp;$C$62,$C$62))</f>
        <v>$177600-$193500</v>
      </c>
    </row>
    <row r="65" spans="1:3" hidden="1" x14ac:dyDescent="0.25">
      <c r="A65" s="2" t="s">
        <v>111</v>
      </c>
      <c r="B65" s="1"/>
      <c r="C65" s="12" t="str">
        <f ca="1" xml:space="preserve">
"$"&amp;ROUNDDOWN((
$C$51-($C$51*0.12)
-(0.0068*-($C$51-($C$51*0.12)-(($C$15/365)*120)-(($C$16/365)*120)-$C$13)+70)
-(($C$15/365)*120)-(($C$16/365)*120)-$C$13)
*(1+(-0.3-0.03)),-2)
&amp;"-$"&amp;
ROUNDDOWN(($C$51-($C$51*0.12)
-(0.0068*-($C$51-($C$51*0.12)-(($C$15/365)*120)-(($C$16/365)*120)-$C$13)+70)
-(($C$15/365)*120)-(($C$16/365)*120)-$C$13)
*(1+(-0.3+0.03)),-2)</f>
        <v>$203000-$221200</v>
      </c>
    </row>
    <row r="66" spans="1:3" ht="13.8" x14ac:dyDescent="0.3">
      <c r="A66" s="2" t="s">
        <v>112</v>
      </c>
      <c r="B66" s="1"/>
      <c r="C66" s="49" t="str">
        <f ca="1">IF($C$51=0,"",
HYPERLINK("mailto:"&amp;"tphommavongsay@hotmail.com"&amp;"?subject="&amp;$C$4&amp;" IPS Summary"&amp;" Delta 18"&amp;"&amp;body="&amp;
"Size:"&amp;$C$7&amp;"          Mortgage Owed:"&amp;$C$5&amp;"          Zip Code:"&amp;$C$10&amp;"          Est ARC:$"&amp;$C$13&amp;"          Est AR2V:$"&amp;$C$51&amp;"          Delta 30:"&amp;$C$65,$C$65))</f>
        <v>$203000-$221200</v>
      </c>
    </row>
    <row r="67" spans="1:3" hidden="1" x14ac:dyDescent="0.25">
      <c r="A67" s="54" t="str">
        <f>IF(C68="","Find Delta (True Value):",
IF(1-(C68/($C$49-($C$49*0.12)
-(0.0068*-($C$49-($C$49*0.12)-(($C$15/365)*120)-(($C$16/365)*120)-$C$12)+70)
-(($C$15/365)*120)-(($C$16/365)*120)-$C$12))&lt;0,"ERROR",
"∆ "&amp;
ROUNDUP(1-(C68/($C$49-($C$49*0.12)
-(0.0068*-($C$49-($C$49*0.12)-(($C$15/365)*120)-(($C$16/365)*120)-$C$12)+70)
-(($C$15/365)*120)-(($C$16/365)*120)-$C$12)),2)))</f>
        <v>Find Delta (True Value):</v>
      </c>
      <c r="B67" s="50"/>
      <c r="C67" s="59"/>
    </row>
    <row r="68" spans="1:3" x14ac:dyDescent="0.25">
      <c r="A68" s="56" t="str">
        <f>IF(C68="","Find Delta:",HYPERLINK("mailto:"&amp;"tphommavongsay@hotmail.com"&amp;"?subject="&amp;$C$4&amp;" IPS Summary"&amp;" Delta "&amp;A67&amp;"&amp;body="&amp;"Offer Price:"&amp;C68&amp;
"         Size:"&amp;C6&amp;"          Zip Code:"&amp;$C$10&amp;"          Est ARC:$"&amp;$C$12&amp;"          Est AR2V:$"&amp;$C$49&amp;"          Custom Delta:"&amp;A67,A67))</f>
        <v>Find Delta:</v>
      </c>
      <c r="B68" s="57"/>
      <c r="C68" s="79"/>
    </row>
    <row r="69" spans="1:3" hidden="1" x14ac:dyDescent="0.25">
      <c r="A69" s="54" t="str">
        <f>IF(C70="","Find Enhanced Delta (True Value):",
IF(1-(C70/($C$51-($C$51*0.12)
-(0.0068*-($C$51-($C$49*0.12)-(($C$15/365)*120)-(($C$16/365)*120)-$C$13)+70)
-(($C$15/365)*120)-(($C$16/365)*120)-$C$13))&lt;0,"ERROR",
"∆ "&amp;
ROUNDUP(1-(C70/($C$51-($C$51*0.12)
-(0.0068*-($C$51-($C$51*0.12)-(($C$15/365)*120)-(($C$16/365)*120)-$C$13)+70)
-(($C$15/365)*120)-(($C$16/365)*120)-$C$13)),2)))</f>
        <v>Find Enhanced Delta (True Value):</v>
      </c>
      <c r="B69" s="57"/>
      <c r="C69" s="76"/>
    </row>
    <row r="70" spans="1:3" ht="13.8" thickBot="1" x14ac:dyDescent="0.3">
      <c r="A70" s="56" t="str">
        <f>IF(C70="","Find Enhcanced Delta:",HYPERLINK("mailto:"&amp;"tphommavongsay@hotmail.com"&amp;"?subject="&amp;$C$4&amp;" IPS-RS Summary"&amp;"Custon Delta"&amp;A69&amp;"&amp;body="&amp;"Offer Price:"&amp;C70&amp;
"         Size:"&amp;C6+'RSA Sheet'!C2+'RSA Sheet'!C4+'RSA Sheet'!C6&amp;"          Zip Code:"&amp;$C$10&amp;"          Est ARC:$"&amp;$C$13&amp;"          Est AR2V:$"&amp;$C$49&amp;"          Custom Delta:"&amp;A69,A69))</f>
        <v>Find Enhcanced Delta:</v>
      </c>
      <c r="B70" s="57"/>
      <c r="C70" s="79"/>
    </row>
    <row r="71" spans="1:3" ht="13.8" hidden="1" thickBot="1" x14ac:dyDescent="0.3">
      <c r="A71" s="60"/>
      <c r="B71" s="57"/>
      <c r="C71" s="77" t="str">
        <f>IF(A72="","Custom Delta:",
"$"&amp;ROUNDDOWN((
$C$49-($C$49*0.12)
-(0.0068*-($C$49-($C$49*0.12)-(($C$15/365)*120)-(($C$16/365)*120)-$C$12)+70)
-(($C$15/365)*120)-(($C$16/365)*120)-$C$12)
*(1+(-(A72/100)-0.03)),-2)
&amp;"-$"&amp;
ROUNDDOWN(($C$49-($C$49*0.12)
-(0.0068*-($C$49-($C$49*0.12)-(($C$15/365)*120)-(($C$16/365)*120)-$C$12)+70)
-(($C$15/365)*120)-(($C$16/365)*120)-$C$12)
*(1+(-(A72/100)+0.03)),-2))</f>
        <v>Custom Delta:</v>
      </c>
    </row>
    <row r="72" spans="1:3" ht="13.8" thickBot="1" x14ac:dyDescent="0.3">
      <c r="A72" s="63"/>
      <c r="B72" s="58"/>
      <c r="C72" s="55" t="str">
        <f>IF(A72="","Custom Delta:",HYPERLINK("mailto:"&amp;"tphommavongsay@hotmail.com"&amp;"?subject="&amp;$C$4&amp;" IPS Summary"&amp;"Delta"&amp;A72&amp;"&amp;body="&amp;"Offer Price:"&amp;A72&amp;
"         Size:"&amp;C6&amp;"          Mortgage Owed:"&amp;$C$5&amp;"          Zip Code:"&amp;$C$10&amp;"          Est ARC:$"&amp;$C$12&amp;"          Est AR2V:$"&amp;$C$49&amp;"          Delta"&amp;A72&amp;":"&amp;C71,C71))</f>
        <v>Custom Delta:</v>
      </c>
    </row>
    <row r="73" spans="1:3" ht="13.8" hidden="1" thickBot="1" x14ac:dyDescent="0.3">
      <c r="A73" s="60"/>
      <c r="B73" s="57"/>
      <c r="C73" s="77" t="str">
        <f>IF(A74="","Custom Enhanced Delta:",
"$"&amp;ROUNDDOWN((
$C$51-($C$51*0.12)
-(0.0068*-($C$51-($C$51*0.12)-(($C$15/365)*120)-(($C$16/365)*120)-$C$13)+70)
-(($C$15/365)*120)-(($C$16/365)*120)-$C$13)
*(1+(-(A74/100)-0.03)),-2)
&amp;"-$"&amp;
ROUNDDOWN(($C$51-($C$51*0.12)
-(0.0068*-($C$51-($C$51*0.12)-(($C$15/365)*120)-(($C$16/365)*120)-$C$13)+70)
-(($C$15/365)*120)-(($C$16/365)*120)-$C$13)
*(1+(-(A74/100)+0.03)),-2))</f>
        <v>Custom Enhanced Delta:</v>
      </c>
    </row>
    <row r="74" spans="1:3" ht="13.8" thickBot="1" x14ac:dyDescent="0.3">
      <c r="A74" s="63"/>
      <c r="B74" s="58"/>
      <c r="C74" s="55" t="str">
        <f>IF(A74="","Custom Enhanced Delta:",HYPERLINK("mailto:"&amp;"tphommavongsay@hotmail.com"&amp;"?subject="&amp;$C$4&amp;" IPS Summary"&amp;"Delta"&amp;A74&amp;"&amp;body="&amp;"Offer Price:"&amp;A74&amp;
"         Size:"&amp;C8&amp;"          Mortgage Owed:"&amp;$C$5&amp;"          Zip Code:"&amp;$C$10&amp;"          Est ARC:$"&amp;$C$12&amp;"          Est AR2V:$"&amp;$C$49&amp;"          Delta"&amp;A74&amp;":"&amp;C73,C73))</f>
        <v>Custom Enhanced Delta:</v>
      </c>
    </row>
    <row r="1048544" spans="3:3" hidden="1" x14ac:dyDescent="0.25">
      <c r="C1048544" s="1" t="s">
        <v>58</v>
      </c>
    </row>
    <row r="1048545" spans="3:3" hidden="1" x14ac:dyDescent="0.25">
      <c r="C1048545" s="1" t="s">
        <v>59</v>
      </c>
    </row>
    <row r="1048546" spans="3:3" hidden="1" x14ac:dyDescent="0.25">
      <c r="C1048546" s="1" t="s">
        <v>60</v>
      </c>
    </row>
    <row r="1048547" spans="3:3" hidden="1" x14ac:dyDescent="0.25">
      <c r="C1048547" s="1" t="s">
        <v>61</v>
      </c>
    </row>
    <row r="1048548" spans="3:3" hidden="1" x14ac:dyDescent="0.25">
      <c r="C1048548" s="1" t="s">
        <v>62</v>
      </c>
    </row>
    <row r="1048549" spans="3:3" hidden="1" x14ac:dyDescent="0.25">
      <c r="C1048549" s="1" t="s">
        <v>63</v>
      </c>
    </row>
    <row r="1048550" spans="3:3" hidden="1" x14ac:dyDescent="0.25">
      <c r="C1048550" s="1" t="s">
        <v>81</v>
      </c>
    </row>
    <row r="1048551" spans="3:3" hidden="1" x14ac:dyDescent="0.25">
      <c r="C1048551" s="1" t="s">
        <v>82</v>
      </c>
    </row>
    <row r="1048552" spans="3:3" hidden="1" x14ac:dyDescent="0.25">
      <c r="C1048552" s="1" t="s">
        <v>83</v>
      </c>
    </row>
    <row r="1048553" spans="3:3" hidden="1" x14ac:dyDescent="0.25"/>
  </sheetData>
  <sheetProtection algorithmName="SHA-512" hashValue="dwnk0BMNLxvun3+45B95bIi86dgCuEn7Ude9j+4qqWDptkr3kfCA17AWpU0+aeXb62t02qQ7RNUCt2z+FXfIzg==" saltValue="Ocw615U+sVV6576rw0T8QA==" spinCount="100000" sheet="1" objects="1" scenarios="1" selectLockedCells="1"/>
  <dataValidations count="1">
    <dataValidation type="list" allowBlank="1" showInputMessage="1" showErrorMessage="1" sqref="C1" xr:uid="{7DF040B4-7F43-4624-8D67-D5A9C1829009}">
      <formula1>$C$1048544:$C$1048552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825B5-1048-4EAD-8D4B-828D3C70F42F}">
  <dimension ref="A1:G40"/>
  <sheetViews>
    <sheetView workbookViewId="0">
      <selection activeCell="B9" sqref="B9:C9"/>
    </sheetView>
  </sheetViews>
  <sheetFormatPr defaultRowHeight="13.2" x14ac:dyDescent="0.25"/>
  <cols>
    <col min="1" max="1" width="14.6640625" customWidth="1"/>
    <col min="4" max="4" width="0" hidden="1" customWidth="1"/>
    <col min="5" max="5" width="8.77734375" hidden="1" customWidth="1"/>
    <col min="6" max="7" width="12.6640625" customWidth="1"/>
  </cols>
  <sheetData>
    <row r="1" spans="1:7" ht="14.4" x14ac:dyDescent="0.3">
      <c r="A1" s="107" t="s">
        <v>85</v>
      </c>
      <c r="B1" s="107"/>
      <c r="C1" s="107" t="s">
        <v>26</v>
      </c>
      <c r="D1" s="108"/>
      <c r="E1" s="108"/>
      <c r="F1" s="108"/>
      <c r="G1" s="108"/>
    </row>
    <row r="2" spans="1:7" ht="14.4" x14ac:dyDescent="0.3">
      <c r="A2" s="110" t="str">
        <f>_xlfn.IFS(OR(C1="HOUSE EXPANSION",C1="D-ADU",C1="Basement Conversion",C1="Attic Conversion",C1="ADU"),"Est SqFt Added:",C1="Bathroom","No. of Baths:",C1="Bedroom","No. of Bedrooms:")</f>
        <v>No. of Baths:</v>
      </c>
      <c r="B2" s="110"/>
      <c r="C2" s="107">
        <v>1</v>
      </c>
      <c r="D2" s="107"/>
      <c r="E2" s="107"/>
      <c r="F2" s="107"/>
      <c r="G2" s="107"/>
    </row>
    <row r="3" spans="1:7" ht="14.4" x14ac:dyDescent="0.3">
      <c r="A3" s="107" t="s">
        <v>86</v>
      </c>
      <c r="B3" s="107"/>
      <c r="C3" s="108" t="s">
        <v>90</v>
      </c>
      <c r="D3" s="108"/>
      <c r="E3" s="108"/>
      <c r="F3" s="108"/>
      <c r="G3" s="108"/>
    </row>
    <row r="4" spans="1:7" ht="14.4" x14ac:dyDescent="0.3">
      <c r="A4" s="110" t="str">
        <f>_xlfn.IFS(OR(C3="HOUSE EXPANSION",C3="D-ADU",C3="Basement Conversion",C3="Attic Conversion",C3="ADU"),"Est SqFt Added:",C3="Bathroom","No. of Baths:",C3="Bedroom","No. of Bedrooms:")</f>
        <v>Est SqFt Added:</v>
      </c>
      <c r="B4" s="110"/>
      <c r="C4" s="107">
        <v>900</v>
      </c>
      <c r="D4" s="107"/>
      <c r="E4" s="107"/>
      <c r="F4" s="107"/>
      <c r="G4" s="107"/>
    </row>
    <row r="5" spans="1:7" ht="14.4" x14ac:dyDescent="0.3">
      <c r="A5" s="107" t="s">
        <v>87</v>
      </c>
      <c r="B5" s="107"/>
      <c r="C5" s="108" t="s">
        <v>27</v>
      </c>
      <c r="D5" s="108"/>
      <c r="E5" s="108"/>
      <c r="F5" s="108"/>
      <c r="G5" s="108"/>
    </row>
    <row r="6" spans="1:7" ht="14.4" x14ac:dyDescent="0.3">
      <c r="A6" s="110" t="str">
        <f>_xlfn.IFS(OR(C5="HOUSE EXPANSION",C5="D-ADU",C5="Basement Conversion",C5="Attic Conversion",C5="ADU"),"Est SqFt Added:",C5="Bathroom","No. of Baths:",C5="Bedroom","No. of Bedrooms:")</f>
        <v>No. of Bedrooms:</v>
      </c>
      <c r="B6" s="110"/>
      <c r="C6" s="107">
        <v>1</v>
      </c>
      <c r="D6" s="107"/>
      <c r="E6" s="107"/>
      <c r="F6" s="107"/>
      <c r="G6" s="107"/>
    </row>
    <row r="7" spans="1:7" ht="14.4" x14ac:dyDescent="0.3">
      <c r="A7" s="64"/>
      <c r="B7" s="64"/>
      <c r="C7" s="26"/>
      <c r="D7" s="26"/>
      <c r="E7" s="26"/>
      <c r="F7" s="26"/>
      <c r="G7" s="26"/>
    </row>
    <row r="8" spans="1:7" ht="14.4" x14ac:dyDescent="0.3">
      <c r="A8" s="28" t="s">
        <v>28</v>
      </c>
      <c r="B8" s="96" t="s">
        <v>29</v>
      </c>
      <c r="C8" s="96"/>
      <c r="D8" s="96" t="s">
        <v>30</v>
      </c>
      <c r="E8" s="96"/>
      <c r="F8" s="87" t="s">
        <v>31</v>
      </c>
      <c r="G8" s="87"/>
    </row>
    <row r="9" spans="1:7" ht="15.6" x14ac:dyDescent="0.3">
      <c r="A9" s="29" t="s">
        <v>32</v>
      </c>
      <c r="B9" s="97">
        <v>3</v>
      </c>
      <c r="C9" s="97"/>
      <c r="D9" s="102">
        <f>IF(B9=1,IF('IPS-R'!$C$7="","",IF('IPS-R'!$C$7="900-",6750,IF('IPS-R'!$C$7="900-1200",8950,IF('IPS-R'!$C$7="1200-1500",9500,IF('IPS-R'!$C$7="1500-2000",11750,IF('IPS-R'!$C$7="2000-2500",12995,IF('IPS-R'!$C$7="2500+",15250,"")))))))*0.6,
IF(B9=2,IF('IPS-R'!$C$7="","",IF('IPS-R'!$C$7="900-",6750,IF('IPS-R'!$C$7="900-1200",8950,IF('IPS-R'!$C$7+C2+C4+C6="1200-1500",9500,IF('IPS-R'!$C$7="1500-2000",11750,IF('IPS-R'!$C$7="2000-2500",12995,IF('IPS-R'!$C$7="2500+",15250,"")))))))*0.8,
IF(B9=3,IF('IPS-R'!$C$7="","",IF('IPS-R'!$C$7="900-",6750,IF('IPS-R'!$C$7="900-1200",8950,IF('IPS-R'!$C$7="1200-1500",9500,IF('IPS-R'!$C$7="1500-2000",11750,IF('IPS-R'!$C$7="2000-2500",12995,IF('IPS-R'!$C$7="2500+",15250,""))))))),0)))</f>
        <v>8950</v>
      </c>
      <c r="E9" s="103"/>
      <c r="F9" s="88">
        <f t="shared" ref="F9:F22" si="0">D9</f>
        <v>8950</v>
      </c>
      <c r="G9" s="89"/>
    </row>
    <row r="10" spans="1:7" ht="15.6" x14ac:dyDescent="0.3">
      <c r="A10" s="29" t="s">
        <v>34</v>
      </c>
      <c r="B10" s="92">
        <v>1</v>
      </c>
      <c r="C10" s="93"/>
      <c r="D10" s="94">
        <f xml:space="preserve">
IF(B10=1,IF('IPS-R'!$C$7="","",IF('IPS-R'!$C$7="900-",2100,IF('IPS-R'!$C$7="900-1200",2750,IF('IPS-R'!$C$7="1200-1500",3450,IF('IPS-R'!$C$7="1500-2000",4050,IF('IPS-R'!$C$7="2000-2500",4700,IF('IPS-R'!$C$7="2500+",7350,0))
)))))*0.6,
IF(B10=2,IF('IPS-R'!$C$7="","",IF('IPS-R'!$C$7="900-",2100,IF('IPS-R'!$C$7="900-1200",2750,IF('IPS-R'!$C$7="1200-1500",3450,IF('IPS-R'!$C$7="1500-2000",4050,IF('IPS-R'!$C$7="2000-2500",4700,IF('IPS-R'!$C$7="2500+",7350,0))
)))))*0.8,
IF(B10=3,IF('IPS-R'!$C$7="","",IF('IPS-R'!$C$7="900-",2100,IF('IPS-R'!$C$7="900-1200",2750,IF('IPS-R'!$C$7="1200-1500",3450,IF('IPS-R'!$C$7="1500-2000",4050,IF('IPS-R'!$C$7="2000-2500",4700,IF('IPS-R'!$C$7="2500+",7350,0))))))),0)))</f>
        <v>1650</v>
      </c>
      <c r="E10" s="95"/>
      <c r="F10" s="88">
        <f t="shared" si="0"/>
        <v>1650</v>
      </c>
      <c r="G10" s="89"/>
    </row>
    <row r="11" spans="1:7" ht="15.6" x14ac:dyDescent="0.3">
      <c r="A11" s="29" t="s">
        <v>35</v>
      </c>
      <c r="B11" s="92">
        <v>1</v>
      </c>
      <c r="C11" s="93"/>
      <c r="D11" s="94">
        <f xml:space="preserve">
IF(B11=1,IF('IPS-R'!$C$7="","",IF('IPS-R'!$C$7="900-",2100,IF('IPS-R'!$C$7="900-1200",2750,IF('IPS-R'!$C$7="1200-1500",3450,IF('IPS-R'!$C$7="1500-2000",4050,IF('IPS-R'!$C$7="2000-2500",4700,IF('IPS-R'!$C$7="2500+",7350,0))
)))))*0.6,
IF(B11=2,IF('IPS-R'!$C$7="","",IF('IPS-R'!$C$7="900-",2100,IF('IPS-R'!$C$7="900-1200",2750,IF('IPS-R'!$C$7="1200-1500",3450,IF('IPS-R'!$C$7="1500-2000",4050,IF('IPS-R'!$C$7="2000-2500",4700,IF('IPS-R'!$C$7="2500+",7350,0))
)))))*0.8,
IF(B11=3,IF('IPS-R'!$C$7="","",IF('IPS-R'!$C$7="900-",2100,IF('IPS-R'!$C$7="900-1200",2750,IF('IPS-R'!$C$7="1200-1500",3450,IF('IPS-R'!$C$7="1500-2000",4050,IF('IPS-R'!$C$7="2000-2500",4700,IF('IPS-R'!$C$7="2500+",7350,0))))))),0)))</f>
        <v>1650</v>
      </c>
      <c r="E11" s="95"/>
      <c r="F11" s="88">
        <f t="shared" si="0"/>
        <v>1650</v>
      </c>
      <c r="G11" s="89"/>
    </row>
    <row r="12" spans="1:7" ht="15.6" x14ac:dyDescent="0.3">
      <c r="A12" s="29" t="s">
        <v>36</v>
      </c>
      <c r="B12" s="92">
        <v>1</v>
      </c>
      <c r="C12" s="93"/>
      <c r="D12" s="94">
        <f xml:space="preserve">
IF(B12=1,IF('IPS-R'!$C$7="","",IF('IPS-R'!$C$7="900-",2100,IF('IPS-R'!$C$7="900-1200",2750,IF('IPS-R'!$C$7="1200-1500",3450,IF('IPS-R'!$C$7="1500-2000",4050,IF('IPS-R'!$C$7="2000-2500",4700,IF('IPS-R'!$C$7="2500+",7350,0))
)))))*0.6,
IF(B12=2,IF('IPS-R'!$C$7="","",IF('IPS-R'!$C$7="900-",2100,IF('IPS-R'!$C$7="900-1200",2750,IF('IPS-R'!$C$7="1200-1500",3450,IF('IPS-R'!$C$7="1500-2000",4050,IF('IPS-R'!$C$7="2000-2500",4700,IF('IPS-R'!$C$7="2500+",7350,0))
)))))*0.8,
IF(B12=3,IF('IPS-R'!$C$7="","",IF('IPS-R'!$C$7="900-",2100,IF('IPS-R'!$C$7="900-1200",2750,IF('IPS-R'!$C$7="1200-1500",3450,IF('IPS-R'!$C$7="1500-2000",4050,IF('IPS-R'!$C$7="2000-2500",4700,IF('IPS-R'!$C$7="2500+",7350,0))))))),0)))</f>
        <v>1650</v>
      </c>
      <c r="E12" s="95"/>
      <c r="F12" s="88">
        <f t="shared" si="0"/>
        <v>1650</v>
      </c>
      <c r="G12" s="89"/>
    </row>
    <row r="13" spans="1:7" ht="15.6" x14ac:dyDescent="0.3">
      <c r="A13" s="29" t="s">
        <v>37</v>
      </c>
      <c r="B13" s="92"/>
      <c r="C13" s="93"/>
      <c r="D13" s="98">
        <f>IF(B13=1,IF('IPS-R'!$C$7="","",IF('IPS-R'!$C$7="900-",5750,IF('IPS-R'!$C$7="900-1200",6950,IF('IPS-R'!$C$7="1200-1500",8100,IF('IPS-R'!$C$7="1500-2000",8950,IF('IPS-R'!$C$7="2000-2500",9300,IF('IPS-R'!$C$7="2500+",9975,"")))))))*0.6,
IF(B13=2,IF('IPS-R'!$C$7="","",IF('IPS-R'!$C$7="900-",5750,IF('IPS-R'!$C$7="900-1200",6950,IF('IPS-R'!$C$7="1200-1500",8100,IF('IPS-R'!$C$7="1500-2000",8950,IF('IPS-R'!$C$7="2000-2500",9300,IF('IPS-R'!$C$7="2500+",9975,"")))))))*0.8,
IF(B13=3,IF('IPS-R'!$C$7="","",IF('IPS-R'!$C$7="900-",5750,IF('IPS-R'!$C$7="900-1200",6950,IF('IPS-R'!$C$7="1200-1500",8100,IF('IPS-R'!$C$7="1500-2000",8950,IF('IPS-R'!$C$7="2000-2500",9300,IF('IPS-R'!$C$7="2500+",9975,""))))))),0)))</f>
        <v>0</v>
      </c>
      <c r="E13" s="98"/>
      <c r="F13" s="88">
        <f t="shared" si="0"/>
        <v>0</v>
      </c>
      <c r="G13" s="89"/>
    </row>
    <row r="14" spans="1:7" ht="15.6" x14ac:dyDescent="0.3">
      <c r="A14" s="29" t="s">
        <v>38</v>
      </c>
      <c r="B14" s="92">
        <v>3</v>
      </c>
      <c r="C14" s="93"/>
      <c r="D14" s="94">
        <f>IF(B14=1,IF('IPS-R'!$C$7="","",IF('IPS-R'!$C$7="900-",750,IF('IPS-R'!$C$7="900-1200",995,IF('IPS-R'!$C$7="1200-1500",1350,IF('IPS-R'!$C$7="1500-2000",IF('IPS-R'!$C$7="2000-2500",1975,IF('IPS-R'!$C$7="2500+",2800)))))))*0.6,
IF(B14=2,IF('IPS-R'!$C$7="","",IF('IPS-R'!$C$7="900-",750,IF('IPS-R'!$C$7="900-1200",995,IF('IPS-R'!$C$7="1200-1500",1350,IF('IPS-R'!$C$7="1500-2000",IF('IPS-R'!$C$7="2000-2500",1975,IF('IPS-R'!$C$7="2500+",2800)))))))*0.8,
IF(B14=3,IF('IPS-R'!$C$7="","",IF('IPS-R'!$C$7="900-",750,IF('IPS-R'!$C$7="900-1200",995,IF('IPS-R'!$C$7="1200-1500",1350,IF('IPS-R'!$C$7="1500-2000",IF('IPS-R'!$C$7="2000-2500",1975,IF('IPS-R'!$C$7="2500+",2800))))))),0)))</f>
        <v>995</v>
      </c>
      <c r="E14" s="95"/>
      <c r="F14" s="88">
        <f t="shared" si="0"/>
        <v>995</v>
      </c>
      <c r="G14" s="89"/>
    </row>
    <row r="15" spans="1:7" ht="15.6" x14ac:dyDescent="0.3">
      <c r="A15" s="29" t="s">
        <v>39</v>
      </c>
      <c r="B15" s="92">
        <v>3</v>
      </c>
      <c r="C15" s="93"/>
      <c r="D15" s="94">
        <f>IF(B15=1,IF('IPS-R'!$C$7="","",IF('IPS-R'!$C$7="900-",750,IF('IPS-R'!$C$7="900-1200",995,IF('IPS-R'!$C$7="1200-1500",1350,IF('IPS-R'!$C$7="1500-2000",IF('IPS-R'!$C$7="2000-2500",1975,IF('IPS-R'!$C$7="2500+",2800)))))))*0.6,
IF(B15=2,IF('IPS-R'!$C$7="","",IF('IPS-R'!$C$7="900-",750,IF('IPS-R'!$C$7="900-1200",995,IF('IPS-R'!$C$7="1200-1500",1350,IF('IPS-R'!$C$7="1500-2000",IF('IPS-R'!$C$7="2000-2500",1975,IF('IPS-R'!$C$7="2500+",2800)))))))*0.8,
IF(B15=3,IF('IPS-R'!$C$7="","",IF('IPS-R'!$C$7="900-",750,IF('IPS-R'!$C$7="900-1200",995,IF('IPS-R'!$C$7="1200-1500",1350,IF('IPS-R'!$C$7="1500-2000",IF('IPS-R'!$C$7="2000-2500",1975,IF('IPS-R'!$C$7="2500+",2800))))))),0)))</f>
        <v>995</v>
      </c>
      <c r="E15" s="95"/>
      <c r="F15" s="88">
        <f t="shared" si="0"/>
        <v>995</v>
      </c>
      <c r="G15" s="89"/>
    </row>
    <row r="16" spans="1:7" ht="15.6" x14ac:dyDescent="0.3">
      <c r="A16" s="29" t="s">
        <v>40</v>
      </c>
      <c r="B16" s="92">
        <v>3</v>
      </c>
      <c r="C16" s="93"/>
      <c r="D16" s="94">
        <f>IF(B16=1,IF('IPS-R'!$C$7="","",IF('IPS-R'!$C$7="900-",750,IF('IPS-R'!$C$7="900-1200",995,IF('IPS-R'!$C$7="1200-1500",1350,IF('IPS-R'!$C$7="1500-2000",IF('IPS-R'!$C$7="2000-2500",1975,IF('IPS-R'!$C$7="2500+",2800)))))))*0.6,
IF(B16=2,IF('IPS-R'!$C$7="","",IF('IPS-R'!$C$7="900-",750,IF('IPS-R'!$C$7="900-1200",995,IF('IPS-R'!$C$7="1200-1500",1350,IF('IPS-R'!$C$7="1500-2000",IF('IPS-R'!$C$7="2000-2500",1975,IF('IPS-R'!$C$7="2500+",2800)))))))*0.8,
IF(B16=3,IF('IPS-R'!$C$7="","",IF('IPS-R'!$C$7="900-",750,IF('IPS-R'!$C$7="900-1200",995,IF('IPS-R'!$C$7="1200-1500",1350,IF('IPS-R'!$C$7="1500-2000",IF('IPS-R'!$C$7="2000-2500",1975,IF('IPS-R'!$C$7="2500+",2800))))))),0)))</f>
        <v>995</v>
      </c>
      <c r="E16" s="95"/>
      <c r="F16" s="88">
        <f t="shared" si="0"/>
        <v>995</v>
      </c>
      <c r="G16" s="89"/>
    </row>
    <row r="17" spans="1:7" ht="15.6" x14ac:dyDescent="0.3">
      <c r="A17" s="29" t="s">
        <v>41</v>
      </c>
      <c r="B17" s="92">
        <v>3</v>
      </c>
      <c r="C17" s="93"/>
      <c r="D17" s="94">
        <f>IF(B17=1,IF('IPS-R'!$C$7="","",IF('IPS-R'!$C$7="900-",750,IF('IPS-R'!$C$7="900-1200",995,IF('IPS-R'!$C$7="1200-1500",1350,IF('IPS-R'!$C$7="1500-2000",IF('IPS-R'!$C$7="2000-2500",1975,IF('IPS-R'!$C$7="2500+",2800)))))))*0.6,
IF(B17=2,IF('IPS-R'!$C$7="","",IF('IPS-R'!$C$7="900-",750,IF('IPS-R'!$C$7="900-1200",995,IF('IPS-R'!$C$7="1200-1500",1350,IF('IPS-R'!$C$7="1500-2000",IF('IPS-R'!$C$7="2000-2500",1975,IF('IPS-R'!$C$7="2500+",2800)))))))*0.8,
IF(B17=3,IF('IPS-R'!$C$7="","",IF('IPS-R'!$C$7="900-",750,IF('IPS-R'!$C$7="900-1200",995,IF('IPS-R'!$C$7="1200-1500",1350,IF('IPS-R'!$C$7="1500-2000",IF('IPS-R'!$C$7="2000-2500",1975,IF('IPS-R'!$C$7="2500+",2800))))))),0)))</f>
        <v>995</v>
      </c>
      <c r="E17" s="95"/>
      <c r="F17" s="88">
        <f t="shared" si="0"/>
        <v>995</v>
      </c>
      <c r="G17" s="89"/>
    </row>
    <row r="18" spans="1:7" ht="15.6" x14ac:dyDescent="0.3">
      <c r="A18" s="29" t="s">
        <v>42</v>
      </c>
      <c r="B18" s="92"/>
      <c r="C18" s="93"/>
      <c r="D18" s="94">
        <f>IF(B18=1,IF('IPS-R'!$C$7="","",IF('IPS-R'!$C$7="900-",750,IF('IPS-R'!$C$7="900-1200",995,IF('IPS-R'!$C$7="1200-1500",1350,IF('IPS-R'!$C$7="1500-2000",IF('IPS-R'!$C$7="2000-2500",1975,IF('IPS-R'!$C$7="2500+",2800)))))))*0.6,
IF(B18=2,IF('IPS-R'!$C$7="","",IF('IPS-R'!$C$7="900-",750,IF('IPS-R'!$C$7="900-1200",995,IF('IPS-R'!$C$7="1200-1500",1350,IF('IPS-R'!$C$7="1500-2000",IF('IPS-R'!$C$7="2000-2500",1975,IF('IPS-R'!$C$7="2500+",2800)))))))*0.8,
IF(B18=3,IF('IPS-R'!$C$7="","",IF('IPS-R'!$C$7="900-",750,IF('IPS-R'!$C$7="900-1200",995,IF('IPS-R'!$C$7="1200-1500",1350,IF('IPS-R'!$C$7="1500-2000",IF('IPS-R'!$C$7="2000-2500",1975,IF('IPS-R'!$C$7="2500+",2800))))))),0)))</f>
        <v>0</v>
      </c>
      <c r="E18" s="95"/>
      <c r="F18" s="88">
        <f t="shared" si="0"/>
        <v>0</v>
      </c>
      <c r="G18" s="89"/>
    </row>
    <row r="19" spans="1:7" ht="15.6" x14ac:dyDescent="0.3">
      <c r="A19" s="29" t="s">
        <v>43</v>
      </c>
      <c r="B19" s="92">
        <v>3</v>
      </c>
      <c r="C19" s="93"/>
      <c r="D19" s="94">
        <f>IF(B19=1,IF('IPS-R'!$C$7="","",IF('IPS-R'!$C$7="900-",1950,IF('IPS-R'!$C$7="900-1200",2250,IF('IPS-R'!$C$7="1200-1500",2800,IF('IPS-R'!$C$7="1500-2000",3250,IF('IPS-R'!$C$7="2000-2500",3890,IF('IPS-R'!$C$7="2500+",4100,"")))))))*0.6,
IF(B19=2,IF('IPS-R'!$C$7="","",IF('IPS-R'!$C$7="900-",1950,IF('IPS-R'!$C$7="900-1200",2250,IF('IPS-R'!$C$7="1200-1500",2800,IF('IPS-R'!$C$7="1500-2000",3250,IF('IPS-R'!$C$7="2000-2500",3890,IF('IPS-R'!$C$7="2500+",4100,"")))))))*0.8,
IF(B19=3,IF('IPS-R'!$C$7="","",IF('IPS-R'!$C$7="900-",1950,IF('IPS-R'!$C$7="900-1200",2250,IF('IPS-R'!$C$7="1200-1500",2800,IF('IPS-R'!$C$7="1500-2000",3250,IF('IPS-R'!$C$7="2000-2500",3890,IF('IPS-R'!$C$7="2500+",4100,""))))))),0)))</f>
        <v>2250</v>
      </c>
      <c r="E19" s="95"/>
      <c r="F19" s="88">
        <f t="shared" si="0"/>
        <v>2250</v>
      </c>
      <c r="G19" s="89"/>
    </row>
    <row r="20" spans="1:7" ht="15.6" x14ac:dyDescent="0.3">
      <c r="A20" s="29" t="s">
        <v>44</v>
      </c>
      <c r="B20" s="92">
        <v>3</v>
      </c>
      <c r="C20" s="93"/>
      <c r="D20" s="94">
        <f>IF(B20=1,IF('IPS-R'!$C$7="","",IF('IPS-R'!$C$7="900-",1950,IF('IPS-R'!$C$7="900-1200",2250,IF('IPS-R'!$C$7="1200-1500",2800,IF('IPS-R'!$C$7="1500-2000",3250,IF('IPS-R'!$C$7="2000-2500",3890,IF('IPS-R'!$C$7="2500+",4100,"")))))))*0.6,
IF(B20=2,IF('IPS-R'!$C$7="","",IF('IPS-R'!$C$7="900-",1950,IF('IPS-R'!$C$7="900-1200",2250,IF('IPS-R'!$C$7="1200-1500",2800,IF('IPS-R'!$C$7="1500-2000",3250,IF('IPS-R'!$C$7="2000-2500",3890,IF('IPS-R'!$C$7="2500+",4100,"")))))))*0.8,
IF(B20=3,IF('IPS-R'!$C$7="","",IF('IPS-R'!$C$7="900-",1950,IF('IPS-R'!$C$7="900-1200",2250,IF('IPS-R'!$C$7="1200-1500",2800,IF('IPS-R'!$C$7="1500-2000",3250,IF('IPS-R'!$C$7="2000-2500",3890,IF('IPS-R'!$C$7="2500+",4100,""))))))),0)))</f>
        <v>2250</v>
      </c>
      <c r="E20" s="95"/>
      <c r="F20" s="88">
        <f t="shared" si="0"/>
        <v>2250</v>
      </c>
      <c r="G20" s="89"/>
    </row>
    <row r="21" spans="1:7" ht="15.6" x14ac:dyDescent="0.3">
      <c r="A21" s="29" t="s">
        <v>45</v>
      </c>
      <c r="B21" s="92">
        <v>3</v>
      </c>
      <c r="C21" s="93"/>
      <c r="D21" s="94">
        <f>IF(B21=1,IF('IPS-R'!$C$7="","",IF('IPS-R'!$C$7="900-",1950,IF('IPS-R'!$C$7="900-1200",2250,IF('IPS-R'!$C$7="1200-1500",2800,IF('IPS-R'!$C$7="1500-2000",3250,IF('IPS-R'!$C$7="2000-2500",3890,IF('IPS-R'!$C$7="2500+",4100,"")))))))*0.6,
IF(B21=2,IF('IPS-R'!$C$7="","",IF('IPS-R'!$C$7="900-",1950,IF('IPS-R'!$C$7="900-1200",2250,IF('IPS-R'!$C$7="1200-1500",2800,IF('IPS-R'!$C$7="1500-2000",3250,IF('IPS-R'!$C$7="2000-2500",3890,IF('IPS-R'!$C$7="2500+",4100,"")))))))*0.8,
IF(B21=3,IF('IPS-R'!$C$7="","",IF('IPS-R'!$C$7="900-",1950,IF('IPS-R'!$C$7="900-1200",2250,IF('IPS-R'!$C$7="1200-1500",2800,IF('IPS-R'!$C$7="1500-2000",3250,IF('IPS-R'!$C$7="2000-2500",3890,IF('IPS-R'!$C$7="2500+",4100,""))))))),0)))</f>
        <v>2250</v>
      </c>
      <c r="E21" s="95"/>
      <c r="F21" s="88">
        <f t="shared" si="0"/>
        <v>2250</v>
      </c>
      <c r="G21" s="89"/>
    </row>
    <row r="22" spans="1:7" ht="15.6" x14ac:dyDescent="0.3">
      <c r="A22" s="29" t="s">
        <v>46</v>
      </c>
      <c r="B22" s="92"/>
      <c r="C22" s="93"/>
      <c r="D22" s="94">
        <f>IF(B22=1,IF('IPS-R'!$C$7="","",IF('IPS-R'!$C$7="900-",1950,IF('IPS-R'!$C$7="900-1200",2250,IF('IPS-R'!$C$7="1200-1500",2800,IF('IPS-R'!$C$7="1500-2000",3250,IF('IPS-R'!$C$7="2000-2500",3890,IF('IPS-R'!$C$7="2500+",4100,"")))))))*0.6,
IF(B22=2,IF('IPS-R'!$C$7="","",IF('IPS-R'!$C$7="900-",1950,IF('IPS-R'!$C$7="900-1200",2250,IF('IPS-R'!$C$7="1200-1500",2800,IF('IPS-R'!$C$7="1500-2000",3250,IF('IPS-R'!$C$7="2000-2500",3890,IF('IPS-R'!$C$7="2500+",4100,"")))))))*0.8,
IF(B22=3,IF('IPS-R'!$C$7="","",IF('IPS-R'!$C$7="900-",1950,IF('IPS-R'!$C$7="900-1200",2250,IF('IPS-R'!$C$7="1200-1500",2800,IF('IPS-R'!$C$7="1500-2000",3250,IF('IPS-R'!$C$7="2000-2500",3890,IF('IPS-R'!$C$7="2500+",4100,""))))))),0)))</f>
        <v>0</v>
      </c>
      <c r="E22" s="95"/>
      <c r="F22" s="88">
        <f t="shared" si="0"/>
        <v>0</v>
      </c>
      <c r="G22" s="89"/>
    </row>
    <row r="23" spans="1:7" ht="14.4" x14ac:dyDescent="0.3">
      <c r="A23" s="30" t="s">
        <v>48</v>
      </c>
      <c r="B23" s="92">
        <v>2</v>
      </c>
      <c r="C23" s="93"/>
      <c r="D23" s="94">
        <f>IF(B23=1,IF('IPS-R'!$C$7="","",IF('IPS-R'!$C$7="","",IF('IPS-R'!$C$7="900-",12000,IF('IPS-R'!$C$7="900-1200",14500,IF('IPS-R'!$C$7="1200-1500",17000,IF('IPS-R'!$C$7="1500-2000",19500,IF('IPS-R'!$C$7="2000-2500",20000,IF('IPS-R'!$C$7="2500+",22500,""))))))*0.1
)),
IF(B23=2,IF('IPS-R'!$C$7="","",IF('IPS-R'!$C$7="","",IF('IPS-R'!$C$7="900-",12000,IF('IPS-R'!$C$7="900-1200",14500,IF('IPS-R'!$C$7="1200-1500",17000,IF('IPS-R'!$C$7="1500-2000",19500,IF('IPS-R'!$C$7="2000-2500",20000,IF('IPS-R'!$C$7="2500+",22500,""))))))*0.5)),
IF(B23=3,IF('IPS-R'!$C$7="","",IF('IPS-R'!$C$7="","",IF('IPS-R'!$C$7="900-",12000,IF('IPS-R'!$C$7="900-1200",14500,IF('IPS-R'!$C$7="1200-1500",17000,IF('IPS-R'!$C$7="1500-2000",19500,IF('IPS-R'!$C$7="2000-2500",20000,IF('IPS-R'!$C$7="2500+",22500,"")))))))),0)))</f>
        <v>7250</v>
      </c>
      <c r="E23" s="95"/>
      <c r="F23" s="88">
        <f>D23</f>
        <v>7250</v>
      </c>
      <c r="G23" s="89"/>
    </row>
    <row r="24" spans="1:7" ht="14.4" x14ac:dyDescent="0.25">
      <c r="A24" s="91" t="s">
        <v>50</v>
      </c>
      <c r="B24" s="91"/>
      <c r="C24" s="91"/>
      <c r="D24" s="91"/>
      <c r="E24" s="91"/>
      <c r="F24" s="91"/>
      <c r="G24" s="91"/>
    </row>
    <row r="25" spans="1:7" ht="14.4" x14ac:dyDescent="0.25">
      <c r="A25" s="101" t="s">
        <v>51</v>
      </c>
      <c r="B25" s="101"/>
      <c r="C25" s="101"/>
      <c r="D25" s="101"/>
      <c r="E25" s="101"/>
      <c r="F25" s="101"/>
      <c r="G25" s="101"/>
    </row>
    <row r="26" spans="1:7" ht="14.4" x14ac:dyDescent="0.25">
      <c r="A26" s="31"/>
      <c r="B26" s="52" t="s">
        <v>52</v>
      </c>
      <c r="C26" s="52" t="s">
        <v>53</v>
      </c>
      <c r="D26" s="52"/>
      <c r="E26" s="52"/>
      <c r="F26" s="104"/>
      <c r="G26" s="104"/>
    </row>
    <row r="27" spans="1:7" ht="14.4" x14ac:dyDescent="0.3">
      <c r="A27" s="32" t="s">
        <v>47</v>
      </c>
      <c r="B27" s="34"/>
      <c r="C27" s="52"/>
      <c r="D27" s="52"/>
      <c r="E27" s="51" t="str">
        <f>IF(B27="","",IF(AND(B27&lt;&gt;"",'IPS-R'!$C$7="900-"),7500,IF(AND(B27&lt;&gt;"",'IPS-R'!$C$7="900-1200"),9500,IF(AND(B27&lt;&gt;"",'IPS-R'!$C$7="1200-1500"),11000,IF(AND(B27&lt;&gt;"",'IPS-R'!$C$7="1500-2000"),13000,IF(AND(B27&lt;&gt;"",'IPS-R'!$C$7="2000-2500"),15000,IF(AND(B27&lt;&gt;"",'IPS-R'!$C$7="2500+"),20000)))))))</f>
        <v/>
      </c>
      <c r="F27" s="90" t="str">
        <f t="shared" ref="F27:F32" si="1">E27</f>
        <v/>
      </c>
      <c r="G27" s="90"/>
    </row>
    <row r="28" spans="1:7" ht="14.4" x14ac:dyDescent="0.3">
      <c r="A28" s="32" t="s">
        <v>54</v>
      </c>
      <c r="B28" s="34"/>
      <c r="C28" s="52"/>
      <c r="D28" s="52"/>
      <c r="E28" s="51" t="str">
        <f>IF(B28="","",IF(AND(B28&lt;&gt;"",'IPS-R'!$C$7="900-"),5000,IF(AND(B28&lt;&gt;"",'IPS-R'!$C$7="900-1200"),7500,IF(AND(B28&lt;&gt;"",'IPS-R'!$C$7="1200-1500"),9000,IF(AND(B28&lt;&gt;"",'IPS-R'!$C$7="1500-2000"),11000,IF(AND(B28&lt;&gt;"",'IPS-R'!$C$7="2000-2500"),12500,IF(AND(B28&lt;&gt;"",'IPS-R'!$C$7="2500+"),14000,)))))))</f>
        <v/>
      </c>
      <c r="F28" s="90" t="str">
        <f t="shared" si="1"/>
        <v/>
      </c>
      <c r="G28" s="90"/>
    </row>
    <row r="29" spans="1:7" ht="14.4" x14ac:dyDescent="0.3">
      <c r="A29" s="32" t="s">
        <v>73</v>
      </c>
      <c r="B29" s="34"/>
      <c r="C29" s="52"/>
      <c r="D29" s="52"/>
      <c r="E29" s="51" t="str">
        <f>IF(B29="","",IF(B29&lt;&gt;"",20000))</f>
        <v/>
      </c>
      <c r="F29" s="90" t="str">
        <f t="shared" si="1"/>
        <v/>
      </c>
      <c r="G29" s="90"/>
    </row>
    <row r="30" spans="1:7" ht="14.4" x14ac:dyDescent="0.3">
      <c r="A30" s="32" t="s">
        <v>55</v>
      </c>
      <c r="B30" s="34"/>
      <c r="C30" s="52"/>
      <c r="D30" s="52"/>
      <c r="E30" s="51" t="str">
        <f>IF(B30="","",IF(AND(B30&lt;&gt;"",'IPS-R'!$C$7="900-"),5000,IF(AND(B30&lt;&gt;"",'IPS-R'!$C$7="900-1200"),7500,IF(AND(B30&lt;&gt;"",'IPS-R'!$C$7="1200-1500"),9000,IF(AND(B30&lt;&gt;"",'IPS-R'!$C$7="1500-2000"),10500,IF(AND(B30&lt;&gt;"",'IPS-R'!$C$7="2000-2500"),13000,IF(AND(B30&lt;&gt;"",'IPS-R'!$C$7="2500+"),15000)))))))</f>
        <v/>
      </c>
      <c r="F30" s="90" t="str">
        <f t="shared" si="1"/>
        <v/>
      </c>
      <c r="G30" s="90"/>
    </row>
    <row r="31" spans="1:7" ht="14.4" x14ac:dyDescent="0.3">
      <c r="A31" s="32" t="s">
        <v>49</v>
      </c>
      <c r="B31" s="34"/>
      <c r="C31" s="52"/>
      <c r="D31" s="52"/>
      <c r="E31" s="51" t="str">
        <f>IF(B31="","",IF(AND(B31&lt;&gt;"",'IPS-R'!$C$7="900-"),10000,IF(AND(B31&lt;&gt;"",'IPS-R'!$C$7="900-1200"),14000,IF(AND(B31&lt;&gt;"",'IPS-R'!$C$7="1200-1500"),16000,IF(AND(B31&lt;&gt;"",'IPS-R'!$C$7="1500-2000"),10500,IF(AND(B31&lt;&gt;"",'IPS-R'!$C$7="2000-2500"),1900,IF(AND(B31&lt;&gt;"",'IPS-R'!$C$7="2500+"),22000)))))))</f>
        <v/>
      </c>
      <c r="F31" s="90" t="str">
        <f t="shared" si="1"/>
        <v/>
      </c>
      <c r="G31" s="90"/>
    </row>
    <row r="32" spans="1:7" ht="14.4" x14ac:dyDescent="0.3">
      <c r="A32" s="32" t="s">
        <v>33</v>
      </c>
      <c r="B32" s="34">
        <v>1</v>
      </c>
      <c r="C32" s="52"/>
      <c r="D32" s="52"/>
      <c r="E32" s="51">
        <f>IF(B32="","",IF(AND(B32&lt;&gt;"",'IPS-R'!$C$7="900-"),6000,IF(AND(B32&lt;&gt;"",'IPS-R'!$C$7="900-1200"),8000,IF(AND(B32&lt;&gt;"",'IPS-R'!$C$7="1200-1500"),9000,IF(AND(B32&lt;&gt;"",'IPS-R'!$C$7="1500-2000"),10500,IF(AND(B32&lt;&gt;"",'IPS-R'!$C$7="2000-2500"),13500,IF(AND(B32&lt;&gt;"",'IPS-R'!$C$7="2500+"),14500)))))))</f>
        <v>8000</v>
      </c>
      <c r="F32" s="90">
        <f t="shared" si="1"/>
        <v>8000</v>
      </c>
      <c r="G32" s="90"/>
    </row>
    <row r="33" spans="1:7" ht="14.4" x14ac:dyDescent="0.3">
      <c r="A33" s="27"/>
      <c r="B33" s="26"/>
      <c r="C33" s="26"/>
      <c r="D33" s="26"/>
      <c r="E33" s="33"/>
      <c r="F33" s="26"/>
      <c r="G33" s="26"/>
    </row>
    <row r="34" spans="1:7" ht="14.4" x14ac:dyDescent="0.3">
      <c r="A34" s="27"/>
      <c r="B34" s="109" t="s">
        <v>97</v>
      </c>
      <c r="C34" s="109"/>
      <c r="D34" s="26"/>
      <c r="E34" s="33"/>
      <c r="F34" s="105">
        <f>SUM(F9:G23)+SUM(F27:G32)</f>
        <v>39880</v>
      </c>
      <c r="G34" s="106"/>
    </row>
    <row r="35" spans="1:7" ht="14.4" x14ac:dyDescent="0.3">
      <c r="A35" s="27"/>
      <c r="B35" s="109"/>
      <c r="C35" s="109"/>
      <c r="D35" s="26"/>
      <c r="E35" s="33"/>
      <c r="F35" s="106"/>
      <c r="G35" s="106"/>
    </row>
    <row r="36" spans="1:7" ht="14.4" x14ac:dyDescent="0.3">
      <c r="A36" s="23"/>
      <c r="B36" s="109" t="s">
        <v>95</v>
      </c>
      <c r="C36" s="109"/>
      <c r="D36" s="105">
        <f>IF(AND(A2="Est SqFt Added:",C2&gt;0,C2&lt;=300),5500,IF(AND(A2="Est SqFt Added:",C2&gt;300,C2&lt;=500),8500,IF(AND(A2="Est SqFt Added:",C2&gt;500,C2&lt;=800),11500,IF(AND(A2="Est SqFt Added:",C2&gt;800,C2&lt;=1000),15500,IF(AND(A2="Est SqFt Added:",C2&gt;1000,C2&lt;=1500),19500,IF(AND(A2="Est SqFt Added:",C2&gt;1500),25500,
IF(AND(A2="No. of Baths:",C2=1),8500,IF(AND(A2="No. of Baths:",C2=2),15000,IF(AND(A2="No. of Baths:",C2=3),20000,IF(AND(A2="No. of Baths:",C2=4),25000,
IF(AND(A2="No. of Beds:",C2=1),5500,IF(AND(A2="No. of Beds:",C2=2),8000,IF(AND(A2="No. of Beds:",C2=3),11000,IF(AND(A2="No. of Beds:",C2=4),15000)))))))))))))+
IF(AND(A4="Est SqFt Added:",C4&gt;0,C4&lt;=300),5500,IF(AND(A4="Est SqFt Added:",C4&gt;300,C4&lt;=500),8500,IF(AND(A4="Est SqFt Added:",C4&gt;500,C4&lt;=800),11500,IF(AND(A4="Est SqFt Added:",C4&gt;800,C4&lt;=1000),15500,IF(AND(A4="Est SqFt Added:",C4&gt;1000,C4&lt;=1500),19500,IF(AND(A4="Est SqFt Added:",C4&gt;1500),25500,
IF(AND(A4="No. of Baths:",C4=1),8500,IF(AND(A4="No. of Baths:",C4=2),15000,IF(AND(A4="No. of Baths:",C4=3),20000,IF(AND(A4="No. of Baths:",C4=4),25000,
IF(AND(A4="No. of Beds:",C4=1),5500,IF(AND(A4="No. of Beds:",C4=2),8000,IF(AND(A4="No. of Beds:",C4=3),11000,IF(AND(A4="No. of Beds:",C4=4),15000)))))))))))))))+
IF(AND(A6="Est SqFt Added:",C6&gt;0,C6&lt;=300),5500,IF(AND(A6="Est SqFt Added:",C6&gt;300,C6&lt;=500),8500,IF(AND(A6="Est SqFt Added:",C6&gt;500,C6&lt;=800),11500,IF(AND(A6="Est SqFt Added:",C6&gt;800,C6&lt;=1000),15500,IF(AND(A6="Est SqFt Added:",C6&gt;1000,C6&lt;=1500),19500,IF(AND(A6="Est SqFt Added:",C6&gt;1500),25500,
IF(AND(A6="No. of Baths:",C6=1),8500,IF(AND(A6="No. of Baths:",C6=2),15000,IF(AND(A6="No. of Baths:",C6=3),20000,IF(AND(A6="No. of Baths:",C6=4),25000,
IF(AND(A6="No. of Beds:",C6=1),5500,IF(AND(A6="No. of Beds:",C6=2),8000,IF(AND(A6="No. of Beds:",C6=3),11000,IF(AND(A6="No. of Beds:",C6=4),15000))))))))))))))
+SUM(F9:G23)+SUM(F27:G32)</f>
        <v>63880</v>
      </c>
      <c r="E36" s="105"/>
      <c r="F36" s="105"/>
      <c r="G36" s="105"/>
    </row>
    <row r="37" spans="1:7" ht="14.4" x14ac:dyDescent="0.3">
      <c r="A37" s="19"/>
      <c r="B37" s="109"/>
      <c r="C37" s="109"/>
      <c r="D37" s="105"/>
      <c r="E37" s="105"/>
      <c r="F37" s="105"/>
      <c r="G37" s="105"/>
    </row>
    <row r="38" spans="1:7" ht="15.6" x14ac:dyDescent="0.3">
      <c r="A38" s="53"/>
      <c r="B38" s="83"/>
      <c r="C38" s="83"/>
      <c r="D38" s="80"/>
      <c r="E38" s="80"/>
      <c r="F38" s="80"/>
      <c r="G38" s="80"/>
    </row>
    <row r="39" spans="1:7" x14ac:dyDescent="0.25">
      <c r="A39" s="84" t="s">
        <v>96</v>
      </c>
      <c r="B39" s="84"/>
      <c r="C39" s="84"/>
      <c r="D39" s="84"/>
      <c r="E39" s="84"/>
      <c r="F39" s="84"/>
      <c r="G39" s="84"/>
    </row>
    <row r="40" spans="1:7" x14ac:dyDescent="0.25">
      <c r="A40" s="84"/>
      <c r="B40" s="84"/>
      <c r="C40" s="84"/>
      <c r="D40" s="84"/>
      <c r="E40" s="84"/>
      <c r="F40" s="84"/>
      <c r="G40" s="84"/>
    </row>
  </sheetData>
  <sheetProtection algorithmName="SHA-512" hashValue="XFJ/diSUPYpzwLYC+CRO1X87+45xIsiM2VJHF9x5pZQAnsMK2MWzULMUjmQQJuH7pMFpbPTt3oOVyRe7H1cDLQ==" saltValue="jentMLDIXQPauJFojGOeUg==" spinCount="100000" sheet="1" objects="1" scenarios="1" selectLockedCells="1"/>
  <mergeCells count="77">
    <mergeCell ref="A2:B2"/>
    <mergeCell ref="A4:B4"/>
    <mergeCell ref="A6:B6"/>
    <mergeCell ref="C2:G2"/>
    <mergeCell ref="C4:G4"/>
    <mergeCell ref="C6:G6"/>
    <mergeCell ref="B38:C38"/>
    <mergeCell ref="D38:E38"/>
    <mergeCell ref="F38:G38"/>
    <mergeCell ref="A39:G40"/>
    <mergeCell ref="A1:B1"/>
    <mergeCell ref="C1:G1"/>
    <mergeCell ref="A3:B3"/>
    <mergeCell ref="A5:B5"/>
    <mergeCell ref="C3:G3"/>
    <mergeCell ref="C5:G5"/>
    <mergeCell ref="F30:G30"/>
    <mergeCell ref="F31:G31"/>
    <mergeCell ref="F32:G32"/>
    <mergeCell ref="B36:C37"/>
    <mergeCell ref="D36:G37"/>
    <mergeCell ref="B34:C35"/>
    <mergeCell ref="F34:G35"/>
    <mergeCell ref="A24:G24"/>
    <mergeCell ref="A25:G25"/>
    <mergeCell ref="F26:G26"/>
    <mergeCell ref="F27:G27"/>
    <mergeCell ref="F28:G28"/>
    <mergeCell ref="F29:G29"/>
    <mergeCell ref="B22:C22"/>
    <mergeCell ref="D22:E22"/>
    <mergeCell ref="F22:G22"/>
    <mergeCell ref="B23:C23"/>
    <mergeCell ref="D23:E23"/>
    <mergeCell ref="F23:G23"/>
    <mergeCell ref="B20:C20"/>
    <mergeCell ref="D20:E20"/>
    <mergeCell ref="F20:G20"/>
    <mergeCell ref="B21:C21"/>
    <mergeCell ref="D21:E21"/>
    <mergeCell ref="F21:G21"/>
    <mergeCell ref="B18:C18"/>
    <mergeCell ref="D18:E18"/>
    <mergeCell ref="F18:G18"/>
    <mergeCell ref="B19:C19"/>
    <mergeCell ref="D19:E19"/>
    <mergeCell ref="F19:G19"/>
    <mergeCell ref="B16:C16"/>
    <mergeCell ref="D16:E16"/>
    <mergeCell ref="F16:G16"/>
    <mergeCell ref="B17:C17"/>
    <mergeCell ref="D17:E17"/>
    <mergeCell ref="F17:G17"/>
    <mergeCell ref="B14:C14"/>
    <mergeCell ref="D14:E14"/>
    <mergeCell ref="F14:G14"/>
    <mergeCell ref="B15:C15"/>
    <mergeCell ref="D15:E15"/>
    <mergeCell ref="F15:G15"/>
    <mergeCell ref="B12:C12"/>
    <mergeCell ref="D12:E12"/>
    <mergeCell ref="F12:G12"/>
    <mergeCell ref="B13:C13"/>
    <mergeCell ref="D13:E13"/>
    <mergeCell ref="F13:G13"/>
    <mergeCell ref="B10:C10"/>
    <mergeCell ref="D10:E10"/>
    <mergeCell ref="F10:G10"/>
    <mergeCell ref="B11:C11"/>
    <mergeCell ref="D11:E11"/>
    <mergeCell ref="F11:G11"/>
    <mergeCell ref="B8:C8"/>
    <mergeCell ref="D8:E8"/>
    <mergeCell ref="F8:G8"/>
    <mergeCell ref="B9:C9"/>
    <mergeCell ref="D9:E9"/>
    <mergeCell ref="F9:G9"/>
  </mergeCells>
  <dataValidations count="2">
    <dataValidation showInputMessage="1" showErrorMessage="1" sqref="H5" xr:uid="{CDBA2119-9D5D-4145-8606-F50A39286437}"/>
    <dataValidation type="list" allowBlank="1" showInputMessage="1" showErrorMessage="1" sqref="C1:G1 C3:G3 C5:G5" xr:uid="{A0195652-DC99-4F55-B626-57C687C211F7}">
      <formula1>RSADropDown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6C868-EF86-4C7B-9B58-3941AABFB629}">
  <sheetPr codeName="Sheet10"/>
  <dimension ref="A2:B15"/>
  <sheetViews>
    <sheetView zoomScale="71" workbookViewId="0">
      <selection activeCell="B14" sqref="B14"/>
    </sheetView>
  </sheetViews>
  <sheetFormatPr defaultColWidth="8.44140625" defaultRowHeight="13.2" x14ac:dyDescent="0.25"/>
  <cols>
    <col min="1" max="1" width="33" style="1" customWidth="1"/>
    <col min="2" max="2" width="34.44140625" style="1" customWidth="1"/>
    <col min="3" max="16384" width="8.44140625" style="1"/>
  </cols>
  <sheetData>
    <row r="2" spans="1:2" x14ac:dyDescent="0.25">
      <c r="A2" s="2" t="s">
        <v>9</v>
      </c>
      <c r="B2" s="4"/>
    </row>
    <row r="3" spans="1:2" ht="10.5" customHeight="1" x14ac:dyDescent="0.25">
      <c r="A3" s="2" t="s">
        <v>10</v>
      </c>
      <c r="B3" s="3">
        <f>B4*0.12</f>
        <v>0</v>
      </c>
    </row>
    <row r="4" spans="1:2" x14ac:dyDescent="0.25">
      <c r="A4" s="2" t="s">
        <v>6</v>
      </c>
      <c r="B4" s="4"/>
    </row>
    <row r="5" spans="1:2" x14ac:dyDescent="0.25">
      <c r="A5" s="2"/>
      <c r="B5" s="3"/>
    </row>
    <row r="6" spans="1:2" ht="15.6" x14ac:dyDescent="0.25">
      <c r="A6" s="5" t="s">
        <v>8</v>
      </c>
      <c r="B6" s="6">
        <f>IF(B2=0,0,((B4-B3-B2)))</f>
        <v>0</v>
      </c>
    </row>
    <row r="7" spans="1:2" x14ac:dyDescent="0.25">
      <c r="A7" s="5"/>
      <c r="B7" s="7">
        <f>(B4-(B6+B3+B2))</f>
        <v>0</v>
      </c>
    </row>
    <row r="8" spans="1:2" ht="15.6" x14ac:dyDescent="0.25">
      <c r="A8" s="8" t="s">
        <v>11</v>
      </c>
      <c r="B8" s="6">
        <f>B6*0.9</f>
        <v>0</v>
      </c>
    </row>
    <row r="9" spans="1:2" x14ac:dyDescent="0.25">
      <c r="A9" s="8"/>
      <c r="B9" s="7">
        <f>(B4-(B8+B3+B2))</f>
        <v>0</v>
      </c>
    </row>
    <row r="10" spans="1:2" ht="15.6" x14ac:dyDescent="0.25">
      <c r="A10" s="8" t="s">
        <v>12</v>
      </c>
      <c r="B10" s="6">
        <f>B6*0.8</f>
        <v>0</v>
      </c>
    </row>
    <row r="11" spans="1:2" x14ac:dyDescent="0.25">
      <c r="A11" s="8"/>
      <c r="B11" s="9">
        <f>(B4-(B10+B3+B2))</f>
        <v>0</v>
      </c>
    </row>
    <row r="12" spans="1:2" ht="15.6" x14ac:dyDescent="0.25">
      <c r="A12" s="8" t="s">
        <v>13</v>
      </c>
      <c r="B12" s="6">
        <f>B6*0.7</f>
        <v>0</v>
      </c>
    </row>
    <row r="13" spans="1:2" x14ac:dyDescent="0.25">
      <c r="B13" s="3">
        <f>(B4-(B12+B3+B2))</f>
        <v>0</v>
      </c>
    </row>
    <row r="14" spans="1:2" ht="15.6" x14ac:dyDescent="0.3">
      <c r="A14" s="8" t="s">
        <v>14</v>
      </c>
      <c r="B14" s="10"/>
    </row>
    <row r="15" spans="1:2" x14ac:dyDescent="0.25">
      <c r="B15" s="3" t="str">
        <f>IF(B14="","",(B4-(B14+B3+B2)))</f>
        <v/>
      </c>
    </row>
  </sheetData>
  <sheetProtection algorithmName="SHA-512" hashValue="EOstVy/ny/8c1NNlQz3fxLsslPO1fPz/hUF07IKJuxYcK05H07d/V70djMEPgtDmzms+ebaLS8soavoHKO/ICw==" saltValue="grvS1cl2ZH+cVJp8RxAWVw==" spinCount="100000" sheet="1" selectLockedCells="1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46DB9-7D4F-4A9C-B603-822D7B6F0B6F}">
  <sheetPr codeName="Sheet11"/>
  <dimension ref="A1:J10"/>
  <sheetViews>
    <sheetView topLeftCell="D1" workbookViewId="0">
      <selection activeCell="J10" sqref="J10"/>
    </sheetView>
  </sheetViews>
  <sheetFormatPr defaultColWidth="8.77734375" defaultRowHeight="13.2" x14ac:dyDescent="0.25"/>
  <sheetData>
    <row r="1" spans="1:10" x14ac:dyDescent="0.25">
      <c r="A1" s="11" t="s">
        <v>16</v>
      </c>
      <c r="D1" s="11" t="s">
        <v>17</v>
      </c>
      <c r="F1" t="s">
        <v>18</v>
      </c>
      <c r="G1" t="s">
        <v>91</v>
      </c>
      <c r="H1" t="s">
        <v>92</v>
      </c>
      <c r="I1" t="s">
        <v>93</v>
      </c>
      <c r="J1" t="s">
        <v>94</v>
      </c>
    </row>
    <row r="2" spans="1:10" x14ac:dyDescent="0.25">
      <c r="A2" s="11" t="s">
        <v>19</v>
      </c>
      <c r="D2" s="11" t="s">
        <v>7</v>
      </c>
      <c r="F2" t="s">
        <v>20</v>
      </c>
      <c r="G2" t="str">
        <f>IF(COUNTIF('RSA Sheet'!$C$1:$G$5,'Validation List'!F2)&gt;0,"",F2)</f>
        <v>Basement Conversion</v>
      </c>
      <c r="H2">
        <f>IFERROR(IF(G2&lt;&gt;"",ROWS($G$2:G2),""),"")</f>
        <v>1</v>
      </c>
      <c r="I2">
        <f>IFERROR(SMALL($H$2:$H$8,ROWS($H$2:H2)),"")</f>
        <v>1</v>
      </c>
      <c r="J2" t="str">
        <f>IFERROR(INDEX($F$2:$F$8,I2),"")</f>
        <v>Basement Conversion</v>
      </c>
    </row>
    <row r="3" spans="1:10" x14ac:dyDescent="0.25">
      <c r="A3" s="11" t="s">
        <v>15</v>
      </c>
      <c r="D3" s="11" t="s">
        <v>21</v>
      </c>
      <c r="F3" s="11" t="s">
        <v>89</v>
      </c>
      <c r="G3" t="str">
        <f>IF(COUNTIF('RSA Sheet'!$C$1:$G$5,'Validation List'!F3)&gt;0,"",F3)</f>
        <v>Attic Conversion</v>
      </c>
      <c r="H3">
        <f>IFERROR(IF(G3&lt;&gt;"",ROWS($G$2:G3),""),"")</f>
        <v>2</v>
      </c>
      <c r="I3">
        <f>IFERROR(SMALL($H$2:$H$8,ROWS($H$2:H3)),"")</f>
        <v>2</v>
      </c>
      <c r="J3" t="str">
        <f t="shared" ref="J3:J8" si="0">IFERROR(INDEX($F$2:$F$8,I3),"")</f>
        <v>Attic Conversion</v>
      </c>
    </row>
    <row r="4" spans="1:10" x14ac:dyDescent="0.25">
      <c r="A4" s="11" t="s">
        <v>23</v>
      </c>
      <c r="D4" s="11" t="s">
        <v>24</v>
      </c>
      <c r="F4" s="11" t="s">
        <v>90</v>
      </c>
      <c r="G4" t="str">
        <f>IF(COUNTIF('RSA Sheet'!$C$1:$G$5,'Validation List'!F4)&gt;0,"",F4)</f>
        <v/>
      </c>
      <c r="H4" t="str">
        <f>IFERROR(IF(G4&lt;&gt;"",ROWS($G$2:G4),""),"")</f>
        <v/>
      </c>
      <c r="I4">
        <f>IFERROR(SMALL($H$2:$H$8,ROWS($H$2:H4)),"")</f>
        <v>4</v>
      </c>
      <c r="J4" t="str">
        <f t="shared" si="0"/>
        <v>ADU</v>
      </c>
    </row>
    <row r="5" spans="1:10" x14ac:dyDescent="0.25">
      <c r="F5" t="s">
        <v>25</v>
      </c>
      <c r="G5" t="str">
        <f>IF(COUNTIF('RSA Sheet'!$C$1:$G$5,'Validation List'!F5)&gt;0,"",F5)</f>
        <v>ADU</v>
      </c>
      <c r="H5">
        <f>IFERROR(IF(G5&lt;&gt;"",ROWS($G$2:G5),""),"")</f>
        <v>4</v>
      </c>
      <c r="I5">
        <f>IFERROR(SMALL($H$2:$H$8,ROWS($H$2:H5)),"")</f>
        <v>5</v>
      </c>
      <c r="J5" t="str">
        <f t="shared" si="0"/>
        <v>D-ADU</v>
      </c>
    </row>
    <row r="6" spans="1:10" x14ac:dyDescent="0.25">
      <c r="F6" s="11" t="s">
        <v>88</v>
      </c>
      <c r="G6" t="str">
        <f>IF(COUNTIF('RSA Sheet'!$C$1:$G$5,'Validation List'!F6)&gt;0,"",F6)</f>
        <v>D-ADU</v>
      </c>
      <c r="H6">
        <f>IFERROR(IF(G6&lt;&gt;"",ROWS($G$2:G6),""),"")</f>
        <v>5</v>
      </c>
      <c r="I6" t="str">
        <f>IFERROR(SMALL($H$2:$H$8,ROWS($H$2:H6)),"")</f>
        <v/>
      </c>
      <c r="J6" t="str">
        <f t="shared" si="0"/>
        <v/>
      </c>
    </row>
    <row r="7" spans="1:10" x14ac:dyDescent="0.25">
      <c r="F7" t="s">
        <v>26</v>
      </c>
      <c r="G7" t="str">
        <f>IF(COUNTIF('RSA Sheet'!$C$1:$G$5,'Validation List'!F7)&gt;0,"",F7)</f>
        <v/>
      </c>
      <c r="H7" t="str">
        <f>IFERROR(IF(G7&lt;&gt;"",ROWS($G$2:G7),""),"")</f>
        <v/>
      </c>
      <c r="I7" t="str">
        <f>IFERROR(SMALL($H$2:$H$8,ROWS($H$2:H7)),"")</f>
        <v/>
      </c>
      <c r="J7" t="str">
        <f t="shared" si="0"/>
        <v/>
      </c>
    </row>
    <row r="8" spans="1:10" x14ac:dyDescent="0.25">
      <c r="F8" t="s">
        <v>27</v>
      </c>
      <c r="G8" t="str">
        <f>IF(COUNTIF('RSA Sheet'!$C$1:$G$5,'Validation List'!F8)&gt;0,"",F8)</f>
        <v/>
      </c>
      <c r="H8" t="str">
        <f>IFERROR(IF(G8&lt;&gt;"",ROWS($G$2:G8),""),"")</f>
        <v/>
      </c>
      <c r="I8" t="str">
        <f>IFERROR(SMALL($H$2:$H$8,ROWS($H$2:H8)),"")</f>
        <v/>
      </c>
      <c r="J8" t="str">
        <f t="shared" si="0"/>
        <v/>
      </c>
    </row>
    <row r="10" spans="1:10" x14ac:dyDescent="0.25">
      <c r="J10" t="e">
        <f>J2:INDEX($J$2:$J$8,COUNTIF($J$2:$J$8,"?*"))</f>
        <v>#VALUE!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3D83A622ED7545940C891452E1F9CB" ma:contentTypeVersion="12" ma:contentTypeDescription="Create a new document." ma:contentTypeScope="" ma:versionID="c3ab342d40da8b6d456e2132e4e25c73">
  <xsd:schema xmlns:xsd="http://www.w3.org/2001/XMLSchema" xmlns:xs="http://www.w3.org/2001/XMLSchema" xmlns:p="http://schemas.microsoft.com/office/2006/metadata/properties" xmlns:ns2="61c2b981-c222-4523-9370-aca55d37c3fa" xmlns:ns3="7f18dbd2-e32d-469d-abaa-5347adcf385e" targetNamespace="http://schemas.microsoft.com/office/2006/metadata/properties" ma:root="true" ma:fieldsID="c41157b12610272fd803ca28bf87c578" ns2:_="" ns3:_="">
    <xsd:import namespace="61c2b981-c222-4523-9370-aca55d37c3fa"/>
    <xsd:import namespace="7f18dbd2-e32d-469d-abaa-5347adcf385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c2b981-c222-4523-9370-aca55d37c3f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18dbd2-e32d-469d-abaa-5347adcf38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c D A A B Q S w M E F A A C A A g A o j A o T b j g i U O n A A A A + Q A A A B I A H A B D b 2 5 m a W c v U G F j a 2 F n Z S 5 4 b W w g o h g A K K A U A A A A A A A A A A A A A A A A A A A A A A A A A A A A h Y 9 B D o I w F E S v Q r q n v 0 A k S j 5 l 4 V Y S E 6 J x S 2 q F R i i G F s v d X H g k r y C J o u 5 c z u S 9 Z O Z x u 2 M 2 t o 1 3 l b 1 R n U 5 J Q B n x p B b d U e k q J Y M 9 + U u S c d y W 4 l x W 0 p t g b Z L R q J T U 1 l 4 S A O c c d R H t + g p C x g I 4 5 J t C 1 L I t f a W N L b W Q 5 G M d / 1 u E 4 / 4 1 h o c 0 Z n Q R x C s a T Q j C 3 G O u 9 J c J p 8 m U I f y U u B 4 a O / S S S + 3 v C o Q 5 I r x v 8 C d Q S w M E F A A C A A g A o j A o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I w K E 0 o i k e 4 D g A A A B E A A A A T A B w A R m 9 y b X V s Y X M v U 2 V j d G l v b j E u b S C i G A A o o B Q A A A A A A A A A A A A A A A A A A A A A A A A A A A A r T k 0 u y c z P U w i G 0 I b W A F B L A Q I t A B Q A A g A I A K I w K E 2 4 4 I l D p w A A A P k A A A A S A A A A A A A A A A A A A A A A A A A A A A B D b 2 5 m a W c v U G F j a 2 F n Z S 5 4 b W x Q S w E C L Q A U A A I A C A C i M C h N D 8 r p q 6 Q A A A D p A A A A E w A A A A A A A A A A A A A A A A D z A A A A W 0 N v b n R l b n R f V H l w Z X N d L n h t b F B L A Q I t A B Q A A g A I A K I w K E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f s u P w U w D W R Y m p 2 b M e U u P 0 A A A A A A I A A A A A A B B m A A A A A Q A A I A A A A N b O g T k X A o P v 8 U v r 5 X f b W M L Z g b e g d V y K I g Y B O V 1 D J O I a A A A A A A 6 A A A A A A g A A I A A A A O p 8 k R v g g s k U F 6 a 5 e i o b n x f S S T 1 u K M o t t z P e M D F I y + o V U A A A A D G f Z W 2 z 9 U 1 k Z 7 i k r 1 4 y h 0 Y S W C v W C h / g I c V U C O 4 3 3 n 8 L 0 N K 9 K E 7 N 9 D d f B j 1 T j j e + p R L U 9 n U I O G W K I f a y Z L G F 5 s h T E p F P H A 3 0 j t h 8 5 e r 3 a 0 C g Q A A A A P Z t / g w 2 N Q v n 3 D b 6 R j N R L d x M y 3 p w u H / L J K t K i W K z j F / 8 O Q y y q A c 2 L N P n y x G p D 0 y r H 4 1 s Q m U R w y i 9 h Z B 3 z A W V w E 4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907162-4A59-4558-8D91-B01F248479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2BB81E-8ED8-4063-BA65-117ADCFECA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c2b981-c222-4523-9370-aca55d37c3fa"/>
    <ds:schemaRef ds:uri="7f18dbd2-e32d-469d-abaa-5347adcf38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55A3157-4814-41D3-8A6F-7D8AEDE8A78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A9FDCC08-C78A-41E0-B235-82043FE9A26D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67847115-ceae-4c7f-bad7-2ae02eab9391"/>
    <ds:schemaRef ds:uri="http://purl.org/dc/terms/"/>
    <ds:schemaRef ds:uri="ce708110-18ec-4832-8757-1596ffa8c52a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IPS-R</vt:lpstr>
      <vt:lpstr>Pre-Inspection Sheet</vt:lpstr>
      <vt:lpstr>IPS-RS</vt:lpstr>
      <vt:lpstr>RSA Sheet</vt:lpstr>
      <vt:lpstr>MAO</vt:lpstr>
      <vt:lpstr>Validation List</vt:lpstr>
      <vt:lpstr>Delta18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Justin Murray</dc:creator>
  <cp:keywords/>
  <dc:description/>
  <cp:lastModifiedBy>12533552021</cp:lastModifiedBy>
  <cp:revision/>
  <dcterms:created xsi:type="dcterms:W3CDTF">2017-01-08T21:53:33Z</dcterms:created>
  <dcterms:modified xsi:type="dcterms:W3CDTF">2020-03-10T21:10:13Z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0x0101006D3D83A622ED7545940C891452E1F9CB</vt:lpwstr>
  </property>
  <property fmtid="{D5CDD505-2E9C-101B-9397-08002B2CF9AE}" pid="3" name="AuthorIds_UIVersion_53760">
    <vt:lpwstr>13</vt:lpwstr>
  </property>
</Properties>
</file>